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 10_2024/"/>
    </mc:Choice>
  </mc:AlternateContent>
  <xr:revisionPtr revIDLastSave="17" documentId="8_{821F537D-DED8-4EB8-A602-F1A87559AE57}" xr6:coauthVersionLast="47" xr6:coauthVersionMax="47" xr10:uidLastSave="{BBEEDC17-A5BF-4FC7-8DC3-961B9B742508}"/>
  <workbookProtection workbookAlgorithmName="SHA-512" workbookHashValue="f71pYEKQ3rWADkVjns3bRyR7fPahxxNFh4WOOPxbltL+7XyFT8m6k4CGecCGrnDIJ4duj9JWhuKcCYggrnwFNg==" workbookSaltValue="jWgP6vSmodTg1NXRFzdbQA==" workbookSpinCount="100000" lockStructure="1"/>
  <bookViews>
    <workbookView xWindow="-120" yWindow="-120" windowWidth="29040" windowHeight="15720" tabRatio="852" firstSheet="1" activeTab="1" xr2:uid="{00000000-000D-0000-FFFF-FFFF00000000}"/>
  </bookViews>
  <sheets>
    <sheet name="texty" sheetId="39" state="hidden" r:id="rId1"/>
    <sheet name="profil" sheetId="77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Prosper" sheetId="37" state="hidden" r:id="rId19"/>
    <sheet name="Arte GM" sheetId="88" r:id="rId20"/>
    <sheet name="Prosper_GM" sheetId="87" r:id="rId21"/>
    <sheet name="Rex" sheetId="74" state="hidden" r:id="rId22"/>
    <sheet name="Alfa II" sheetId="56" r:id="rId23"/>
    <sheet name="Faworyt" sheetId="8" r:id="rId24"/>
    <sheet name="Tytan" sheetId="18" r:id="rId25"/>
    <sheet name="Oaza II" sheetId="19" r:id="rId26"/>
    <sheet name="Victoria" sheetId="17" r:id="rId27"/>
    <sheet name="Factor 18 II" sheetId="20" r:id="rId28"/>
    <sheet name="Beta" sheetId="70" r:id="rId29"/>
    <sheet name="Focus II" sheetId="33" r:id="rId30"/>
    <sheet name="Ergo" sheetId="44" r:id="rId31"/>
    <sheet name="Fiona II" sheetId="48" r:id="rId32"/>
    <sheet name="Universal" sheetId="34" r:id="rId33"/>
    <sheet name="Orient" sheetId="46" r:id="rId34"/>
    <sheet name="Elegant" sheetId="47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cennik!$A$1:$T$944</definedName>
    <definedName name="_xlnm._FilterDatabase" localSheetId="8" hidden="1">data!$A$2:$F$782</definedName>
    <definedName name="_xlnm._FilterDatabase" localSheetId="2" hidden="1">Pax!$A$2:$I$12</definedName>
    <definedName name="_xlnm._FilterDatabase" localSheetId="0" hidden="1">texty!$A$1:$L$213</definedName>
    <definedName name="barva" localSheetId="19">'Arte GM'!$E$4</definedName>
    <definedName name="barva" localSheetId="10">Fox!$E$4</definedName>
    <definedName name="barva" localSheetId="7">Lux!$E$4</definedName>
    <definedName name="barva" localSheetId="2">Pax!$E$4</definedName>
    <definedName name="barva" localSheetId="20">Prosper_GM!$E$4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2">'Alfa II'!$E$4</definedName>
    <definedName name="barva_8" localSheetId="28">Beta!$E$4</definedName>
    <definedName name="barva_8" localSheetId="34">Elegant!$E$4</definedName>
    <definedName name="barva_8" localSheetId="30">Ergo!$E$4</definedName>
    <definedName name="barva_8" localSheetId="27">'Factor 18 II'!$E$4</definedName>
    <definedName name="barva_8" localSheetId="31">'Fiona II'!$E$4</definedName>
    <definedName name="barva_8" localSheetId="29">'Focus II'!$E$4</definedName>
    <definedName name="barva_8" localSheetId="25">'Oaza II'!$E$4</definedName>
    <definedName name="barva_8" localSheetId="33">Orient!$E$4</definedName>
    <definedName name="barva_8" localSheetId="18">Prosper!$E$4</definedName>
    <definedName name="barva_8" localSheetId="21">Rex!$E$4</definedName>
    <definedName name="barva_8" localSheetId="24">Tytan!$E$4</definedName>
    <definedName name="barva_8" localSheetId="32">Universal!$E$4</definedName>
    <definedName name="barva_8" localSheetId="26">Victoria!$E$4</definedName>
    <definedName name="barva_8">Faworyt!$E$4</definedName>
    <definedName name="_xlnm.Print_Area" localSheetId="31">'Fiona II'!$A$2:$J$59</definedName>
    <definedName name="_xlnm.Print_Area" localSheetId="1">profil!$A:$Q</definedName>
    <definedName name="_xlnm.Print_Area" localSheetId="3">System10!$A:$J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710" i="40" l="1"/>
  <c r="C3659" i="40" l="1"/>
  <c r="C3667" i="40"/>
  <c r="C3683" i="40"/>
  <c r="C3699" i="40"/>
  <c r="C3707" i="40"/>
  <c r="C3684" i="40"/>
  <c r="C3708" i="40"/>
  <c r="C3669" i="40"/>
  <c r="C3709" i="40"/>
  <c r="E31" i="88" s="1"/>
  <c r="C3222" i="40"/>
  <c r="C3286" i="40"/>
  <c r="C3350" i="40"/>
  <c r="C3414" i="40"/>
  <c r="C3478" i="40"/>
  <c r="C3542" i="40"/>
  <c r="C3606" i="40"/>
  <c r="C3670" i="40"/>
  <c r="C3678" i="40"/>
  <c r="C3694" i="40"/>
  <c r="C3247" i="40"/>
  <c r="C3271" i="40"/>
  <c r="C3311" i="40"/>
  <c r="C3335" i="40"/>
  <c r="C3375" i="40"/>
  <c r="C3399" i="40"/>
  <c r="C3439" i="40"/>
  <c r="C3463" i="40"/>
  <c r="C3503" i="40"/>
  <c r="C3527" i="40"/>
  <c r="C3567" i="40"/>
  <c r="C3591" i="40"/>
  <c r="C3631" i="40"/>
  <c r="C3656" i="40"/>
  <c r="C3680" i="40"/>
  <c r="C3712" i="40"/>
  <c r="C3505" i="40"/>
  <c r="C3649" i="40"/>
  <c r="C3673" i="40"/>
  <c r="C3697" i="40"/>
  <c r="C3226" i="40"/>
  <c r="C3418" i="40"/>
  <c r="C3610" i="40"/>
  <c r="C3234" i="40"/>
  <c r="C3298" i="40"/>
  <c r="C3490" i="40"/>
  <c r="C3618" i="40"/>
  <c r="C3242" i="40"/>
  <c r="C3306" i="40"/>
  <c r="C3498" i="40"/>
  <c r="C3626" i="40"/>
  <c r="C3442" i="40"/>
  <c r="C3634" i="40"/>
  <c r="C3386" i="40"/>
  <c r="C3330" i="40"/>
  <c r="C3394" i="40"/>
  <c r="C3586" i="40"/>
  <c r="C3714" i="40"/>
  <c r="C3282" i="40"/>
  <c r="C3602" i="40"/>
  <c r="C3274" i="40"/>
  <c r="C3530" i="40"/>
  <c r="C2452" i="40"/>
  <c r="C2460" i="40"/>
  <c r="C3658" i="40"/>
  <c r="C2552" i="40"/>
  <c r="C2600" i="40"/>
  <c r="C2712" i="40"/>
  <c r="C2936" i="40"/>
  <c r="C2984" i="40"/>
  <c r="C2439" i="40"/>
  <c r="C2471" i="40"/>
  <c r="C2505" i="40"/>
  <c r="C2513" i="40"/>
  <c r="C2577" i="40"/>
  <c r="C2617" i="40"/>
  <c r="C2641" i="40"/>
  <c r="C2705" i="40"/>
  <c r="C2769" i="40"/>
  <c r="C2777" i="40"/>
  <c r="C2833" i="40"/>
  <c r="C2889" i="40"/>
  <c r="C2897" i="40"/>
  <c r="C2961" i="40"/>
  <c r="C3001" i="40"/>
  <c r="C3025" i="40"/>
  <c r="C3049" i="40"/>
  <c r="C3089" i="40"/>
  <c r="C3153" i="40"/>
  <c r="C3217" i="40"/>
  <c r="C2498" i="40"/>
  <c r="C2522" i="40"/>
  <c r="C2562" i="40"/>
  <c r="C2570" i="40"/>
  <c r="C2586" i="40"/>
  <c r="C2626" i="40"/>
  <c r="C2650" i="40"/>
  <c r="C2666" i="40"/>
  <c r="C2674" i="40"/>
  <c r="C2690" i="40"/>
  <c r="C2714" i="40"/>
  <c r="C2754" i="40"/>
  <c r="C2778" i="40"/>
  <c r="C2818" i="40"/>
  <c r="C2842" i="40"/>
  <c r="C2882" i="40"/>
  <c r="C2906" i="40"/>
  <c r="C2946" i="40"/>
  <c r="C2954" i="40"/>
  <c r="C2970" i="40"/>
  <c r="C3010" i="40"/>
  <c r="C3034" i="40"/>
  <c r="C3066" i="40"/>
  <c r="C3074" i="40"/>
  <c r="C3098" i="40"/>
  <c r="C3114" i="40"/>
  <c r="C3122" i="40"/>
  <c r="C3138" i="40"/>
  <c r="C3162" i="40"/>
  <c r="C3202" i="40"/>
  <c r="C2483" i="40"/>
  <c r="C2507" i="40"/>
  <c r="C2547" i="40"/>
  <c r="C2571" i="40"/>
  <c r="C2611" i="40"/>
  <c r="C2635" i="40"/>
  <c r="C2675" i="40"/>
  <c r="C2683" i="40"/>
  <c r="C2699" i="40"/>
  <c r="C2731" i="40"/>
  <c r="C2739" i="40"/>
  <c r="C2763" i="40"/>
  <c r="C2803" i="40"/>
  <c r="C2827" i="40"/>
  <c r="C2843" i="40"/>
  <c r="C2867" i="40"/>
  <c r="C2891" i="40"/>
  <c r="C2931" i="40"/>
  <c r="C2955" i="40"/>
  <c r="C2995" i="40"/>
  <c r="C3019" i="40"/>
  <c r="C3059" i="40"/>
  <c r="C3083" i="40"/>
  <c r="C3123" i="40"/>
  <c r="C3131" i="40"/>
  <c r="C3147" i="40"/>
  <c r="C3179" i="40"/>
  <c r="C3187" i="40"/>
  <c r="C3211" i="40"/>
  <c r="C2492" i="40"/>
  <c r="C2516" i="40"/>
  <c r="C2532" i="40"/>
  <c r="C2556" i="40"/>
  <c r="C2596" i="40"/>
  <c r="C2620" i="40"/>
  <c r="C2636" i="40"/>
  <c r="C2660" i="40"/>
  <c r="C2684" i="40"/>
  <c r="C2724" i="40"/>
  <c r="C2748" i="40"/>
  <c r="C2788" i="40"/>
  <c r="C2796" i="40"/>
  <c r="C2812" i="40"/>
  <c r="C2852" i="40"/>
  <c r="C2876" i="40"/>
  <c r="C2900" i="40"/>
  <c r="C2916" i="40"/>
  <c r="C2940" i="40"/>
  <c r="C2980" i="40"/>
  <c r="C3004" i="40"/>
  <c r="C3020" i="40"/>
  <c r="C3044" i="40"/>
  <c r="C3068" i="40"/>
  <c r="C3108" i="40"/>
  <c r="C3132" i="40"/>
  <c r="C3172" i="40"/>
  <c r="C3196" i="40"/>
  <c r="C2525" i="40"/>
  <c r="C2693" i="40"/>
  <c r="C2749" i="40"/>
  <c r="C2909" i="40"/>
  <c r="C3085" i="40"/>
  <c r="C3141" i="40"/>
  <c r="C3197" i="40"/>
  <c r="C2469" i="40"/>
  <c r="C2487" i="40"/>
  <c r="C2511" i="40"/>
  <c r="C2535" i="40"/>
  <c r="C2575" i="40"/>
  <c r="C2599" i="40"/>
  <c r="C2639" i="40"/>
  <c r="C2663" i="40"/>
  <c r="C2703" i="40"/>
  <c r="C2727" i="40"/>
  <c r="C2767" i="40"/>
  <c r="C2791" i="40"/>
  <c r="C2823" i="40"/>
  <c r="C2831" i="40"/>
  <c r="C2855" i="40"/>
  <c r="C2871" i="40"/>
  <c r="C2895" i="40"/>
  <c r="C2919" i="40"/>
  <c r="C2959" i="40"/>
  <c r="C2983" i="40"/>
  <c r="C3023" i="40"/>
  <c r="C3047" i="40"/>
  <c r="C3087" i="40"/>
  <c r="C3095" i="40"/>
  <c r="C3111" i="40"/>
  <c r="C3151" i="40"/>
  <c r="C3175" i="40"/>
  <c r="C3215" i="40"/>
  <c r="C3216" i="40"/>
  <c r="C2974" i="40"/>
  <c r="C2846" i="40"/>
  <c r="C2654" i="40"/>
  <c r="C3711" i="40"/>
  <c r="C3713" i="40"/>
  <c r="C3715" i="40"/>
  <c r="C3716" i="40"/>
  <c r="C3717" i="40"/>
  <c r="B3717" i="40"/>
  <c r="E464" i="1" s="1"/>
  <c r="B3714" i="40"/>
  <c r="B3715" i="40"/>
  <c r="E405" i="1" s="1"/>
  <c r="B3716" i="40"/>
  <c r="E406" i="1"/>
  <c r="F406" i="1"/>
  <c r="F404" i="1"/>
  <c r="E404" i="1"/>
  <c r="Z407" i="1"/>
  <c r="B3711" i="40"/>
  <c r="B3712" i="40"/>
  <c r="B3713" i="40"/>
  <c r="E342" i="1" s="1"/>
  <c r="E340" i="1"/>
  <c r="F340" i="1"/>
  <c r="E341" i="1"/>
  <c r="F341" i="1"/>
  <c r="Z673" i="1"/>
  <c r="C7" i="88"/>
  <c r="C10" i="88" s="1"/>
  <c r="A70" i="88"/>
  <c r="A67" i="88"/>
  <c r="K66" i="88"/>
  <c r="I66" i="88"/>
  <c r="K65" i="88"/>
  <c r="I65" i="88"/>
  <c r="K64" i="88"/>
  <c r="I64" i="88"/>
  <c r="K63" i="88"/>
  <c r="I63" i="88"/>
  <c r="K62" i="88"/>
  <c r="I62" i="88"/>
  <c r="K61" i="88"/>
  <c r="I61" i="88"/>
  <c r="K60" i="88"/>
  <c r="I60" i="88"/>
  <c r="I59" i="88"/>
  <c r="K58" i="88"/>
  <c r="I58" i="88"/>
  <c r="I57" i="88"/>
  <c r="J56" i="88"/>
  <c r="I56" i="88"/>
  <c r="K55" i="88"/>
  <c r="I55" i="88"/>
  <c r="K54" i="88"/>
  <c r="I54" i="88"/>
  <c r="K53" i="88"/>
  <c r="K52" i="88"/>
  <c r="K51" i="88"/>
  <c r="I51" i="88"/>
  <c r="K50" i="88"/>
  <c r="I50" i="88"/>
  <c r="K49" i="88"/>
  <c r="I49" i="88"/>
  <c r="L48" i="88"/>
  <c r="K48" i="88"/>
  <c r="I48" i="88"/>
  <c r="K47" i="88"/>
  <c r="I47" i="88"/>
  <c r="K46" i="88"/>
  <c r="I46" i="88"/>
  <c r="K45" i="88"/>
  <c r="I45" i="88"/>
  <c r="K44" i="88"/>
  <c r="I44" i="88"/>
  <c r="K43" i="88"/>
  <c r="B43" i="88"/>
  <c r="I42" i="88"/>
  <c r="I41" i="88"/>
  <c r="K40" i="88"/>
  <c r="I40" i="88"/>
  <c r="I35" i="88"/>
  <c r="D35" i="88"/>
  <c r="K35" i="88" s="1"/>
  <c r="D33" i="88"/>
  <c r="D32" i="88"/>
  <c r="B32" i="88"/>
  <c r="D31" i="88"/>
  <c r="K31" i="88" s="1"/>
  <c r="G26" i="88"/>
  <c r="A14" i="88"/>
  <c r="C11" i="88"/>
  <c r="P10" i="88"/>
  <c r="M9" i="88"/>
  <c r="P7" i="88"/>
  <c r="B7" i="88"/>
  <c r="B8" i="88" s="1"/>
  <c r="B6" i="88"/>
  <c r="N4" i="88"/>
  <c r="N5" i="88" s="1"/>
  <c r="L4" i="88"/>
  <c r="L5" i="88" s="1"/>
  <c r="C7" i="87"/>
  <c r="C10" i="87" s="1"/>
  <c r="A70" i="87"/>
  <c r="A67" i="87"/>
  <c r="K66" i="87"/>
  <c r="I66" i="87"/>
  <c r="K65" i="87"/>
  <c r="I65" i="87"/>
  <c r="K64" i="87"/>
  <c r="I64" i="87"/>
  <c r="K63" i="87"/>
  <c r="I63" i="87"/>
  <c r="K62" i="87"/>
  <c r="I62" i="87"/>
  <c r="K61" i="87"/>
  <c r="I61" i="87"/>
  <c r="K60" i="87"/>
  <c r="I60" i="87"/>
  <c r="I59" i="87"/>
  <c r="K58" i="87"/>
  <c r="I58" i="87"/>
  <c r="I57" i="87"/>
  <c r="J56" i="87"/>
  <c r="I56" i="87"/>
  <c r="K55" i="87"/>
  <c r="I55" i="87"/>
  <c r="K54" i="87"/>
  <c r="I54" i="87"/>
  <c r="K53" i="87"/>
  <c r="K52" i="87"/>
  <c r="K51" i="87"/>
  <c r="I51" i="87"/>
  <c r="K50" i="87"/>
  <c r="I50" i="87"/>
  <c r="K49" i="87"/>
  <c r="I49" i="87"/>
  <c r="L48" i="87"/>
  <c r="K48" i="87"/>
  <c r="I48" i="87"/>
  <c r="K47" i="87"/>
  <c r="I47" i="87"/>
  <c r="K46" i="87"/>
  <c r="I46" i="87"/>
  <c r="K45" i="87"/>
  <c r="I45" i="87"/>
  <c r="K44" i="87"/>
  <c r="I44" i="87"/>
  <c r="K43" i="87"/>
  <c r="B43" i="87"/>
  <c r="I42" i="87"/>
  <c r="I41" i="87"/>
  <c r="K40" i="87"/>
  <c r="I40" i="87"/>
  <c r="I35" i="87"/>
  <c r="D35" i="87"/>
  <c r="K35" i="87" s="1"/>
  <c r="D33" i="87"/>
  <c r="D32" i="87"/>
  <c r="B32" i="87"/>
  <c r="I31" i="87"/>
  <c r="D31" i="87"/>
  <c r="K31" i="87" s="1"/>
  <c r="G26" i="87"/>
  <c r="A14" i="87"/>
  <c r="C11" i="87"/>
  <c r="P10" i="87"/>
  <c r="M9" i="87"/>
  <c r="P7" i="87"/>
  <c r="B7" i="87"/>
  <c r="B12" i="87" s="1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6" i="1"/>
  <c r="Z737" i="1"/>
  <c r="Z738" i="1"/>
  <c r="Z739" i="1"/>
  <c r="Z740" i="1"/>
  <c r="Z741" i="1"/>
  <c r="Z742" i="1"/>
  <c r="Z743" i="1"/>
  <c r="Z744" i="1"/>
  <c r="Z745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1" i="1"/>
  <c r="C3647" i="40"/>
  <c r="C3648" i="40"/>
  <c r="C3650" i="40"/>
  <c r="C3651" i="40"/>
  <c r="C3652" i="40"/>
  <c r="C3653" i="40"/>
  <c r="C3654" i="40"/>
  <c r="C3655" i="40"/>
  <c r="C3657" i="40"/>
  <c r="C3660" i="40"/>
  <c r="C3661" i="40"/>
  <c r="C3662" i="40"/>
  <c r="C3663" i="40"/>
  <c r="C3664" i="40"/>
  <c r="C3665" i="40"/>
  <c r="C3666" i="40"/>
  <c r="C3668" i="40"/>
  <c r="C3671" i="40"/>
  <c r="C3672" i="40"/>
  <c r="C3674" i="40"/>
  <c r="C3675" i="40"/>
  <c r="C3676" i="40"/>
  <c r="C3677" i="40"/>
  <c r="C3679" i="40"/>
  <c r="C3681" i="40"/>
  <c r="C3682" i="40"/>
  <c r="C3685" i="40"/>
  <c r="C3686" i="40"/>
  <c r="C3687" i="40"/>
  <c r="C3688" i="40"/>
  <c r="C3689" i="40"/>
  <c r="C3690" i="40"/>
  <c r="C3691" i="40"/>
  <c r="C3692" i="40"/>
  <c r="C3693" i="40"/>
  <c r="C3695" i="40"/>
  <c r="C3696" i="40"/>
  <c r="C3698" i="40"/>
  <c r="C3700" i="40"/>
  <c r="C3701" i="40"/>
  <c r="C3702" i="40"/>
  <c r="C3703" i="40"/>
  <c r="C3704" i="40"/>
  <c r="C3705" i="40"/>
  <c r="C3706" i="40"/>
  <c r="B3674" i="40"/>
  <c r="B3675" i="40"/>
  <c r="B3676" i="40"/>
  <c r="B3677" i="40"/>
  <c r="B3678" i="40"/>
  <c r="B3679" i="40"/>
  <c r="B3680" i="40"/>
  <c r="B3681" i="40"/>
  <c r="B3682" i="40"/>
  <c r="B3683" i="40"/>
  <c r="E746" i="1" s="1"/>
  <c r="B3684" i="40"/>
  <c r="E747" i="1" s="1"/>
  <c r="B3685" i="40"/>
  <c r="E748" i="1" s="1"/>
  <c r="B3686" i="40"/>
  <c r="E749" i="1" s="1"/>
  <c r="B3687" i="40"/>
  <c r="E750" i="1" s="1"/>
  <c r="B3688" i="40"/>
  <c r="E751" i="1" s="1"/>
  <c r="B3689" i="40"/>
  <c r="B3690" i="40"/>
  <c r="B3691" i="40"/>
  <c r="B3692" i="40"/>
  <c r="E730" i="1" s="1"/>
  <c r="B3693" i="40"/>
  <c r="E731" i="1" s="1"/>
  <c r="B3694" i="40"/>
  <c r="E732" i="1" s="1"/>
  <c r="B3695" i="40"/>
  <c r="E733" i="1" s="1"/>
  <c r="B3696" i="40"/>
  <c r="E734" i="1" s="1"/>
  <c r="B3697" i="40"/>
  <c r="E735" i="1" s="1"/>
  <c r="B3698" i="40"/>
  <c r="E728" i="1" s="1"/>
  <c r="B3699" i="40"/>
  <c r="B3700" i="40"/>
  <c r="B3701" i="40"/>
  <c r="E839" i="1" s="1"/>
  <c r="B3702" i="40"/>
  <c r="E838" i="1" s="1"/>
  <c r="B3703" i="40"/>
  <c r="F837" i="1" s="1"/>
  <c r="B3704" i="40"/>
  <c r="E842" i="1" s="1"/>
  <c r="B3705" i="40"/>
  <c r="E841" i="1" s="1"/>
  <c r="B3706" i="40"/>
  <c r="E840" i="1" s="1"/>
  <c r="B3707" i="40"/>
  <c r="B3708" i="40"/>
  <c r="B3709" i="40"/>
  <c r="C31" i="88" s="1"/>
  <c r="I575" i="1"/>
  <c r="C575" i="1"/>
  <c r="I615" i="1"/>
  <c r="C615" i="1"/>
  <c r="I605" i="1"/>
  <c r="C605" i="1"/>
  <c r="I595" i="1"/>
  <c r="C595" i="1"/>
  <c r="I544" i="1"/>
  <c r="C544" i="1"/>
  <c r="C533" i="1"/>
  <c r="C811" i="1"/>
  <c r="L71" i="56"/>
  <c r="J1" i="1"/>
  <c r="J8" i="1" s="1"/>
  <c r="C564" i="1" s="1"/>
  <c r="K7" i="1"/>
  <c r="I466" i="1"/>
  <c r="C466" i="1"/>
  <c r="I392" i="1"/>
  <c r="I393" i="1"/>
  <c r="I391" i="1"/>
  <c r="C392" i="1"/>
  <c r="C393" i="1"/>
  <c r="C391" i="1"/>
  <c r="I338" i="1"/>
  <c r="I339" i="1"/>
  <c r="I337" i="1"/>
  <c r="C338" i="1"/>
  <c r="C339" i="1"/>
  <c r="C337" i="1"/>
  <c r="C676" i="1"/>
  <c r="C809" i="1"/>
  <c r="I181" i="1"/>
  <c r="I182" i="1"/>
  <c r="I183" i="1"/>
  <c r="I184" i="1"/>
  <c r="I180" i="1"/>
  <c r="C181" i="1"/>
  <c r="C182" i="1"/>
  <c r="C183" i="1"/>
  <c r="C184" i="1"/>
  <c r="C180" i="1"/>
  <c r="I55" i="1"/>
  <c r="I56" i="1"/>
  <c r="I57" i="1"/>
  <c r="I58" i="1"/>
  <c r="I54" i="1"/>
  <c r="C55" i="1"/>
  <c r="C56" i="1"/>
  <c r="C57" i="1"/>
  <c r="C58" i="1"/>
  <c r="C54" i="1"/>
  <c r="C242" i="1"/>
  <c r="C243" i="1"/>
  <c r="C244" i="1"/>
  <c r="C245" i="1"/>
  <c r="C241" i="1"/>
  <c r="I242" i="1"/>
  <c r="I243" i="1"/>
  <c r="I244" i="1"/>
  <c r="I245" i="1"/>
  <c r="I241" i="1"/>
  <c r="L77" i="31"/>
  <c r="B3645" i="40"/>
  <c r="E575" i="1" s="1"/>
  <c r="B3646" i="40"/>
  <c r="E595" i="1" s="1"/>
  <c r="B3647" i="40"/>
  <c r="E605" i="1" s="1"/>
  <c r="B3648" i="40"/>
  <c r="E615" i="1" s="1"/>
  <c r="B3649" i="40"/>
  <c r="E391" i="1" s="1"/>
  <c r="B3650" i="40"/>
  <c r="E392" i="1" s="1"/>
  <c r="B3651" i="40"/>
  <c r="E393" i="1" s="1"/>
  <c r="B3652" i="40"/>
  <c r="F337" i="1" s="1"/>
  <c r="B3653" i="40"/>
  <c r="E338" i="1" s="1"/>
  <c r="B3654" i="40"/>
  <c r="F339" i="1" s="1"/>
  <c r="B3655" i="40"/>
  <c r="E466" i="1" s="1"/>
  <c r="B3656" i="40"/>
  <c r="E544" i="1" s="1"/>
  <c r="B3657" i="40"/>
  <c r="E533" i="1" s="1"/>
  <c r="B3658" i="40"/>
  <c r="E676" i="1" s="1"/>
  <c r="B3659" i="40"/>
  <c r="F54" i="1" s="1"/>
  <c r="B3660" i="40"/>
  <c r="F55" i="1" s="1"/>
  <c r="B3661" i="40"/>
  <c r="F56" i="1" s="1"/>
  <c r="B3662" i="40"/>
  <c r="F57" i="1" s="1"/>
  <c r="B3663" i="40"/>
  <c r="F58" i="1" s="1"/>
  <c r="B3664" i="40"/>
  <c r="E241" i="1" s="1"/>
  <c r="B3665" i="40"/>
  <c r="F242" i="1" s="1"/>
  <c r="B3666" i="40"/>
  <c r="E243" i="1" s="1"/>
  <c r="B3667" i="40"/>
  <c r="F244" i="1" s="1"/>
  <c r="B3668" i="40"/>
  <c r="E245" i="1" s="1"/>
  <c r="B3669" i="40"/>
  <c r="F180" i="1" s="1"/>
  <c r="B3670" i="40"/>
  <c r="F181" i="1" s="1"/>
  <c r="B3671" i="40"/>
  <c r="E182" i="1" s="1"/>
  <c r="B3672" i="40"/>
  <c r="F183" i="1" s="1"/>
  <c r="B3673" i="40"/>
  <c r="F184" i="1" s="1"/>
  <c r="C3646" i="40"/>
  <c r="C3645" i="40"/>
  <c r="C2437" i="40"/>
  <c r="C2438" i="40"/>
  <c r="C2440" i="40"/>
  <c r="C2441" i="40"/>
  <c r="C2442" i="40"/>
  <c r="C2443" i="40"/>
  <c r="C2444" i="40"/>
  <c r="C2445" i="40"/>
  <c r="C2446" i="40"/>
  <c r="C2447" i="40"/>
  <c r="C2448" i="40"/>
  <c r="C2449" i="40"/>
  <c r="C2450" i="40"/>
  <c r="C2451" i="40"/>
  <c r="C2453" i="40"/>
  <c r="C2454" i="40"/>
  <c r="C2455" i="40"/>
  <c r="C2456" i="40"/>
  <c r="C2457" i="40"/>
  <c r="C2458" i="40"/>
  <c r="C2459" i="40"/>
  <c r="C2461" i="40"/>
  <c r="C2462" i="40"/>
  <c r="C2463" i="40"/>
  <c r="C2464" i="40"/>
  <c r="C2465" i="40"/>
  <c r="C2466" i="40"/>
  <c r="C2467" i="40"/>
  <c r="C2468" i="40"/>
  <c r="C2470" i="40"/>
  <c r="C2472" i="40"/>
  <c r="C2473" i="40"/>
  <c r="C2474" i="40"/>
  <c r="C2475" i="40"/>
  <c r="C2476" i="40"/>
  <c r="C2477" i="40"/>
  <c r="C2478" i="40"/>
  <c r="C2479" i="40"/>
  <c r="C2480" i="40"/>
  <c r="C2481" i="40"/>
  <c r="C2482" i="40"/>
  <c r="C2484" i="40"/>
  <c r="C2485" i="40"/>
  <c r="C2486" i="40"/>
  <c r="C2488" i="40"/>
  <c r="C2489" i="40"/>
  <c r="C2490" i="40"/>
  <c r="C2491" i="40"/>
  <c r="C2493" i="40"/>
  <c r="C2494" i="40"/>
  <c r="C2495" i="40"/>
  <c r="C2496" i="40"/>
  <c r="C2497" i="40"/>
  <c r="C2499" i="40"/>
  <c r="C2500" i="40"/>
  <c r="C2501" i="40"/>
  <c r="C2502" i="40"/>
  <c r="C2503" i="40"/>
  <c r="C2504" i="40"/>
  <c r="C2506" i="40"/>
  <c r="C2508" i="40"/>
  <c r="C2509" i="40"/>
  <c r="C2510" i="40"/>
  <c r="C2512" i="40"/>
  <c r="C2514" i="40"/>
  <c r="C2515" i="40"/>
  <c r="C2517" i="40"/>
  <c r="C2518" i="40"/>
  <c r="C2519" i="40"/>
  <c r="C2520" i="40"/>
  <c r="C2521" i="40"/>
  <c r="C2523" i="40"/>
  <c r="C2524" i="40"/>
  <c r="C2526" i="40"/>
  <c r="C2527" i="40"/>
  <c r="C2528" i="40"/>
  <c r="C2529" i="40"/>
  <c r="C2530" i="40"/>
  <c r="C2531" i="40"/>
  <c r="C2533" i="40"/>
  <c r="C2534" i="40"/>
  <c r="C2536" i="40"/>
  <c r="C2537" i="40"/>
  <c r="C2538" i="40"/>
  <c r="C2539" i="40"/>
  <c r="C2540" i="40"/>
  <c r="C2541" i="40"/>
  <c r="C2542" i="40"/>
  <c r="C2543" i="40"/>
  <c r="C2544" i="40"/>
  <c r="C2545" i="40"/>
  <c r="C2546" i="40"/>
  <c r="C2548" i="40"/>
  <c r="C2549" i="40"/>
  <c r="C2550" i="40"/>
  <c r="C2551" i="40"/>
  <c r="C2553" i="40"/>
  <c r="C2554" i="40"/>
  <c r="C2555" i="40"/>
  <c r="C2557" i="40"/>
  <c r="C2558" i="40"/>
  <c r="C2559" i="40"/>
  <c r="C2560" i="40"/>
  <c r="C2561" i="40"/>
  <c r="C2563" i="40"/>
  <c r="C2564" i="40"/>
  <c r="C2565" i="40"/>
  <c r="C2566" i="40"/>
  <c r="C2567" i="40"/>
  <c r="C2568" i="40"/>
  <c r="C2569" i="40"/>
  <c r="C2572" i="40"/>
  <c r="C2573" i="40"/>
  <c r="C2574" i="40"/>
  <c r="C2576" i="40"/>
  <c r="C2578" i="40"/>
  <c r="C2579" i="40"/>
  <c r="C2580" i="40"/>
  <c r="C2581" i="40"/>
  <c r="C2582" i="40"/>
  <c r="C2583" i="40"/>
  <c r="C2584" i="40"/>
  <c r="C2585" i="40"/>
  <c r="C2587" i="40"/>
  <c r="C2588" i="40"/>
  <c r="C2589" i="40"/>
  <c r="C2590" i="40"/>
  <c r="C2591" i="40"/>
  <c r="C2592" i="40"/>
  <c r="C2593" i="40"/>
  <c r="C2594" i="40"/>
  <c r="C2595" i="40"/>
  <c r="C2597" i="40"/>
  <c r="C2598" i="40"/>
  <c r="C2601" i="40"/>
  <c r="C2602" i="40"/>
  <c r="C2603" i="40"/>
  <c r="C2604" i="40"/>
  <c r="C2605" i="40"/>
  <c r="C2606" i="40"/>
  <c r="C2607" i="40"/>
  <c r="C2608" i="40"/>
  <c r="C2609" i="40"/>
  <c r="C2610" i="40"/>
  <c r="C2612" i="40"/>
  <c r="C2613" i="40"/>
  <c r="C2614" i="40"/>
  <c r="C2615" i="40"/>
  <c r="C2616" i="40"/>
  <c r="C2618" i="40"/>
  <c r="C2619" i="40"/>
  <c r="C2621" i="40"/>
  <c r="C2622" i="40"/>
  <c r="C2623" i="40"/>
  <c r="C2624" i="40"/>
  <c r="C2625" i="40"/>
  <c r="C2627" i="40"/>
  <c r="C2628" i="40"/>
  <c r="C2629" i="40"/>
  <c r="C2630" i="40"/>
  <c r="C2631" i="40"/>
  <c r="C2632" i="40"/>
  <c r="C2633" i="40"/>
  <c r="C2634" i="40"/>
  <c r="C2637" i="40"/>
  <c r="C2638" i="40"/>
  <c r="C2640" i="40"/>
  <c r="C2642" i="40"/>
  <c r="C2643" i="40"/>
  <c r="C2644" i="40"/>
  <c r="C2645" i="40"/>
  <c r="C2646" i="40"/>
  <c r="C2647" i="40"/>
  <c r="C2648" i="40"/>
  <c r="C2649" i="40"/>
  <c r="C2651" i="40"/>
  <c r="C2652" i="40"/>
  <c r="C2653" i="40"/>
  <c r="C2655" i="40"/>
  <c r="C2656" i="40"/>
  <c r="C2657" i="40"/>
  <c r="C2658" i="40"/>
  <c r="C2659" i="40"/>
  <c r="C2661" i="40"/>
  <c r="C2662" i="40"/>
  <c r="C2664" i="40"/>
  <c r="C2665" i="40"/>
  <c r="C2667" i="40"/>
  <c r="C2668" i="40"/>
  <c r="C2669" i="40"/>
  <c r="C2670" i="40"/>
  <c r="C2671" i="40"/>
  <c r="C2672" i="40"/>
  <c r="C2673" i="40"/>
  <c r="C2676" i="40"/>
  <c r="C2677" i="40"/>
  <c r="C2678" i="40"/>
  <c r="C2679" i="40"/>
  <c r="C2680" i="40"/>
  <c r="C2681" i="40"/>
  <c r="C2682" i="40"/>
  <c r="C2685" i="40"/>
  <c r="C2686" i="40"/>
  <c r="C2687" i="40"/>
  <c r="C2688" i="40"/>
  <c r="C2689" i="40"/>
  <c r="C2691" i="40"/>
  <c r="C2692" i="40"/>
  <c r="C2694" i="40"/>
  <c r="C2695" i="40"/>
  <c r="C2696" i="40"/>
  <c r="C2697" i="40"/>
  <c r="C2698" i="40"/>
  <c r="C2700" i="40"/>
  <c r="C2701" i="40"/>
  <c r="C2702" i="40"/>
  <c r="C2704" i="40"/>
  <c r="C2706" i="40"/>
  <c r="C2707" i="40"/>
  <c r="C2708" i="40"/>
  <c r="C2709" i="40"/>
  <c r="C2710" i="40"/>
  <c r="C2711" i="40"/>
  <c r="C2713" i="40"/>
  <c r="C2715" i="40"/>
  <c r="C2716" i="40"/>
  <c r="C2717" i="40"/>
  <c r="C2718" i="40"/>
  <c r="C2719" i="40"/>
  <c r="C2720" i="40"/>
  <c r="C2721" i="40"/>
  <c r="C2722" i="40"/>
  <c r="C2723" i="40"/>
  <c r="C2725" i="40"/>
  <c r="C2726" i="40"/>
  <c r="C2728" i="40"/>
  <c r="C2729" i="40"/>
  <c r="C2730" i="40"/>
  <c r="C2732" i="40"/>
  <c r="C2733" i="40"/>
  <c r="C2734" i="40"/>
  <c r="C2735" i="40"/>
  <c r="C2736" i="40"/>
  <c r="C2737" i="40"/>
  <c r="C2738" i="40"/>
  <c r="C2740" i="40"/>
  <c r="C2741" i="40"/>
  <c r="C2742" i="40"/>
  <c r="C2743" i="40"/>
  <c r="C2744" i="40"/>
  <c r="C2745" i="40"/>
  <c r="C2746" i="40"/>
  <c r="C2747" i="40"/>
  <c r="C2750" i="40"/>
  <c r="C2751" i="40"/>
  <c r="C2752" i="40"/>
  <c r="C2753" i="40"/>
  <c r="C2755" i="40"/>
  <c r="C2756" i="40"/>
  <c r="C2757" i="40"/>
  <c r="C2758" i="40"/>
  <c r="C2759" i="40"/>
  <c r="C2760" i="40"/>
  <c r="C2761" i="40"/>
  <c r="C2762" i="40"/>
  <c r="C2764" i="40"/>
  <c r="C2765" i="40"/>
  <c r="C2766" i="40"/>
  <c r="C2768" i="40"/>
  <c r="C2770" i="40"/>
  <c r="C2771" i="40"/>
  <c r="C2772" i="40"/>
  <c r="C2773" i="40"/>
  <c r="C2774" i="40"/>
  <c r="C2775" i="40"/>
  <c r="C2776" i="40"/>
  <c r="C2779" i="40"/>
  <c r="C2780" i="40"/>
  <c r="C2781" i="40"/>
  <c r="C2782" i="40"/>
  <c r="C2783" i="40"/>
  <c r="C2784" i="40"/>
  <c r="C2785" i="40"/>
  <c r="C2786" i="40"/>
  <c r="C2787" i="40"/>
  <c r="C2789" i="40"/>
  <c r="C2790" i="40"/>
  <c r="C2792" i="40"/>
  <c r="C2793" i="40"/>
  <c r="C2794" i="40"/>
  <c r="C2795" i="40"/>
  <c r="C2797" i="40"/>
  <c r="C2798" i="40"/>
  <c r="C2799" i="40"/>
  <c r="C2800" i="40"/>
  <c r="C2801" i="40"/>
  <c r="C2802" i="40"/>
  <c r="C2804" i="40"/>
  <c r="C2805" i="40"/>
  <c r="C2806" i="40"/>
  <c r="C2807" i="40"/>
  <c r="C2808" i="40"/>
  <c r="C2809" i="40"/>
  <c r="C2810" i="40"/>
  <c r="C2811" i="40"/>
  <c r="C2813" i="40"/>
  <c r="C2814" i="40"/>
  <c r="C2815" i="40"/>
  <c r="C2816" i="40"/>
  <c r="C2817" i="40"/>
  <c r="C2819" i="40"/>
  <c r="C2820" i="40"/>
  <c r="C2821" i="40"/>
  <c r="C2822" i="40"/>
  <c r="C2824" i="40"/>
  <c r="C2825" i="40"/>
  <c r="C2826" i="40"/>
  <c r="C2828" i="40"/>
  <c r="C2829" i="40"/>
  <c r="C2830" i="40"/>
  <c r="C2832" i="40"/>
  <c r="C2834" i="40"/>
  <c r="C2835" i="40"/>
  <c r="C2836" i="40"/>
  <c r="C2837" i="40"/>
  <c r="C2838" i="40"/>
  <c r="C2839" i="40"/>
  <c r="C2840" i="40"/>
  <c r="C2841" i="40"/>
  <c r="C2844" i="40"/>
  <c r="C2845" i="40"/>
  <c r="C2847" i="40"/>
  <c r="C2848" i="40"/>
  <c r="C2849" i="40"/>
  <c r="C2850" i="40"/>
  <c r="C2851" i="40"/>
  <c r="C2853" i="40"/>
  <c r="C2854" i="40"/>
  <c r="C2856" i="40"/>
  <c r="C2857" i="40"/>
  <c r="C2858" i="40"/>
  <c r="C2859" i="40"/>
  <c r="C2860" i="40"/>
  <c r="C2861" i="40"/>
  <c r="C2862" i="40"/>
  <c r="C2863" i="40"/>
  <c r="C2864" i="40"/>
  <c r="C2865" i="40"/>
  <c r="C2866" i="40"/>
  <c r="C2868" i="40"/>
  <c r="C2869" i="40"/>
  <c r="C2870" i="40"/>
  <c r="C2872" i="40"/>
  <c r="C2873" i="40"/>
  <c r="C2874" i="40"/>
  <c r="C2875" i="40"/>
  <c r="C2877" i="40"/>
  <c r="C2878" i="40"/>
  <c r="C2879" i="40"/>
  <c r="C2880" i="40"/>
  <c r="C2881" i="40"/>
  <c r="C2883" i="40"/>
  <c r="C2884" i="40"/>
  <c r="C2885" i="40"/>
  <c r="C2886" i="40"/>
  <c r="C2887" i="40"/>
  <c r="C2888" i="40"/>
  <c r="C2890" i="40"/>
  <c r="C2892" i="40"/>
  <c r="C2893" i="40"/>
  <c r="C2894" i="40"/>
  <c r="C2896" i="40"/>
  <c r="C2898" i="40"/>
  <c r="C2899" i="40"/>
  <c r="C2901" i="40"/>
  <c r="C2902" i="40"/>
  <c r="C2903" i="40"/>
  <c r="C2904" i="40"/>
  <c r="C2905" i="40"/>
  <c r="C2907" i="40"/>
  <c r="C2908" i="40"/>
  <c r="C2910" i="40"/>
  <c r="C2911" i="40"/>
  <c r="C2912" i="40"/>
  <c r="C2913" i="40"/>
  <c r="C2914" i="40"/>
  <c r="C2915" i="40"/>
  <c r="C2917" i="40"/>
  <c r="C2918" i="40"/>
  <c r="C2920" i="40"/>
  <c r="C2921" i="40"/>
  <c r="C2922" i="40"/>
  <c r="C2923" i="40"/>
  <c r="C2924" i="40"/>
  <c r="C2925" i="40"/>
  <c r="C2926" i="40"/>
  <c r="C2927" i="40"/>
  <c r="C2928" i="40"/>
  <c r="C2929" i="40"/>
  <c r="C2930" i="40"/>
  <c r="C2932" i="40"/>
  <c r="C2933" i="40"/>
  <c r="C2934" i="40"/>
  <c r="C2935" i="40"/>
  <c r="C2937" i="40"/>
  <c r="C2938" i="40"/>
  <c r="C2939" i="40"/>
  <c r="C2941" i="40"/>
  <c r="C2942" i="40"/>
  <c r="C2943" i="40"/>
  <c r="C2944" i="40"/>
  <c r="C2945" i="40"/>
  <c r="C2947" i="40"/>
  <c r="C2948" i="40"/>
  <c r="C2949" i="40"/>
  <c r="C2950" i="40"/>
  <c r="C2951" i="40"/>
  <c r="C2952" i="40"/>
  <c r="C2953" i="40"/>
  <c r="C2956" i="40"/>
  <c r="C2957" i="40"/>
  <c r="C2958" i="40"/>
  <c r="C2960" i="40"/>
  <c r="C2962" i="40"/>
  <c r="C2963" i="40"/>
  <c r="C2964" i="40"/>
  <c r="C2965" i="40"/>
  <c r="C2966" i="40"/>
  <c r="C2967" i="40"/>
  <c r="C2968" i="40"/>
  <c r="C2969" i="40"/>
  <c r="C2971" i="40"/>
  <c r="C2972" i="40"/>
  <c r="C2973" i="40"/>
  <c r="C2975" i="40"/>
  <c r="C2976" i="40"/>
  <c r="C2977" i="40"/>
  <c r="C2978" i="40"/>
  <c r="C2979" i="40"/>
  <c r="C2981" i="40"/>
  <c r="C2982" i="40"/>
  <c r="C2985" i="40"/>
  <c r="C2986" i="40"/>
  <c r="C2987" i="40"/>
  <c r="C2988" i="40"/>
  <c r="C2989" i="40"/>
  <c r="C2990" i="40"/>
  <c r="C2991" i="40"/>
  <c r="C2992" i="40"/>
  <c r="C2993" i="40"/>
  <c r="C2994" i="40"/>
  <c r="C2996" i="40"/>
  <c r="C2997" i="40"/>
  <c r="C2998" i="40"/>
  <c r="C2999" i="40"/>
  <c r="C3000" i="40"/>
  <c r="C3002" i="40"/>
  <c r="C3003" i="40"/>
  <c r="C3005" i="40"/>
  <c r="C3006" i="40"/>
  <c r="C3007" i="40"/>
  <c r="C3008" i="40"/>
  <c r="C3009" i="40"/>
  <c r="C3011" i="40"/>
  <c r="C3012" i="40"/>
  <c r="C3013" i="40"/>
  <c r="C3014" i="40"/>
  <c r="C3015" i="40"/>
  <c r="C3016" i="40"/>
  <c r="C3017" i="40"/>
  <c r="C3018" i="40"/>
  <c r="C3021" i="40"/>
  <c r="C3022" i="40"/>
  <c r="C3024" i="40"/>
  <c r="C3026" i="40"/>
  <c r="C3027" i="40"/>
  <c r="C3028" i="40"/>
  <c r="C3029" i="40"/>
  <c r="C3030" i="40"/>
  <c r="C3031" i="40"/>
  <c r="C3032" i="40"/>
  <c r="C3033" i="40"/>
  <c r="C3035" i="40"/>
  <c r="C3036" i="40"/>
  <c r="C3037" i="40"/>
  <c r="C3038" i="40"/>
  <c r="C3039" i="40"/>
  <c r="C3040" i="40"/>
  <c r="C3041" i="40"/>
  <c r="C3042" i="40"/>
  <c r="C3043" i="40"/>
  <c r="C3045" i="40"/>
  <c r="C3046" i="40"/>
  <c r="C3048" i="40"/>
  <c r="C3050" i="40"/>
  <c r="C3051" i="40"/>
  <c r="C3052" i="40"/>
  <c r="C3053" i="40"/>
  <c r="C3054" i="40"/>
  <c r="C3055" i="40"/>
  <c r="C3056" i="40"/>
  <c r="C3057" i="40"/>
  <c r="C3058" i="40"/>
  <c r="C3060" i="40"/>
  <c r="C3061" i="40"/>
  <c r="C3062" i="40"/>
  <c r="C3063" i="40"/>
  <c r="C3064" i="40"/>
  <c r="C3065" i="40"/>
  <c r="C3067" i="40"/>
  <c r="C3069" i="40"/>
  <c r="C3070" i="40"/>
  <c r="C3071" i="40"/>
  <c r="C3072" i="40"/>
  <c r="C3073" i="40"/>
  <c r="C3075" i="40"/>
  <c r="C3076" i="40"/>
  <c r="C3077" i="40"/>
  <c r="C3078" i="40"/>
  <c r="C3079" i="40"/>
  <c r="C3080" i="40"/>
  <c r="C3081" i="40"/>
  <c r="C3082" i="40"/>
  <c r="C3084" i="40"/>
  <c r="C3086" i="40"/>
  <c r="C3088" i="40"/>
  <c r="C3090" i="40"/>
  <c r="C3091" i="40"/>
  <c r="C3092" i="40"/>
  <c r="C3093" i="40"/>
  <c r="C3094" i="40"/>
  <c r="C3096" i="40"/>
  <c r="C3097" i="40"/>
  <c r="C3099" i="40"/>
  <c r="C3100" i="40"/>
  <c r="C3101" i="40"/>
  <c r="C3102" i="40"/>
  <c r="C3103" i="40"/>
  <c r="C3104" i="40"/>
  <c r="C3105" i="40"/>
  <c r="C3106" i="40"/>
  <c r="C3107" i="40"/>
  <c r="C3109" i="40"/>
  <c r="C3110" i="40"/>
  <c r="C3112" i="40"/>
  <c r="C3113" i="40"/>
  <c r="C3115" i="40"/>
  <c r="C3116" i="40"/>
  <c r="C3117" i="40"/>
  <c r="C3118" i="40"/>
  <c r="C3119" i="40"/>
  <c r="C3120" i="40"/>
  <c r="C3121" i="40"/>
  <c r="C3124" i="40"/>
  <c r="C3125" i="40"/>
  <c r="C3126" i="40"/>
  <c r="C3127" i="40"/>
  <c r="C3128" i="40"/>
  <c r="C3129" i="40"/>
  <c r="C3130" i="40"/>
  <c r="C3133" i="40"/>
  <c r="C3134" i="40"/>
  <c r="C3135" i="40"/>
  <c r="C3136" i="40"/>
  <c r="C3137" i="40"/>
  <c r="C3139" i="40"/>
  <c r="C3140" i="40"/>
  <c r="C3142" i="40"/>
  <c r="C3143" i="40"/>
  <c r="C3144" i="40"/>
  <c r="C3145" i="40"/>
  <c r="C3146" i="40"/>
  <c r="C3148" i="40"/>
  <c r="C3149" i="40"/>
  <c r="C3150" i="40"/>
  <c r="C3152" i="40"/>
  <c r="C3154" i="40"/>
  <c r="C3155" i="40"/>
  <c r="C3156" i="40"/>
  <c r="C3157" i="40"/>
  <c r="C3158" i="40"/>
  <c r="C3159" i="40"/>
  <c r="C3160" i="40"/>
  <c r="C3161" i="40"/>
  <c r="C3163" i="40"/>
  <c r="C3164" i="40"/>
  <c r="C3165" i="40"/>
  <c r="C3166" i="40"/>
  <c r="C3167" i="40"/>
  <c r="C3168" i="40"/>
  <c r="C3169" i="40"/>
  <c r="C3170" i="40"/>
  <c r="C3171" i="40"/>
  <c r="C3173" i="40"/>
  <c r="C3174" i="40"/>
  <c r="C3176" i="40"/>
  <c r="C3177" i="40"/>
  <c r="C3178" i="40"/>
  <c r="C3180" i="40"/>
  <c r="C3181" i="40"/>
  <c r="C3182" i="40"/>
  <c r="C3183" i="40"/>
  <c r="C3184" i="40"/>
  <c r="C3185" i="40"/>
  <c r="C3186" i="40"/>
  <c r="C3188" i="40"/>
  <c r="C3189" i="40"/>
  <c r="C3190" i="40"/>
  <c r="C3191" i="40"/>
  <c r="C3192" i="40"/>
  <c r="C3193" i="40"/>
  <c r="C3194" i="40"/>
  <c r="C3195" i="40"/>
  <c r="C3198" i="40"/>
  <c r="C3199" i="40"/>
  <c r="C3200" i="40"/>
  <c r="C3201" i="40"/>
  <c r="C3203" i="40"/>
  <c r="C3204" i="40"/>
  <c r="C3205" i="40"/>
  <c r="C3206" i="40"/>
  <c r="C3207" i="40"/>
  <c r="C3208" i="40"/>
  <c r="C3209" i="40"/>
  <c r="C3210" i="40"/>
  <c r="C3212" i="40"/>
  <c r="C3213" i="40"/>
  <c r="C3214" i="40"/>
  <c r="C3218" i="40"/>
  <c r="C3219" i="40"/>
  <c r="C3220" i="40"/>
  <c r="C3221" i="40"/>
  <c r="C3223" i="40"/>
  <c r="C3224" i="40"/>
  <c r="C3225" i="40"/>
  <c r="C3227" i="40"/>
  <c r="C3228" i="40"/>
  <c r="C3229" i="40"/>
  <c r="C3230" i="40"/>
  <c r="C3231" i="40"/>
  <c r="C3232" i="40"/>
  <c r="C3233" i="40"/>
  <c r="C3235" i="40"/>
  <c r="C3236" i="40"/>
  <c r="C3237" i="40"/>
  <c r="C3238" i="40"/>
  <c r="C3239" i="40"/>
  <c r="C3240" i="40"/>
  <c r="C3241" i="40"/>
  <c r="C3243" i="40"/>
  <c r="C3244" i="40"/>
  <c r="C3245" i="40"/>
  <c r="C3246" i="40"/>
  <c r="C3248" i="40"/>
  <c r="C3249" i="40"/>
  <c r="C3250" i="40"/>
  <c r="C3251" i="40"/>
  <c r="C3252" i="40"/>
  <c r="C3253" i="40"/>
  <c r="C3254" i="40"/>
  <c r="C3255" i="40"/>
  <c r="C3256" i="40"/>
  <c r="C3257" i="40"/>
  <c r="C3258" i="40"/>
  <c r="C3259" i="40"/>
  <c r="C3260" i="40"/>
  <c r="C3261" i="40"/>
  <c r="C3262" i="40"/>
  <c r="C3263" i="40"/>
  <c r="C3264" i="40"/>
  <c r="C3265" i="40"/>
  <c r="C3266" i="40"/>
  <c r="C3267" i="40"/>
  <c r="C3268" i="40"/>
  <c r="C3269" i="40"/>
  <c r="C3270" i="40"/>
  <c r="C3272" i="40"/>
  <c r="C3273" i="40"/>
  <c r="C3275" i="40"/>
  <c r="C3276" i="40"/>
  <c r="C3277" i="40"/>
  <c r="C3278" i="40"/>
  <c r="C3279" i="40"/>
  <c r="C3280" i="40"/>
  <c r="C3281" i="40"/>
  <c r="C3283" i="40"/>
  <c r="C3284" i="40"/>
  <c r="C3285" i="40"/>
  <c r="C3287" i="40"/>
  <c r="C3288" i="40"/>
  <c r="C3289" i="40"/>
  <c r="C3290" i="40"/>
  <c r="C3291" i="40"/>
  <c r="C3292" i="40"/>
  <c r="C3293" i="40"/>
  <c r="C3294" i="40"/>
  <c r="C3295" i="40"/>
  <c r="C3296" i="40"/>
  <c r="C3297" i="40"/>
  <c r="C3299" i="40"/>
  <c r="C3300" i="40"/>
  <c r="C3301" i="40"/>
  <c r="C3302" i="40"/>
  <c r="C3303" i="40"/>
  <c r="C3304" i="40"/>
  <c r="C3305" i="40"/>
  <c r="C3307" i="40"/>
  <c r="C3308" i="40"/>
  <c r="C3309" i="40"/>
  <c r="C3310" i="40"/>
  <c r="C3312" i="40"/>
  <c r="C3313" i="40"/>
  <c r="C3314" i="40"/>
  <c r="C3315" i="40"/>
  <c r="C3316" i="40"/>
  <c r="C3317" i="40"/>
  <c r="C3318" i="40"/>
  <c r="C3319" i="40"/>
  <c r="C3320" i="40"/>
  <c r="C3321" i="40"/>
  <c r="C3322" i="40"/>
  <c r="C3323" i="40"/>
  <c r="C3324" i="40"/>
  <c r="C3325" i="40"/>
  <c r="C3326" i="40"/>
  <c r="C3327" i="40"/>
  <c r="C3328" i="40"/>
  <c r="C3329" i="40"/>
  <c r="C3331" i="40"/>
  <c r="C3332" i="40"/>
  <c r="C3333" i="40"/>
  <c r="C3334" i="40"/>
  <c r="C3336" i="40"/>
  <c r="C3337" i="40"/>
  <c r="C3338" i="40"/>
  <c r="C3339" i="40"/>
  <c r="C3340" i="40"/>
  <c r="C3341" i="40"/>
  <c r="C3342" i="40"/>
  <c r="C3343" i="40"/>
  <c r="C3344" i="40"/>
  <c r="C3345" i="40"/>
  <c r="C3346" i="40"/>
  <c r="C3347" i="40"/>
  <c r="C3348" i="40"/>
  <c r="C3349" i="40"/>
  <c r="C3351" i="40"/>
  <c r="C3352" i="40"/>
  <c r="C3353" i="40"/>
  <c r="C3354" i="40"/>
  <c r="C3355" i="40"/>
  <c r="C3356" i="40"/>
  <c r="C3357" i="40"/>
  <c r="C3358" i="40"/>
  <c r="C3359" i="40"/>
  <c r="C3360" i="40"/>
  <c r="C3361" i="40"/>
  <c r="C3362" i="40"/>
  <c r="C3363" i="40"/>
  <c r="C3364" i="40"/>
  <c r="C3365" i="40"/>
  <c r="C3366" i="40"/>
  <c r="C3367" i="40"/>
  <c r="C3368" i="40"/>
  <c r="C3369" i="40"/>
  <c r="C3370" i="40"/>
  <c r="C3371" i="40"/>
  <c r="C3372" i="40"/>
  <c r="C3373" i="40"/>
  <c r="C3374" i="40"/>
  <c r="C3376" i="40"/>
  <c r="C3377" i="40"/>
  <c r="C3378" i="40"/>
  <c r="C3379" i="40"/>
  <c r="C3380" i="40"/>
  <c r="C3381" i="40"/>
  <c r="C3382" i="40"/>
  <c r="C3383" i="40"/>
  <c r="C3384" i="40"/>
  <c r="C3385" i="40"/>
  <c r="C3387" i="40"/>
  <c r="C3388" i="40"/>
  <c r="C3389" i="40"/>
  <c r="C3390" i="40"/>
  <c r="C3391" i="40"/>
  <c r="C3392" i="40"/>
  <c r="C3393" i="40"/>
  <c r="C3395" i="40"/>
  <c r="C3396" i="40"/>
  <c r="C3397" i="40"/>
  <c r="C3398" i="40"/>
  <c r="C3400" i="40"/>
  <c r="C3401" i="40"/>
  <c r="C3402" i="40"/>
  <c r="C3403" i="40"/>
  <c r="C3404" i="40"/>
  <c r="C3405" i="40"/>
  <c r="C3406" i="40"/>
  <c r="C3407" i="40"/>
  <c r="C3408" i="40"/>
  <c r="C3409" i="40"/>
  <c r="C3410" i="40"/>
  <c r="C3411" i="40"/>
  <c r="C3412" i="40"/>
  <c r="C3413" i="40"/>
  <c r="C3415" i="40"/>
  <c r="C3416" i="40"/>
  <c r="C3417" i="40"/>
  <c r="C3419" i="40"/>
  <c r="C3420" i="40"/>
  <c r="C3421" i="40"/>
  <c r="C3422" i="40"/>
  <c r="C3423" i="40"/>
  <c r="C3424" i="40"/>
  <c r="C3425" i="40"/>
  <c r="C3426" i="40"/>
  <c r="C3427" i="40"/>
  <c r="C3428" i="40"/>
  <c r="C3429" i="40"/>
  <c r="C3430" i="40"/>
  <c r="C3431" i="40"/>
  <c r="C3432" i="40"/>
  <c r="C3433" i="40"/>
  <c r="C3434" i="40"/>
  <c r="C3435" i="40"/>
  <c r="C3436" i="40"/>
  <c r="C3437" i="40"/>
  <c r="C3438" i="40"/>
  <c r="C3440" i="40"/>
  <c r="C3441" i="40"/>
  <c r="C3443" i="40"/>
  <c r="C3444" i="40"/>
  <c r="C3445" i="40"/>
  <c r="C3446" i="40"/>
  <c r="C3447" i="40"/>
  <c r="C3448" i="40"/>
  <c r="C3449" i="40"/>
  <c r="C3450" i="40"/>
  <c r="C3451" i="40"/>
  <c r="C3452" i="40"/>
  <c r="C3453" i="40"/>
  <c r="C3454" i="40"/>
  <c r="C3455" i="40"/>
  <c r="C3456" i="40"/>
  <c r="C3457" i="40"/>
  <c r="C3458" i="40"/>
  <c r="C3459" i="40"/>
  <c r="C3460" i="40"/>
  <c r="C3461" i="40"/>
  <c r="C3462" i="40"/>
  <c r="C3464" i="40"/>
  <c r="C3465" i="40"/>
  <c r="C3466" i="40"/>
  <c r="C3467" i="40"/>
  <c r="C3468" i="40"/>
  <c r="C3469" i="40"/>
  <c r="C3470" i="40"/>
  <c r="C3471" i="40"/>
  <c r="C3472" i="40"/>
  <c r="C3473" i="40"/>
  <c r="C3474" i="40"/>
  <c r="C3475" i="40"/>
  <c r="C3476" i="40"/>
  <c r="C3477" i="40"/>
  <c r="C3479" i="40"/>
  <c r="C3480" i="40"/>
  <c r="C3481" i="40"/>
  <c r="C3482" i="40"/>
  <c r="C3483" i="40"/>
  <c r="C3484" i="40"/>
  <c r="C3485" i="40"/>
  <c r="C3486" i="40"/>
  <c r="C3487" i="40"/>
  <c r="C3488" i="40"/>
  <c r="C3489" i="40"/>
  <c r="C3491" i="40"/>
  <c r="C3492" i="40"/>
  <c r="C3493" i="40"/>
  <c r="C3494" i="40"/>
  <c r="C3495" i="40"/>
  <c r="C3496" i="40"/>
  <c r="C3497" i="40"/>
  <c r="C3499" i="40"/>
  <c r="C3500" i="40"/>
  <c r="C3501" i="40"/>
  <c r="C3502" i="40"/>
  <c r="C3504" i="40"/>
  <c r="C3506" i="40"/>
  <c r="C3507" i="40"/>
  <c r="C3508" i="40"/>
  <c r="C3509" i="40"/>
  <c r="C3510" i="40"/>
  <c r="C3511" i="40"/>
  <c r="C3512" i="40"/>
  <c r="C3513" i="40"/>
  <c r="C3514" i="40"/>
  <c r="C3515" i="40"/>
  <c r="C3516" i="40"/>
  <c r="C3517" i="40"/>
  <c r="C3518" i="40"/>
  <c r="C3519" i="40"/>
  <c r="C3520" i="40"/>
  <c r="C3521" i="40"/>
  <c r="C3522" i="40"/>
  <c r="C3523" i="40"/>
  <c r="C3524" i="40"/>
  <c r="C3525" i="40"/>
  <c r="C3526" i="40"/>
  <c r="C3528" i="40"/>
  <c r="C3529" i="40"/>
  <c r="C3531" i="40"/>
  <c r="C3532" i="40"/>
  <c r="C3533" i="40"/>
  <c r="C3534" i="40"/>
  <c r="C3535" i="40"/>
  <c r="C3536" i="40"/>
  <c r="C3537" i="40"/>
  <c r="C3538" i="40"/>
  <c r="C3539" i="40"/>
  <c r="C3540" i="40"/>
  <c r="C3541" i="40"/>
  <c r="C3543" i="40"/>
  <c r="C3544" i="40"/>
  <c r="C3545" i="40"/>
  <c r="C3546" i="40"/>
  <c r="C3547" i="40"/>
  <c r="C3548" i="40"/>
  <c r="C3549" i="40"/>
  <c r="C3550" i="40"/>
  <c r="C3551" i="40"/>
  <c r="C3552" i="40"/>
  <c r="C3553" i="40"/>
  <c r="C3554" i="40"/>
  <c r="C3555" i="40"/>
  <c r="C3556" i="40"/>
  <c r="C3557" i="40"/>
  <c r="C3558" i="40"/>
  <c r="C3559" i="40"/>
  <c r="C3560" i="40"/>
  <c r="C3561" i="40"/>
  <c r="C3562" i="40"/>
  <c r="C3563" i="40"/>
  <c r="C3564" i="40"/>
  <c r="C3565" i="40"/>
  <c r="C3566" i="40"/>
  <c r="C3568" i="40"/>
  <c r="C3569" i="40"/>
  <c r="C3570" i="40"/>
  <c r="C3571" i="40"/>
  <c r="C3572" i="40"/>
  <c r="C3573" i="40"/>
  <c r="C3574" i="40"/>
  <c r="C3575" i="40"/>
  <c r="C3576" i="40"/>
  <c r="C3577" i="40"/>
  <c r="C3578" i="40"/>
  <c r="C3579" i="40"/>
  <c r="C3580" i="40"/>
  <c r="C3581" i="40"/>
  <c r="C3582" i="40"/>
  <c r="C3583" i="40"/>
  <c r="C3584" i="40"/>
  <c r="C3585" i="40"/>
  <c r="C3587" i="40"/>
  <c r="C3588" i="40"/>
  <c r="C3589" i="40"/>
  <c r="C3590" i="40"/>
  <c r="C3592" i="40"/>
  <c r="C3593" i="40"/>
  <c r="C3594" i="40"/>
  <c r="C3595" i="40"/>
  <c r="C3596" i="40"/>
  <c r="C3597" i="40"/>
  <c r="C3598" i="40"/>
  <c r="C3599" i="40"/>
  <c r="C3600" i="40"/>
  <c r="C3601" i="40"/>
  <c r="C3603" i="40"/>
  <c r="C3604" i="40"/>
  <c r="C3605" i="40"/>
  <c r="C3607" i="40"/>
  <c r="C3608" i="40"/>
  <c r="C3609" i="40"/>
  <c r="C3611" i="40"/>
  <c r="C3612" i="40"/>
  <c r="C3613" i="40"/>
  <c r="C3614" i="40"/>
  <c r="C3615" i="40"/>
  <c r="C3616" i="40"/>
  <c r="C3617" i="40"/>
  <c r="C3619" i="40"/>
  <c r="C3620" i="40"/>
  <c r="C3621" i="40"/>
  <c r="C3622" i="40"/>
  <c r="C3623" i="40"/>
  <c r="C3624" i="40"/>
  <c r="C3625" i="40"/>
  <c r="C3627" i="40"/>
  <c r="C3628" i="40"/>
  <c r="C3629" i="40"/>
  <c r="C3630" i="40"/>
  <c r="C3632" i="40"/>
  <c r="C3633" i="40"/>
  <c r="C3635" i="40"/>
  <c r="C3636" i="40"/>
  <c r="C3637" i="40"/>
  <c r="C3638" i="40"/>
  <c r="C3639" i="40"/>
  <c r="C3640" i="40"/>
  <c r="C3641" i="40"/>
  <c r="C3642" i="40"/>
  <c r="C3643" i="40"/>
  <c r="C3644" i="40"/>
  <c r="O7" i="78"/>
  <c r="G1" i="39"/>
  <c r="A14" i="39" s="1"/>
  <c r="P7" i="33"/>
  <c r="O6" i="33"/>
  <c r="P7" i="4"/>
  <c r="M5" i="4"/>
  <c r="B1524" i="40"/>
  <c r="E59" i="1" s="1"/>
  <c r="B1525" i="40"/>
  <c r="E60" i="1" s="1"/>
  <c r="B1961" i="40"/>
  <c r="E61" i="1" s="1"/>
  <c r="B1007" i="40"/>
  <c r="E62" i="1" s="1"/>
  <c r="B1219" i="40"/>
  <c r="E63" i="1" s="1"/>
  <c r="B1960" i="40"/>
  <c r="B1008" i="40"/>
  <c r="E251" i="1" s="1"/>
  <c r="B1218" i="40"/>
  <c r="E210" i="1" s="1"/>
  <c r="B1522" i="40"/>
  <c r="E206" i="1" s="1"/>
  <c r="B1523" i="40"/>
  <c r="F207" i="1" s="1"/>
  <c r="B3636" i="40"/>
  <c r="F680" i="1" s="1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E447" i="1" s="1"/>
  <c r="B3601" i="40"/>
  <c r="B3602" i="40"/>
  <c r="F358" i="1" s="1"/>
  <c r="B3603" i="40"/>
  <c r="F360" i="1" s="1"/>
  <c r="B3604" i="40"/>
  <c r="F478" i="1" s="1"/>
  <c r="B3605" i="40"/>
  <c r="B3606" i="40"/>
  <c r="E525" i="1" s="1"/>
  <c r="B3607" i="40"/>
  <c r="E287" i="1" s="1"/>
  <c r="B3608" i="40"/>
  <c r="E288" i="1" s="1"/>
  <c r="B3609" i="40"/>
  <c r="B3610" i="40"/>
  <c r="E272" i="1" s="1"/>
  <c r="B3611" i="40"/>
  <c r="F270" i="1" s="1"/>
  <c r="B3612" i="40"/>
  <c r="E271" i="1" s="1"/>
  <c r="B3613" i="40"/>
  <c r="B3614" i="40"/>
  <c r="B3615" i="40"/>
  <c r="B3616" i="40"/>
  <c r="B3617" i="40"/>
  <c r="B3618" i="40"/>
  <c r="B3619" i="40"/>
  <c r="B3620" i="40"/>
  <c r="B3621" i="40"/>
  <c r="B3622" i="40"/>
  <c r="B3623" i="40"/>
  <c r="E836" i="1" s="1"/>
  <c r="B3624" i="40"/>
  <c r="F835" i="1" s="1"/>
  <c r="B3625" i="40"/>
  <c r="E844" i="1" s="1"/>
  <c r="B3626" i="40"/>
  <c r="E843" i="1" s="1"/>
  <c r="B3627" i="40"/>
  <c r="E845" i="1" s="1"/>
  <c r="B3628" i="40"/>
  <c r="F684" i="1" s="1"/>
  <c r="B3629" i="40"/>
  <c r="E673" i="1" s="1"/>
  <c r="B3630" i="40"/>
  <c r="B3631" i="40"/>
  <c r="B3632" i="40"/>
  <c r="B3633" i="40"/>
  <c r="B3634" i="40"/>
  <c r="B3635" i="40"/>
  <c r="B3637" i="40"/>
  <c r="B3638" i="40"/>
  <c r="B3639" i="40"/>
  <c r="B3640" i="40"/>
  <c r="B3641" i="40"/>
  <c r="B3642" i="40"/>
  <c r="B3643" i="40"/>
  <c r="B3644" i="40"/>
  <c r="N5" i="78"/>
  <c r="I32" i="78"/>
  <c r="I33" i="78"/>
  <c r="I34" i="78"/>
  <c r="I35" i="78"/>
  <c r="I37" i="78"/>
  <c r="K28" i="78"/>
  <c r="I42" i="78"/>
  <c r="I43" i="78"/>
  <c r="I44" i="78"/>
  <c r="I45" i="78"/>
  <c r="I46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3" i="78"/>
  <c r="I64" i="78"/>
  <c r="N5" i="53"/>
  <c r="I32" i="53"/>
  <c r="I33" i="53"/>
  <c r="I34" i="53"/>
  <c r="I35" i="53"/>
  <c r="O7" i="53"/>
  <c r="K28" i="53" s="1"/>
  <c r="I37" i="53"/>
  <c r="I42" i="53"/>
  <c r="I43" i="53"/>
  <c r="I44" i="53"/>
  <c r="I45" i="53"/>
  <c r="I46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N5" i="81"/>
  <c r="I28" i="81"/>
  <c r="I29" i="81"/>
  <c r="I30" i="81"/>
  <c r="I31" i="81"/>
  <c r="O7" i="81"/>
  <c r="I33" i="81"/>
  <c r="I34" i="81"/>
  <c r="I35" i="81"/>
  <c r="I36" i="81"/>
  <c r="I37" i="81"/>
  <c r="I40" i="81"/>
  <c r="I41" i="81"/>
  <c r="I42" i="81"/>
  <c r="I43" i="81"/>
  <c r="I44" i="81"/>
  <c r="I51" i="81"/>
  <c r="I52" i="81"/>
  <c r="N5" i="80"/>
  <c r="I28" i="80"/>
  <c r="I29" i="80"/>
  <c r="I30" i="80"/>
  <c r="I31" i="80"/>
  <c r="O7" i="80"/>
  <c r="K23" i="80" s="1"/>
  <c r="I33" i="80"/>
  <c r="I34" i="80"/>
  <c r="I35" i="80"/>
  <c r="I36" i="80"/>
  <c r="I37" i="80"/>
  <c r="I40" i="80"/>
  <c r="I41" i="80"/>
  <c r="I42" i="80"/>
  <c r="I43" i="80"/>
  <c r="I44" i="80"/>
  <c r="I51" i="80"/>
  <c r="I52" i="80"/>
  <c r="I28" i="61"/>
  <c r="I29" i="61"/>
  <c r="I30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55" i="61"/>
  <c r="I56" i="61"/>
  <c r="I57" i="61"/>
  <c r="O8" i="62"/>
  <c r="O5" i="62" s="1"/>
  <c r="I28" i="62"/>
  <c r="I29" i="62"/>
  <c r="I30" i="62"/>
  <c r="P7" i="62"/>
  <c r="I32" i="62"/>
  <c r="I33" i="62"/>
  <c r="I34" i="62"/>
  <c r="I35" i="62"/>
  <c r="I36" i="62"/>
  <c r="I37" i="62"/>
  <c r="I38" i="62"/>
  <c r="I39" i="62"/>
  <c r="I40" i="62"/>
  <c r="I41" i="62"/>
  <c r="I42" i="62"/>
  <c r="I43" i="62"/>
  <c r="I55" i="62"/>
  <c r="I56" i="62"/>
  <c r="I57" i="62"/>
  <c r="I28" i="58"/>
  <c r="I29" i="58"/>
  <c r="I30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55" i="58"/>
  <c r="I56" i="58"/>
  <c r="N7" i="47"/>
  <c r="N8" i="47" s="1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3" i="47"/>
  <c r="I48" i="47"/>
  <c r="I49" i="47"/>
  <c r="O7" i="46"/>
  <c r="O8" i="46" s="1"/>
  <c r="I27" i="46"/>
  <c r="I28" i="46"/>
  <c r="I29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5" i="46"/>
  <c r="I50" i="46"/>
  <c r="I51" i="46"/>
  <c r="I52" i="46"/>
  <c r="I28" i="34"/>
  <c r="I30" i="34"/>
  <c r="I32" i="34"/>
  <c r="I33" i="34"/>
  <c r="I34" i="34"/>
  <c r="I36" i="34"/>
  <c r="I37" i="34"/>
  <c r="I38" i="34"/>
  <c r="I39" i="34"/>
  <c r="I40" i="34"/>
  <c r="I41" i="34"/>
  <c r="I42" i="34"/>
  <c r="I43" i="34"/>
  <c r="I55" i="34"/>
  <c r="I56" i="34"/>
  <c r="I57" i="34"/>
  <c r="I26" i="48"/>
  <c r="I28" i="48"/>
  <c r="I29" i="48"/>
  <c r="I30" i="48"/>
  <c r="I31" i="48"/>
  <c r="I32" i="48"/>
  <c r="I34" i="48"/>
  <c r="I35" i="48"/>
  <c r="I36" i="48"/>
  <c r="I37" i="48"/>
  <c r="I38" i="48"/>
  <c r="I39" i="48"/>
  <c r="I40" i="48"/>
  <c r="I41" i="48"/>
  <c r="I53" i="48"/>
  <c r="I54" i="48"/>
  <c r="I27" i="44"/>
  <c r="I29" i="44"/>
  <c r="I31" i="44"/>
  <c r="I32" i="44"/>
  <c r="I33" i="44"/>
  <c r="I35" i="44"/>
  <c r="I36" i="44"/>
  <c r="I37" i="44"/>
  <c r="I38" i="44"/>
  <c r="I39" i="44"/>
  <c r="I40" i="44"/>
  <c r="I41" i="44"/>
  <c r="I42" i="44"/>
  <c r="I54" i="44"/>
  <c r="I55" i="44"/>
  <c r="I28" i="33"/>
  <c r="I30" i="33"/>
  <c r="I32" i="33"/>
  <c r="I33" i="33"/>
  <c r="I34" i="33"/>
  <c r="I36" i="33"/>
  <c r="I37" i="33"/>
  <c r="I38" i="33"/>
  <c r="I39" i="33"/>
  <c r="I40" i="33"/>
  <c r="I41" i="33"/>
  <c r="I42" i="33"/>
  <c r="I43" i="33"/>
  <c r="I55" i="33"/>
  <c r="I56" i="33"/>
  <c r="I28" i="70"/>
  <c r="I30" i="70"/>
  <c r="I32" i="70"/>
  <c r="I33" i="70"/>
  <c r="I34" i="70"/>
  <c r="I36" i="70"/>
  <c r="I37" i="70"/>
  <c r="I38" i="70"/>
  <c r="I39" i="70"/>
  <c r="I40" i="70"/>
  <c r="I41" i="70"/>
  <c r="I42" i="70"/>
  <c r="I43" i="70"/>
  <c r="I55" i="70"/>
  <c r="I56" i="70"/>
  <c r="I28" i="20"/>
  <c r="I30" i="20"/>
  <c r="I32" i="20"/>
  <c r="I33" i="20"/>
  <c r="I34" i="20"/>
  <c r="I36" i="20"/>
  <c r="I37" i="20"/>
  <c r="I38" i="20"/>
  <c r="I39" i="20"/>
  <c r="I40" i="20"/>
  <c r="I41" i="20"/>
  <c r="I42" i="20"/>
  <c r="I43" i="20"/>
  <c r="I55" i="20"/>
  <c r="I56" i="20"/>
  <c r="I28" i="17"/>
  <c r="I30" i="17"/>
  <c r="I32" i="17"/>
  <c r="I33" i="17"/>
  <c r="I34" i="17"/>
  <c r="I36" i="17"/>
  <c r="I37" i="17"/>
  <c r="I38" i="17"/>
  <c r="I39" i="17"/>
  <c r="I40" i="17"/>
  <c r="I41" i="17"/>
  <c r="I42" i="17"/>
  <c r="I43" i="17"/>
  <c r="I55" i="17"/>
  <c r="I56" i="17"/>
  <c r="I57" i="17"/>
  <c r="I28" i="19"/>
  <c r="I30" i="19"/>
  <c r="I32" i="19"/>
  <c r="I33" i="19"/>
  <c r="I34" i="19"/>
  <c r="I36" i="19"/>
  <c r="I37" i="19"/>
  <c r="I38" i="19"/>
  <c r="I39" i="19"/>
  <c r="I40" i="19"/>
  <c r="I41" i="19"/>
  <c r="I42" i="19"/>
  <c r="I43" i="19"/>
  <c r="I55" i="19"/>
  <c r="I56" i="19"/>
  <c r="I57" i="19"/>
  <c r="I28" i="18"/>
  <c r="I30" i="18"/>
  <c r="I32" i="18"/>
  <c r="I33" i="18"/>
  <c r="I34" i="18"/>
  <c r="I36" i="18"/>
  <c r="I37" i="18"/>
  <c r="I38" i="18"/>
  <c r="I39" i="18"/>
  <c r="I40" i="18"/>
  <c r="I41" i="18"/>
  <c r="I42" i="18"/>
  <c r="I43" i="18"/>
  <c r="I55" i="18"/>
  <c r="I56" i="18"/>
  <c r="I57" i="18"/>
  <c r="I29" i="8"/>
  <c r="B30" i="8"/>
  <c r="I30" i="8" s="1"/>
  <c r="I33" i="8"/>
  <c r="I34" i="8"/>
  <c r="I35" i="8"/>
  <c r="I37" i="8"/>
  <c r="I38" i="8"/>
  <c r="I39" i="8"/>
  <c r="I40" i="8"/>
  <c r="I41" i="8"/>
  <c r="I42" i="8"/>
  <c r="I43" i="8"/>
  <c r="I44" i="8"/>
  <c r="I56" i="8"/>
  <c r="I57" i="8"/>
  <c r="I58" i="8"/>
  <c r="I28" i="56"/>
  <c r="B29" i="56"/>
  <c r="I29" i="56" s="1"/>
  <c r="L22" i="56"/>
  <c r="P7" i="56"/>
  <c r="I32" i="56"/>
  <c r="I33" i="56"/>
  <c r="I34" i="56"/>
  <c r="I36" i="56"/>
  <c r="I37" i="56"/>
  <c r="I38" i="56"/>
  <c r="I39" i="56"/>
  <c r="I40" i="56"/>
  <c r="I41" i="56"/>
  <c r="I42" i="56"/>
  <c r="I43" i="56"/>
  <c r="I55" i="56"/>
  <c r="I56" i="56"/>
  <c r="I57" i="56"/>
  <c r="I30" i="74"/>
  <c r="I31" i="74"/>
  <c r="I32" i="74"/>
  <c r="I33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9" i="74"/>
  <c r="I51" i="74"/>
  <c r="I52" i="74"/>
  <c r="I53" i="74"/>
  <c r="I54" i="74"/>
  <c r="I55" i="74"/>
  <c r="I56" i="74"/>
  <c r="I57" i="74"/>
  <c r="I58" i="74"/>
  <c r="I30" i="37"/>
  <c r="I31" i="37"/>
  <c r="I32" i="37"/>
  <c r="I33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50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33" i="51"/>
  <c r="I34" i="51"/>
  <c r="I35" i="51"/>
  <c r="I36" i="51"/>
  <c r="I37" i="51"/>
  <c r="I39" i="51"/>
  <c r="I44" i="51"/>
  <c r="I45" i="51"/>
  <c r="I46" i="51"/>
  <c r="I47" i="51"/>
  <c r="I48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32" i="55"/>
  <c r="I33" i="55"/>
  <c r="I34" i="55"/>
  <c r="I35" i="55"/>
  <c r="I37" i="55"/>
  <c r="I42" i="55"/>
  <c r="I43" i="55"/>
  <c r="I44" i="55"/>
  <c r="I45" i="55"/>
  <c r="I46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O8" i="33"/>
  <c r="I31" i="7"/>
  <c r="I32" i="7"/>
  <c r="I33" i="7"/>
  <c r="I35" i="7"/>
  <c r="I40" i="7"/>
  <c r="I41" i="7"/>
  <c r="I42" i="7"/>
  <c r="I43" i="7"/>
  <c r="I44" i="7"/>
  <c r="I45" i="7"/>
  <c r="I46" i="7"/>
  <c r="I47" i="7"/>
  <c r="I48" i="7"/>
  <c r="I49" i="7"/>
  <c r="I50" i="7"/>
  <c r="I51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31" i="54"/>
  <c r="I32" i="54"/>
  <c r="I33" i="54"/>
  <c r="I35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4" i="54"/>
  <c r="I55" i="54"/>
  <c r="I56" i="54"/>
  <c r="I57" i="54"/>
  <c r="I58" i="54"/>
  <c r="I59" i="54"/>
  <c r="I60" i="54"/>
  <c r="I61" i="54"/>
  <c r="I62" i="54"/>
  <c r="I63" i="54"/>
  <c r="I64" i="54"/>
  <c r="I65" i="54"/>
  <c r="I31" i="5"/>
  <c r="I33" i="5"/>
  <c r="I35" i="5"/>
  <c r="I40" i="5"/>
  <c r="I41" i="5"/>
  <c r="I42" i="5"/>
  <c r="I44" i="5"/>
  <c r="I45" i="5"/>
  <c r="I46" i="5"/>
  <c r="I47" i="5"/>
  <c r="I48" i="5"/>
  <c r="I49" i="5"/>
  <c r="I50" i="5"/>
  <c r="I53" i="5"/>
  <c r="I54" i="5"/>
  <c r="I55" i="5"/>
  <c r="I56" i="5"/>
  <c r="I57" i="5"/>
  <c r="I58" i="5"/>
  <c r="I59" i="5"/>
  <c r="I60" i="5"/>
  <c r="I61" i="5"/>
  <c r="I62" i="5"/>
  <c r="I63" i="5"/>
  <c r="I64" i="5"/>
  <c r="I31" i="6"/>
  <c r="I33" i="6"/>
  <c r="I35" i="6"/>
  <c r="I40" i="6"/>
  <c r="I41" i="6"/>
  <c r="I42" i="6"/>
  <c r="I44" i="6"/>
  <c r="I45" i="6"/>
  <c r="I46" i="6"/>
  <c r="I47" i="6"/>
  <c r="I48" i="6"/>
  <c r="I49" i="6"/>
  <c r="I50" i="6"/>
  <c r="I53" i="6"/>
  <c r="I54" i="6"/>
  <c r="I55" i="6"/>
  <c r="I56" i="6"/>
  <c r="I57" i="6"/>
  <c r="I58" i="6"/>
  <c r="I59" i="6"/>
  <c r="I60" i="6"/>
  <c r="I61" i="6"/>
  <c r="I62" i="6"/>
  <c r="I63" i="6"/>
  <c r="I64" i="6"/>
  <c r="I31" i="71"/>
  <c r="I33" i="71"/>
  <c r="I35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5" i="71"/>
  <c r="I56" i="71"/>
  <c r="I57" i="71"/>
  <c r="I58" i="71"/>
  <c r="I59" i="71"/>
  <c r="I60" i="71"/>
  <c r="I61" i="71"/>
  <c r="I62" i="71"/>
  <c r="I63" i="71"/>
  <c r="I64" i="71"/>
  <c r="I65" i="71"/>
  <c r="I31" i="31"/>
  <c r="B32" i="31"/>
  <c r="L48" i="31"/>
  <c r="P7" i="31"/>
  <c r="L24" i="31" s="1"/>
  <c r="I35" i="31"/>
  <c r="I40" i="31"/>
  <c r="I41" i="31"/>
  <c r="I42" i="31"/>
  <c r="I44" i="31"/>
  <c r="I45" i="31"/>
  <c r="I46" i="31"/>
  <c r="I47" i="31"/>
  <c r="I48" i="31"/>
  <c r="I49" i="31"/>
  <c r="I50" i="31"/>
  <c r="I51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31" i="30"/>
  <c r="I33" i="30"/>
  <c r="I35" i="30"/>
  <c r="I40" i="30"/>
  <c r="I41" i="30"/>
  <c r="I42" i="30"/>
  <c r="I44" i="30"/>
  <c r="I45" i="30"/>
  <c r="I46" i="30"/>
  <c r="I47" i="30"/>
  <c r="I48" i="30"/>
  <c r="I49" i="30"/>
  <c r="I50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31" i="4"/>
  <c r="B32" i="4"/>
  <c r="I32" i="4"/>
  <c r="I33" i="4"/>
  <c r="I35" i="4"/>
  <c r="I40" i="4"/>
  <c r="I41" i="4"/>
  <c r="I42" i="4"/>
  <c r="I44" i="4"/>
  <c r="I45" i="4"/>
  <c r="I46" i="4"/>
  <c r="I47" i="4"/>
  <c r="I48" i="4"/>
  <c r="I49" i="4"/>
  <c r="I50" i="4"/>
  <c r="I53" i="4"/>
  <c r="I54" i="4"/>
  <c r="I55" i="4"/>
  <c r="I56" i="4"/>
  <c r="I57" i="4"/>
  <c r="I58" i="4"/>
  <c r="I59" i="4"/>
  <c r="I60" i="4"/>
  <c r="I61" i="4"/>
  <c r="I62" i="4"/>
  <c r="I63" i="4"/>
  <c r="I64" i="4"/>
  <c r="I31" i="85"/>
  <c r="I33" i="85"/>
  <c r="I35" i="85"/>
  <c r="I40" i="85"/>
  <c r="I41" i="85"/>
  <c r="I42" i="85"/>
  <c r="I44" i="85"/>
  <c r="I45" i="85"/>
  <c r="I46" i="85"/>
  <c r="I47" i="85"/>
  <c r="I48" i="85"/>
  <c r="I49" i="85"/>
  <c r="I50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N5" i="86"/>
  <c r="I31" i="86"/>
  <c r="B32" i="86"/>
  <c r="I32" i="86" s="1"/>
  <c r="L48" i="86"/>
  <c r="P7" i="86"/>
  <c r="L26" i="86" s="1"/>
  <c r="I35" i="86"/>
  <c r="C324" i="1"/>
  <c r="C386" i="1"/>
  <c r="C387" i="1"/>
  <c r="I40" i="86"/>
  <c r="I41" i="86"/>
  <c r="I42" i="86"/>
  <c r="I44" i="86"/>
  <c r="I45" i="86"/>
  <c r="I46" i="86"/>
  <c r="I47" i="86"/>
  <c r="I48" i="86"/>
  <c r="I49" i="86"/>
  <c r="I50" i="86"/>
  <c r="I51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32" i="72"/>
  <c r="B33" i="72"/>
  <c r="I33" i="72" s="1"/>
  <c r="K35" i="72"/>
  <c r="I36" i="72"/>
  <c r="N5" i="72"/>
  <c r="O7" i="72"/>
  <c r="I40" i="72"/>
  <c r="I41" i="72"/>
  <c r="I42" i="72"/>
  <c r="I43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31" i="3"/>
  <c r="I33" i="3"/>
  <c r="I35" i="3"/>
  <c r="I40" i="3"/>
  <c r="I41" i="3"/>
  <c r="I42" i="3"/>
  <c r="I44" i="3"/>
  <c r="I45" i="3"/>
  <c r="I46" i="3"/>
  <c r="I47" i="3"/>
  <c r="I48" i="3"/>
  <c r="I49" i="3"/>
  <c r="I50" i="3"/>
  <c r="I53" i="3"/>
  <c r="I54" i="3"/>
  <c r="I55" i="3"/>
  <c r="I56" i="3"/>
  <c r="I57" i="3"/>
  <c r="I58" i="3"/>
  <c r="I59" i="3"/>
  <c r="I60" i="3"/>
  <c r="I61" i="3"/>
  <c r="I62" i="3"/>
  <c r="I63" i="3"/>
  <c r="I64" i="3"/>
  <c r="B1001" i="40"/>
  <c r="B1002" i="40"/>
  <c r="F679" i="1" s="1"/>
  <c r="B1003" i="40"/>
  <c r="E681" i="1" s="1"/>
  <c r="A70" i="86"/>
  <c r="B2" i="40"/>
  <c r="H68" i="86" s="1"/>
  <c r="A67" i="86"/>
  <c r="K66" i="86"/>
  <c r="B945" i="40"/>
  <c r="C66" i="86" s="1"/>
  <c r="K65" i="86"/>
  <c r="B978" i="40"/>
  <c r="C63" i="5" s="1"/>
  <c r="K64" i="86"/>
  <c r="K63" i="86"/>
  <c r="B902" i="40"/>
  <c r="C63" i="86" s="1"/>
  <c r="A104" i="39"/>
  <c r="A61" i="3" s="1"/>
  <c r="K62" i="86"/>
  <c r="B900" i="40"/>
  <c r="C62" i="7" s="1"/>
  <c r="K61" i="86"/>
  <c r="B901" i="40"/>
  <c r="C61" i="86" s="1"/>
  <c r="K60" i="86"/>
  <c r="A10" i="39"/>
  <c r="C61" i="51" s="1"/>
  <c r="K58" i="86"/>
  <c r="J56" i="86"/>
  <c r="B388" i="40"/>
  <c r="C56" i="31" s="1"/>
  <c r="K55" i="86"/>
  <c r="B849" i="40"/>
  <c r="C55" i="86" s="1"/>
  <c r="K54" i="86"/>
  <c r="B6" i="40"/>
  <c r="C35" i="5" s="1"/>
  <c r="K53" i="86"/>
  <c r="A101" i="39"/>
  <c r="K52" i="86"/>
  <c r="K51" i="86"/>
  <c r="B493" i="40"/>
  <c r="C42" i="61" s="1"/>
  <c r="K50" i="86"/>
  <c r="B492" i="40"/>
  <c r="C50" i="86" s="1"/>
  <c r="A97" i="39"/>
  <c r="A49" i="85" s="1"/>
  <c r="K49" i="86"/>
  <c r="B3" i="40"/>
  <c r="C49" i="31" s="1"/>
  <c r="K48" i="86"/>
  <c r="B612" i="40"/>
  <c r="C45" i="37" s="1"/>
  <c r="K47" i="86"/>
  <c r="B611" i="40"/>
  <c r="C39" i="33" s="1"/>
  <c r="K46" i="86"/>
  <c r="B454" i="40"/>
  <c r="C46" i="85" s="1"/>
  <c r="K45" i="86"/>
  <c r="B453" i="40"/>
  <c r="C45" i="86" s="1"/>
  <c r="K44" i="86"/>
  <c r="B452" i="40"/>
  <c r="C44" i="87" s="1"/>
  <c r="K43" i="86"/>
  <c r="B43" i="86"/>
  <c r="I43" i="86" s="1"/>
  <c r="B7" i="40"/>
  <c r="A86" i="39"/>
  <c r="A43" i="3" s="1"/>
  <c r="A43" i="87" s="1"/>
  <c r="B21" i="40"/>
  <c r="C42" i="86" s="1"/>
  <c r="K40" i="86"/>
  <c r="A96" i="39"/>
  <c r="A39" i="3" s="1"/>
  <c r="A39" i="30" s="1"/>
  <c r="A95" i="39"/>
  <c r="A38" i="3" s="1"/>
  <c r="A38" i="87" s="1"/>
  <c r="D35" i="86"/>
  <c r="K35" i="86" s="1"/>
  <c r="D33" i="86"/>
  <c r="K33" i="86" s="1"/>
  <c r="D32" i="86"/>
  <c r="B885" i="40"/>
  <c r="C31" i="74" s="1"/>
  <c r="D31" i="86"/>
  <c r="K31" i="86" s="1"/>
  <c r="B806" i="40"/>
  <c r="C31" i="86" s="1"/>
  <c r="A20" i="39"/>
  <c r="G27" i="3" s="1"/>
  <c r="G27" i="85" s="1"/>
  <c r="A19" i="39"/>
  <c r="F27" i="3" s="1"/>
  <c r="F27" i="85" s="1"/>
  <c r="A16" i="39"/>
  <c r="C27" i="86" s="1"/>
  <c r="G26" i="86"/>
  <c r="A80" i="39"/>
  <c r="A14" i="86"/>
  <c r="B12" i="86"/>
  <c r="D34" i="86"/>
  <c r="A43" i="39"/>
  <c r="G11" i="86" s="1"/>
  <c r="C11" i="86"/>
  <c r="P10" i="86"/>
  <c r="M9" i="86"/>
  <c r="B9" i="86"/>
  <c r="A40" i="39"/>
  <c r="G8" i="86" s="1"/>
  <c r="B8" i="86"/>
  <c r="A39" i="39"/>
  <c r="G7" i="86" s="1"/>
  <c r="C7" i="86"/>
  <c r="C10" i="86" s="1"/>
  <c r="B7" i="86"/>
  <c r="B6" i="86"/>
  <c r="L5" i="86"/>
  <c r="N4" i="86"/>
  <c r="L4" i="86"/>
  <c r="A37" i="39"/>
  <c r="E3" i="3" s="1"/>
  <c r="E3" i="88" s="1"/>
  <c r="A36" i="39"/>
  <c r="D3" i="3" s="1"/>
  <c r="C11" i="85"/>
  <c r="B8" i="85"/>
  <c r="C7" i="85"/>
  <c r="C8" i="85" s="1"/>
  <c r="C9" i="85" s="1"/>
  <c r="B7" i="85"/>
  <c r="B12" i="85"/>
  <c r="D34" i="85"/>
  <c r="B1839" i="40"/>
  <c r="E488" i="1" s="1"/>
  <c r="B1840" i="40"/>
  <c r="F489" i="1" s="1"/>
  <c r="A130" i="39"/>
  <c r="L68" i="71" s="1"/>
  <c r="A68" i="85"/>
  <c r="A65" i="85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H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I43" i="85" s="1"/>
  <c r="B980" i="40"/>
  <c r="K42" i="85"/>
  <c r="J42" i="85"/>
  <c r="J40" i="85"/>
  <c r="L36" i="85"/>
  <c r="D35" i="85"/>
  <c r="K35" i="85" s="1"/>
  <c r="D33" i="85"/>
  <c r="K33" i="85" s="1"/>
  <c r="B706" i="40"/>
  <c r="F790" i="1" s="1"/>
  <c r="D32" i="85"/>
  <c r="K32" i="85" s="1"/>
  <c r="B32" i="85"/>
  <c r="I32" i="85" s="1"/>
  <c r="B134" i="40"/>
  <c r="D31" i="85"/>
  <c r="K31" i="85" s="1"/>
  <c r="B808" i="40"/>
  <c r="C31" i="4" s="1"/>
  <c r="B27" i="85"/>
  <c r="G26" i="85"/>
  <c r="A14" i="85"/>
  <c r="P10" i="85"/>
  <c r="A74" i="39"/>
  <c r="M9" i="85"/>
  <c r="A72" i="39"/>
  <c r="P7" i="85"/>
  <c r="B6" i="85"/>
  <c r="K5" i="85"/>
  <c r="M4" i="85"/>
  <c r="M5" i="85"/>
  <c r="K4" i="85"/>
  <c r="B709" i="40"/>
  <c r="E804" i="1" s="1"/>
  <c r="L48" i="8"/>
  <c r="A6" i="39"/>
  <c r="A8" i="39"/>
  <c r="A53" i="74" s="1"/>
  <c r="B9" i="85"/>
  <c r="L24" i="85"/>
  <c r="L26" i="85"/>
  <c r="L25" i="85"/>
  <c r="F645" i="1"/>
  <c r="E644" i="1"/>
  <c r="F636" i="1"/>
  <c r="G635" i="1"/>
  <c r="F626" i="1"/>
  <c r="G625" i="1"/>
  <c r="G584" i="1"/>
  <c r="G585" i="1"/>
  <c r="F563" i="1"/>
  <c r="F562" i="1"/>
  <c r="F555" i="1"/>
  <c r="E554" i="1"/>
  <c r="F649" i="1"/>
  <c r="E639" i="1"/>
  <c r="F630" i="1"/>
  <c r="F620" i="1"/>
  <c r="F587" i="1"/>
  <c r="F565" i="1"/>
  <c r="F556" i="1"/>
  <c r="C2436" i="40"/>
  <c r="B2436" i="40"/>
  <c r="E823" i="1" s="1"/>
  <c r="C2082" i="40"/>
  <c r="C2086" i="40"/>
  <c r="C2090" i="40"/>
  <c r="C2094" i="40"/>
  <c r="C2098" i="40"/>
  <c r="C2102" i="40"/>
  <c r="C2106" i="40"/>
  <c r="C2110" i="40"/>
  <c r="C2114" i="40"/>
  <c r="C2118" i="40"/>
  <c r="C2122" i="40"/>
  <c r="C2126" i="40"/>
  <c r="C2130" i="40"/>
  <c r="C2134" i="40"/>
  <c r="C2138" i="40"/>
  <c r="C2142" i="40"/>
  <c r="C2146" i="40"/>
  <c r="C2150" i="40"/>
  <c r="C2154" i="40"/>
  <c r="C2158" i="40"/>
  <c r="C2162" i="40"/>
  <c r="C2166" i="40"/>
  <c r="C2170" i="40"/>
  <c r="C2174" i="40"/>
  <c r="C2178" i="40"/>
  <c r="C2182" i="40"/>
  <c r="C2186" i="40"/>
  <c r="C2190" i="40"/>
  <c r="C2194" i="40"/>
  <c r="C2198" i="40"/>
  <c r="C2202" i="40"/>
  <c r="C2206" i="40"/>
  <c r="C2210" i="40"/>
  <c r="C2214" i="40"/>
  <c r="C2218" i="40"/>
  <c r="C2222" i="40"/>
  <c r="C2226" i="40"/>
  <c r="C2230" i="40"/>
  <c r="C2234" i="40"/>
  <c r="C2238" i="40"/>
  <c r="C2242" i="40"/>
  <c r="C2246" i="40"/>
  <c r="C2250" i="40"/>
  <c r="C2254" i="40"/>
  <c r="C2258" i="40"/>
  <c r="C2262" i="40"/>
  <c r="C2266" i="40"/>
  <c r="C2270" i="40"/>
  <c r="C2274" i="40"/>
  <c r="C2278" i="40"/>
  <c r="C2282" i="40"/>
  <c r="C2286" i="40"/>
  <c r="C2290" i="40"/>
  <c r="C2294" i="40"/>
  <c r="C2298" i="40"/>
  <c r="C2302" i="40"/>
  <c r="C2306" i="40"/>
  <c r="C2310" i="40"/>
  <c r="C2314" i="40"/>
  <c r="C2318" i="40"/>
  <c r="C2322" i="40"/>
  <c r="C2326" i="40"/>
  <c r="C2330" i="40"/>
  <c r="C2334" i="40"/>
  <c r="C2338" i="40"/>
  <c r="C2342" i="40"/>
  <c r="C2346" i="40"/>
  <c r="C2350" i="40"/>
  <c r="C2354" i="40"/>
  <c r="C2358" i="40"/>
  <c r="C2362" i="40"/>
  <c r="C2366" i="40"/>
  <c r="C2370" i="40"/>
  <c r="C2374" i="40"/>
  <c r="C2378" i="40"/>
  <c r="C2382" i="40"/>
  <c r="C2386" i="40"/>
  <c r="C2390" i="40"/>
  <c r="C2394" i="40"/>
  <c r="C2398" i="40"/>
  <c r="C2402" i="40"/>
  <c r="C2406" i="40"/>
  <c r="C2410" i="40"/>
  <c r="C2414" i="40"/>
  <c r="C2418" i="40"/>
  <c r="C2422" i="40"/>
  <c r="C2426" i="40"/>
  <c r="C1751" i="40"/>
  <c r="C1755" i="40"/>
  <c r="C1759" i="40"/>
  <c r="C1763" i="40"/>
  <c r="C1767" i="40"/>
  <c r="C1771" i="40"/>
  <c r="C1775" i="40"/>
  <c r="C1779" i="40"/>
  <c r="C1783" i="40"/>
  <c r="C1787" i="40"/>
  <c r="C1791" i="40"/>
  <c r="C1795" i="40"/>
  <c r="C1799" i="40"/>
  <c r="C1803" i="40"/>
  <c r="C1807" i="40"/>
  <c r="C1811" i="40"/>
  <c r="C1815" i="40"/>
  <c r="C1819" i="40"/>
  <c r="C1823" i="40"/>
  <c r="C1827" i="40"/>
  <c r="C1831" i="40"/>
  <c r="C1835" i="40"/>
  <c r="C1839" i="40"/>
  <c r="C1843" i="40"/>
  <c r="C1847" i="40"/>
  <c r="C1851" i="40"/>
  <c r="C1855" i="40"/>
  <c r="C1859" i="40"/>
  <c r="C1863" i="40"/>
  <c r="C1867" i="40"/>
  <c r="C1871" i="40"/>
  <c r="C1875" i="40"/>
  <c r="C1879" i="40"/>
  <c r="C1883" i="40"/>
  <c r="C1887" i="40"/>
  <c r="C1891" i="40"/>
  <c r="C1895" i="40"/>
  <c r="C1899" i="40"/>
  <c r="C1903" i="40"/>
  <c r="C1907" i="40"/>
  <c r="C1911" i="40"/>
  <c r="C1915" i="40"/>
  <c r="C1919" i="40"/>
  <c r="C1923" i="40"/>
  <c r="C1927" i="40"/>
  <c r="C1931" i="40"/>
  <c r="C1935" i="40"/>
  <c r="C1939" i="40"/>
  <c r="C1943" i="40"/>
  <c r="C1947" i="40"/>
  <c r="C1951" i="40"/>
  <c r="C1955" i="40"/>
  <c r="C1959" i="40"/>
  <c r="C1963" i="40"/>
  <c r="C1967" i="40"/>
  <c r="C1971" i="40"/>
  <c r="C1975" i="40"/>
  <c r="C1979" i="40"/>
  <c r="C1983" i="40"/>
  <c r="C1987" i="40"/>
  <c r="C1991" i="40"/>
  <c r="C1995" i="40"/>
  <c r="C1999" i="40"/>
  <c r="C2003" i="40"/>
  <c r="C2007" i="40"/>
  <c r="C2011" i="40"/>
  <c r="C2015" i="40"/>
  <c r="C2019" i="40"/>
  <c r="C2023" i="40"/>
  <c r="C2027" i="40"/>
  <c r="C2031" i="40"/>
  <c r="C2035" i="40"/>
  <c r="C2039" i="40"/>
  <c r="C2043" i="40"/>
  <c r="C2047" i="40"/>
  <c r="C2051" i="40"/>
  <c r="C2055" i="40"/>
  <c r="C2059" i="40"/>
  <c r="C2063" i="40"/>
  <c r="C2067" i="40"/>
  <c r="C2071" i="40"/>
  <c r="C2075" i="40"/>
  <c r="C2079" i="40"/>
  <c r="C2083" i="40"/>
  <c r="C2087" i="40"/>
  <c r="C983" i="40"/>
  <c r="C984" i="40"/>
  <c r="C985" i="40"/>
  <c r="C986" i="40"/>
  <c r="C987" i="40"/>
  <c r="C988" i="40"/>
  <c r="C989" i="40"/>
  <c r="C990" i="40"/>
  <c r="C991" i="40"/>
  <c r="C992" i="40"/>
  <c r="C993" i="40"/>
  <c r="C994" i="40"/>
  <c r="C995" i="40"/>
  <c r="C996" i="40"/>
  <c r="C997" i="40"/>
  <c r="C998" i="40"/>
  <c r="C999" i="40"/>
  <c r="C1000" i="40"/>
  <c r="C1001" i="40"/>
  <c r="C1002" i="40"/>
  <c r="C1003" i="40"/>
  <c r="C1004" i="40"/>
  <c r="C1005" i="40"/>
  <c r="C1006" i="40"/>
  <c r="C1007" i="40"/>
  <c r="C1008" i="40"/>
  <c r="C1009" i="40"/>
  <c r="C1010" i="40"/>
  <c r="C1011" i="40"/>
  <c r="C1012" i="40"/>
  <c r="C1013" i="40"/>
  <c r="C1014" i="40"/>
  <c r="C1015" i="40"/>
  <c r="C1016" i="40"/>
  <c r="C1017" i="40"/>
  <c r="C1018" i="40"/>
  <c r="C1019" i="40"/>
  <c r="C1020" i="40"/>
  <c r="C1021" i="40"/>
  <c r="C1022" i="40"/>
  <c r="C1023" i="40"/>
  <c r="C1024" i="40"/>
  <c r="C1025" i="40"/>
  <c r="C1026" i="40"/>
  <c r="C1027" i="40"/>
  <c r="C1028" i="40"/>
  <c r="C1029" i="40"/>
  <c r="C1030" i="40"/>
  <c r="C1031" i="40"/>
  <c r="C1032" i="40"/>
  <c r="C1033" i="40"/>
  <c r="C1034" i="40"/>
  <c r="C1035" i="40"/>
  <c r="C1036" i="40"/>
  <c r="C1037" i="40"/>
  <c r="C1038" i="40"/>
  <c r="C1039" i="40"/>
  <c r="C1040" i="40"/>
  <c r="C1041" i="40"/>
  <c r="C1042" i="40"/>
  <c r="C1043" i="40"/>
  <c r="C1044" i="40"/>
  <c r="C1045" i="40"/>
  <c r="C1046" i="40"/>
  <c r="C1047" i="40"/>
  <c r="C1048" i="40"/>
  <c r="C1049" i="40"/>
  <c r="C1050" i="40"/>
  <c r="C1051" i="40"/>
  <c r="C1052" i="40"/>
  <c r="C1053" i="40"/>
  <c r="C1054" i="40"/>
  <c r="C1055" i="40"/>
  <c r="C1056" i="40"/>
  <c r="C1057" i="40"/>
  <c r="C1058" i="40"/>
  <c r="C1059" i="40"/>
  <c r="C1060" i="40"/>
  <c r="C1061" i="40"/>
  <c r="C1062" i="40"/>
  <c r="C1063" i="40"/>
  <c r="C1064" i="40"/>
  <c r="C1065" i="40"/>
  <c r="C1066" i="40"/>
  <c r="C1067" i="40"/>
  <c r="C1068" i="40"/>
  <c r="C1069" i="40"/>
  <c r="C1070" i="40"/>
  <c r="C1071" i="40"/>
  <c r="C1072" i="40"/>
  <c r="C1073" i="40"/>
  <c r="C1074" i="40"/>
  <c r="C1075" i="40"/>
  <c r="C1076" i="40"/>
  <c r="C1077" i="40"/>
  <c r="C1078" i="40"/>
  <c r="C1079" i="40"/>
  <c r="C1080" i="40"/>
  <c r="C1081" i="40"/>
  <c r="C1082" i="40"/>
  <c r="C1083" i="40"/>
  <c r="C1084" i="40"/>
  <c r="C1085" i="40"/>
  <c r="C1086" i="40"/>
  <c r="C1087" i="40"/>
  <c r="C1088" i="40"/>
  <c r="C1089" i="40"/>
  <c r="C1090" i="40"/>
  <c r="C1091" i="40"/>
  <c r="C1092" i="40"/>
  <c r="C1093" i="40"/>
  <c r="C1094" i="40"/>
  <c r="C1095" i="40"/>
  <c r="C1096" i="40"/>
  <c r="C1097" i="40"/>
  <c r="C1098" i="40"/>
  <c r="C1099" i="40"/>
  <c r="C1100" i="40"/>
  <c r="C1101" i="40"/>
  <c r="C1102" i="40"/>
  <c r="C1103" i="40"/>
  <c r="C1104" i="40"/>
  <c r="C1105" i="40"/>
  <c r="C1106" i="40"/>
  <c r="C1107" i="40"/>
  <c r="C1108" i="40"/>
  <c r="C1109" i="40"/>
  <c r="C1110" i="40"/>
  <c r="C1111" i="40"/>
  <c r="C1112" i="40"/>
  <c r="C1113" i="40"/>
  <c r="C1114" i="40"/>
  <c r="C1115" i="40"/>
  <c r="C1116" i="40"/>
  <c r="C1117" i="40"/>
  <c r="C1118" i="40"/>
  <c r="C1119" i="40"/>
  <c r="C1120" i="40"/>
  <c r="C1121" i="40"/>
  <c r="C1122" i="40"/>
  <c r="C1123" i="40"/>
  <c r="C1124" i="40"/>
  <c r="C1125" i="40"/>
  <c r="C1126" i="40"/>
  <c r="C1127" i="40"/>
  <c r="C1128" i="40"/>
  <c r="C1129" i="40"/>
  <c r="C1130" i="40"/>
  <c r="C1131" i="40"/>
  <c r="C1132" i="40"/>
  <c r="C1133" i="40"/>
  <c r="C1134" i="40"/>
  <c r="C1135" i="40"/>
  <c r="C1136" i="40"/>
  <c r="C1137" i="40"/>
  <c r="C1138" i="40"/>
  <c r="C1139" i="40"/>
  <c r="C1140" i="40"/>
  <c r="C1141" i="40"/>
  <c r="C1142" i="40"/>
  <c r="C1143" i="40"/>
  <c r="C1144" i="40"/>
  <c r="C1145" i="40"/>
  <c r="C1146" i="40"/>
  <c r="C1147" i="40"/>
  <c r="C1148" i="40"/>
  <c r="C1149" i="40"/>
  <c r="C1150" i="40"/>
  <c r="C1151" i="40"/>
  <c r="C1152" i="40"/>
  <c r="C1153" i="40"/>
  <c r="C1154" i="40"/>
  <c r="C1155" i="40"/>
  <c r="C1156" i="40"/>
  <c r="C1157" i="40"/>
  <c r="C1158" i="40"/>
  <c r="C1159" i="40"/>
  <c r="C1160" i="40"/>
  <c r="C1161" i="40"/>
  <c r="C1162" i="40"/>
  <c r="C1163" i="40"/>
  <c r="C1164" i="40"/>
  <c r="C1165" i="40"/>
  <c r="C1166" i="40"/>
  <c r="C1167" i="40"/>
  <c r="C1168" i="40"/>
  <c r="C1169" i="40"/>
  <c r="C1170" i="40"/>
  <c r="C1171" i="40"/>
  <c r="C1172" i="40"/>
  <c r="C1173" i="40"/>
  <c r="C1174" i="40"/>
  <c r="C1175" i="40"/>
  <c r="C1176" i="40"/>
  <c r="C1177" i="40"/>
  <c r="C1178" i="40"/>
  <c r="C1179" i="40"/>
  <c r="C1180" i="40"/>
  <c r="C1181" i="40"/>
  <c r="C1182" i="40"/>
  <c r="C1183" i="40"/>
  <c r="C1184" i="40"/>
  <c r="C1185" i="40"/>
  <c r="C1186" i="40"/>
  <c r="C1187" i="40"/>
  <c r="C1188" i="40"/>
  <c r="C1189" i="40"/>
  <c r="C1190" i="40"/>
  <c r="C1191" i="40"/>
  <c r="C1192" i="40"/>
  <c r="C1193" i="40"/>
  <c r="C1194" i="40"/>
  <c r="C1195" i="40"/>
  <c r="C1196" i="40"/>
  <c r="C1197" i="40"/>
  <c r="C1198" i="40"/>
  <c r="C1199" i="40"/>
  <c r="C1200" i="40"/>
  <c r="C1201" i="40"/>
  <c r="C1202" i="40"/>
  <c r="C1203" i="40"/>
  <c r="C1204" i="40"/>
  <c r="C1205" i="40"/>
  <c r="C1206" i="40"/>
  <c r="C1207" i="40"/>
  <c r="C1208" i="40"/>
  <c r="C1209" i="40"/>
  <c r="C1210" i="40"/>
  <c r="C1211" i="40"/>
  <c r="C1212" i="40"/>
  <c r="C1213" i="40"/>
  <c r="C1214" i="40"/>
  <c r="C1215" i="40"/>
  <c r="C1216" i="40"/>
  <c r="C1217" i="40"/>
  <c r="C1218" i="40"/>
  <c r="C1219" i="40"/>
  <c r="C1220" i="40"/>
  <c r="C1221" i="40"/>
  <c r="C1222" i="40"/>
  <c r="C1223" i="40"/>
  <c r="C1224" i="40"/>
  <c r="C1225" i="40"/>
  <c r="C1226" i="40"/>
  <c r="C1227" i="40"/>
  <c r="C1228" i="40"/>
  <c r="C1229" i="40"/>
  <c r="C1230" i="40"/>
  <c r="C1231" i="40"/>
  <c r="C1232" i="40"/>
  <c r="C1233" i="40"/>
  <c r="C1234" i="40"/>
  <c r="C1235" i="40"/>
  <c r="C1236" i="40"/>
  <c r="C1237" i="40"/>
  <c r="C1238" i="40"/>
  <c r="C1239" i="40"/>
  <c r="C1240" i="40"/>
  <c r="C1241" i="40"/>
  <c r="C1242" i="40"/>
  <c r="C1243" i="40"/>
  <c r="C1244" i="40"/>
  <c r="C1245" i="40"/>
  <c r="C1246" i="40"/>
  <c r="C1247" i="40"/>
  <c r="C1248" i="40"/>
  <c r="C1249" i="40"/>
  <c r="C1250" i="40"/>
  <c r="C1251" i="40"/>
  <c r="C1252" i="40"/>
  <c r="C1253" i="40"/>
  <c r="C1254" i="40"/>
  <c r="C1255" i="40"/>
  <c r="C1256" i="40"/>
  <c r="C1257" i="40"/>
  <c r="C1258" i="40"/>
  <c r="C1259" i="40"/>
  <c r="C1260" i="40"/>
  <c r="C1261" i="40"/>
  <c r="C1262" i="40"/>
  <c r="C1263" i="40"/>
  <c r="C1264" i="40"/>
  <c r="C1265" i="40"/>
  <c r="C1266" i="40"/>
  <c r="C1267" i="40"/>
  <c r="C1268" i="40"/>
  <c r="C1269" i="40"/>
  <c r="C1270" i="40"/>
  <c r="C1271" i="40"/>
  <c r="C1272" i="40"/>
  <c r="C1273" i="40"/>
  <c r="C1274" i="40"/>
  <c r="C1275" i="40"/>
  <c r="C1276" i="40"/>
  <c r="C1277" i="40"/>
  <c r="C1278" i="40"/>
  <c r="C1279" i="40"/>
  <c r="C1280" i="40"/>
  <c r="C1281" i="40"/>
  <c r="C1282" i="40"/>
  <c r="C1283" i="40"/>
  <c r="C1284" i="40"/>
  <c r="C1285" i="40"/>
  <c r="C1286" i="40"/>
  <c r="C1287" i="40"/>
  <c r="C1288" i="40"/>
  <c r="C1289" i="40"/>
  <c r="C1290" i="40"/>
  <c r="C1291" i="40"/>
  <c r="C1292" i="40"/>
  <c r="C1293" i="40"/>
  <c r="C1294" i="40"/>
  <c r="C1295" i="40"/>
  <c r="C1296" i="40"/>
  <c r="C1297" i="40"/>
  <c r="C1298" i="40"/>
  <c r="C1299" i="40"/>
  <c r="C1300" i="40"/>
  <c r="C1301" i="40"/>
  <c r="C1302" i="40"/>
  <c r="C1303" i="40"/>
  <c r="C1304" i="40"/>
  <c r="C1305" i="40"/>
  <c r="C1306" i="40"/>
  <c r="C1307" i="40"/>
  <c r="C1308" i="40"/>
  <c r="C1309" i="40"/>
  <c r="C1310" i="40"/>
  <c r="C1311" i="40"/>
  <c r="C1312" i="40"/>
  <c r="C1313" i="40"/>
  <c r="C1314" i="40"/>
  <c r="C1315" i="40"/>
  <c r="C1316" i="40"/>
  <c r="C1317" i="40"/>
  <c r="C1318" i="40"/>
  <c r="C1319" i="40"/>
  <c r="C1320" i="40"/>
  <c r="C1321" i="40"/>
  <c r="C1322" i="40"/>
  <c r="C1323" i="40"/>
  <c r="C1324" i="40"/>
  <c r="C1325" i="40"/>
  <c r="C1326" i="40"/>
  <c r="C1327" i="40"/>
  <c r="C1328" i="40"/>
  <c r="C1329" i="40"/>
  <c r="C1330" i="40"/>
  <c r="C1331" i="40"/>
  <c r="C1332" i="40"/>
  <c r="C1333" i="40"/>
  <c r="C1334" i="40"/>
  <c r="C1335" i="40"/>
  <c r="C1336" i="40"/>
  <c r="C1337" i="40"/>
  <c r="C1338" i="40"/>
  <c r="C1339" i="40"/>
  <c r="C1340" i="40"/>
  <c r="C1341" i="40"/>
  <c r="C1342" i="40"/>
  <c r="C1343" i="40"/>
  <c r="C1344" i="40"/>
  <c r="C1345" i="40"/>
  <c r="C1346" i="40"/>
  <c r="C1347" i="40"/>
  <c r="C1348" i="40"/>
  <c r="C1349" i="40"/>
  <c r="C1350" i="40"/>
  <c r="C1351" i="40"/>
  <c r="C1352" i="40"/>
  <c r="C1353" i="40"/>
  <c r="C1354" i="40"/>
  <c r="C1355" i="40"/>
  <c r="C1356" i="40"/>
  <c r="C1357" i="40"/>
  <c r="C1358" i="40"/>
  <c r="C1359" i="40"/>
  <c r="C1360" i="40"/>
  <c r="C1361" i="40"/>
  <c r="C1362" i="40"/>
  <c r="C1363" i="40"/>
  <c r="C1364" i="40"/>
  <c r="C1365" i="40"/>
  <c r="C1366" i="40"/>
  <c r="C1367" i="40"/>
  <c r="C1368" i="40"/>
  <c r="C1369" i="40"/>
  <c r="C1370" i="40"/>
  <c r="C1371" i="40"/>
  <c r="C1372" i="40"/>
  <c r="C1373" i="40"/>
  <c r="C1374" i="40"/>
  <c r="C1375" i="40"/>
  <c r="C1376" i="40"/>
  <c r="C1377" i="40"/>
  <c r="C1378" i="40"/>
  <c r="C1379" i="40"/>
  <c r="C1380" i="40"/>
  <c r="C1381" i="40"/>
  <c r="C1382" i="40"/>
  <c r="C1383" i="40"/>
  <c r="C1384" i="40"/>
  <c r="C1385" i="40"/>
  <c r="C1386" i="40"/>
  <c r="C1387" i="40"/>
  <c r="C1388" i="40"/>
  <c r="C1389" i="40"/>
  <c r="C1390" i="40"/>
  <c r="C1391" i="40"/>
  <c r="C1392" i="40"/>
  <c r="C1393" i="40"/>
  <c r="C1394" i="40"/>
  <c r="C1395" i="40"/>
  <c r="C1396" i="40"/>
  <c r="C1397" i="40"/>
  <c r="C1398" i="40"/>
  <c r="C1399" i="40"/>
  <c r="C1400" i="40"/>
  <c r="C1401" i="40"/>
  <c r="C1402" i="40"/>
  <c r="C1403" i="40"/>
  <c r="C1404" i="40"/>
  <c r="C1405" i="40"/>
  <c r="C1406" i="40"/>
  <c r="C1407" i="40"/>
  <c r="C1408" i="40"/>
  <c r="C1409" i="40"/>
  <c r="C1410" i="40"/>
  <c r="C1411" i="40"/>
  <c r="C1412" i="40"/>
  <c r="C1413" i="40"/>
  <c r="C1414" i="40"/>
  <c r="C1415" i="40"/>
  <c r="C1416" i="40"/>
  <c r="C1417" i="40"/>
  <c r="C1418" i="40"/>
  <c r="C1419" i="40"/>
  <c r="C1420" i="40"/>
  <c r="C1421" i="40"/>
  <c r="C1422" i="40"/>
  <c r="C1423" i="40"/>
  <c r="C1424" i="40"/>
  <c r="C1425" i="40"/>
  <c r="C1426" i="40"/>
  <c r="C1427" i="40"/>
  <c r="C1428" i="40"/>
  <c r="C1429" i="40"/>
  <c r="C1430" i="40"/>
  <c r="C1431" i="40"/>
  <c r="C1432" i="40"/>
  <c r="C1433" i="40"/>
  <c r="C1434" i="40"/>
  <c r="C1435" i="40"/>
  <c r="C1436" i="40"/>
  <c r="C1437" i="40"/>
  <c r="C1438" i="40"/>
  <c r="C1439" i="40"/>
  <c r="C1440" i="40"/>
  <c r="C1441" i="40"/>
  <c r="C1442" i="40"/>
  <c r="C1443" i="40"/>
  <c r="C1444" i="40"/>
  <c r="C1445" i="40"/>
  <c r="C1446" i="40"/>
  <c r="C1447" i="40"/>
  <c r="C1448" i="40"/>
  <c r="C1449" i="40"/>
  <c r="C1450" i="40"/>
  <c r="C1451" i="40"/>
  <c r="C1452" i="40"/>
  <c r="C1453" i="40"/>
  <c r="C1454" i="40"/>
  <c r="C1455" i="40"/>
  <c r="C1456" i="40"/>
  <c r="C1457" i="40"/>
  <c r="C1458" i="40"/>
  <c r="C1459" i="40"/>
  <c r="C1460" i="40"/>
  <c r="C1461" i="40"/>
  <c r="C1462" i="40"/>
  <c r="C1463" i="40"/>
  <c r="C1464" i="40"/>
  <c r="C1465" i="40"/>
  <c r="C1466" i="40"/>
  <c r="C1467" i="40"/>
  <c r="C1468" i="40"/>
  <c r="C1469" i="40"/>
  <c r="C1470" i="40"/>
  <c r="C1471" i="40"/>
  <c r="C1472" i="40"/>
  <c r="C1473" i="40"/>
  <c r="C1474" i="40"/>
  <c r="C1475" i="40"/>
  <c r="C1476" i="40"/>
  <c r="C1477" i="40"/>
  <c r="C1478" i="40"/>
  <c r="C1479" i="40"/>
  <c r="C1480" i="40"/>
  <c r="C1481" i="40"/>
  <c r="C1482" i="40"/>
  <c r="C1483" i="40"/>
  <c r="C1484" i="40"/>
  <c r="C1485" i="40"/>
  <c r="C1486" i="40"/>
  <c r="C1487" i="40"/>
  <c r="C1488" i="40"/>
  <c r="C1489" i="40"/>
  <c r="C1490" i="40"/>
  <c r="C1491" i="40"/>
  <c r="C1492" i="40"/>
  <c r="C1493" i="40"/>
  <c r="C1494" i="40"/>
  <c r="C1495" i="40"/>
  <c r="C1496" i="40"/>
  <c r="C1497" i="40"/>
  <c r="C1498" i="40"/>
  <c r="C1499" i="40"/>
  <c r="C1500" i="40"/>
  <c r="C1501" i="40"/>
  <c r="C1502" i="40"/>
  <c r="C1503" i="40"/>
  <c r="C1504" i="40"/>
  <c r="C1505" i="40"/>
  <c r="C1506" i="40"/>
  <c r="C1507" i="40"/>
  <c r="C1508" i="40"/>
  <c r="C1509" i="40"/>
  <c r="C1510" i="40"/>
  <c r="C1511" i="40"/>
  <c r="C1512" i="40"/>
  <c r="C1513" i="40"/>
  <c r="C1514" i="40"/>
  <c r="C1515" i="40"/>
  <c r="C1516" i="40"/>
  <c r="C1517" i="40"/>
  <c r="C1518" i="40"/>
  <c r="C1519" i="40"/>
  <c r="C1520" i="40"/>
  <c r="C1521" i="40"/>
  <c r="C1522" i="40"/>
  <c r="C1523" i="40"/>
  <c r="C1524" i="40"/>
  <c r="C1525" i="40"/>
  <c r="C1526" i="40"/>
  <c r="C1527" i="40"/>
  <c r="C1528" i="40"/>
  <c r="C1529" i="40"/>
  <c r="C1530" i="40"/>
  <c r="C1531" i="40"/>
  <c r="C1532" i="40"/>
  <c r="C1533" i="40"/>
  <c r="C1534" i="40"/>
  <c r="C1535" i="40"/>
  <c r="C1536" i="40"/>
  <c r="C1537" i="40"/>
  <c r="C1538" i="40"/>
  <c r="C1539" i="40"/>
  <c r="C1540" i="40"/>
  <c r="C1541" i="40"/>
  <c r="C1542" i="40"/>
  <c r="C1543" i="40"/>
  <c r="C1544" i="40"/>
  <c r="C1545" i="40"/>
  <c r="C1546" i="40"/>
  <c r="C1547" i="40"/>
  <c r="C1548" i="40"/>
  <c r="C1549" i="40"/>
  <c r="C1550" i="40"/>
  <c r="C1551" i="40"/>
  <c r="C1552" i="40"/>
  <c r="C1553" i="40"/>
  <c r="C1554" i="40"/>
  <c r="C1555" i="40"/>
  <c r="C1556" i="40"/>
  <c r="C1557" i="40"/>
  <c r="C1558" i="40"/>
  <c r="C1559" i="40"/>
  <c r="C1560" i="40"/>
  <c r="C1561" i="40"/>
  <c r="C1562" i="40"/>
  <c r="C1563" i="40"/>
  <c r="C1564" i="40"/>
  <c r="C1565" i="40"/>
  <c r="C1566" i="40"/>
  <c r="C1567" i="40"/>
  <c r="C1568" i="40"/>
  <c r="C1569" i="40"/>
  <c r="C1570" i="40"/>
  <c r="C1571" i="40"/>
  <c r="C1572" i="40"/>
  <c r="C1573" i="40"/>
  <c r="C1574" i="40"/>
  <c r="C1575" i="40"/>
  <c r="C1576" i="40"/>
  <c r="C1577" i="40"/>
  <c r="C1578" i="40"/>
  <c r="C1579" i="40"/>
  <c r="C1580" i="40"/>
  <c r="C1581" i="40"/>
  <c r="C1582" i="40"/>
  <c r="C1583" i="40"/>
  <c r="C1584" i="40"/>
  <c r="C1585" i="40"/>
  <c r="C1586" i="40"/>
  <c r="C1587" i="40"/>
  <c r="C1588" i="40"/>
  <c r="C1589" i="40"/>
  <c r="C1590" i="40"/>
  <c r="C1591" i="40"/>
  <c r="C1592" i="40"/>
  <c r="C1593" i="40"/>
  <c r="C1594" i="40"/>
  <c r="C1595" i="40"/>
  <c r="C1596" i="40"/>
  <c r="C1597" i="40"/>
  <c r="C1598" i="40"/>
  <c r="C1599" i="40"/>
  <c r="C1600" i="40"/>
  <c r="C1601" i="40"/>
  <c r="C1602" i="40"/>
  <c r="C1603" i="40"/>
  <c r="C1604" i="40"/>
  <c r="C1605" i="40"/>
  <c r="C1606" i="40"/>
  <c r="C1607" i="40"/>
  <c r="C1608" i="40"/>
  <c r="C1609" i="40"/>
  <c r="C1610" i="40"/>
  <c r="C1611" i="40"/>
  <c r="C1612" i="40"/>
  <c r="C1613" i="40"/>
  <c r="C1614" i="40"/>
  <c r="C1615" i="40"/>
  <c r="C1616" i="40"/>
  <c r="C1617" i="40"/>
  <c r="C1618" i="40"/>
  <c r="C1619" i="40"/>
  <c r="C1620" i="40"/>
  <c r="C1621" i="40"/>
  <c r="C1622" i="40"/>
  <c r="C1623" i="40"/>
  <c r="C1624" i="40"/>
  <c r="C1625" i="40"/>
  <c r="C1626" i="40"/>
  <c r="C1627" i="40"/>
  <c r="C1628" i="40"/>
  <c r="C1629" i="40"/>
  <c r="C1630" i="40"/>
  <c r="C1631" i="40"/>
  <c r="C1632" i="40"/>
  <c r="C1633" i="40"/>
  <c r="C1634" i="40"/>
  <c r="C1635" i="40"/>
  <c r="C1636" i="40"/>
  <c r="C1637" i="40"/>
  <c r="C1638" i="40"/>
  <c r="C1639" i="40"/>
  <c r="C1640" i="40"/>
  <c r="C1641" i="40"/>
  <c r="C1642" i="40"/>
  <c r="C1643" i="40"/>
  <c r="C1644" i="40"/>
  <c r="C1645" i="40"/>
  <c r="C1646" i="40"/>
  <c r="C1647" i="40"/>
  <c r="C1648" i="40"/>
  <c r="C1649" i="40"/>
  <c r="C1650" i="40"/>
  <c r="C1651" i="40"/>
  <c r="C1652" i="40"/>
  <c r="C1653" i="40"/>
  <c r="C1654" i="40"/>
  <c r="C1655" i="40"/>
  <c r="C1656" i="40"/>
  <c r="C1657" i="40"/>
  <c r="C1658" i="40"/>
  <c r="C1659" i="40"/>
  <c r="C1660" i="40"/>
  <c r="C1661" i="40"/>
  <c r="C1662" i="40"/>
  <c r="C1663" i="40"/>
  <c r="C1664" i="40"/>
  <c r="C1665" i="40"/>
  <c r="C1666" i="40"/>
  <c r="C1667" i="40"/>
  <c r="C1668" i="40"/>
  <c r="C1669" i="40"/>
  <c r="C1670" i="40"/>
  <c r="C1671" i="40"/>
  <c r="C1672" i="40"/>
  <c r="C1673" i="40"/>
  <c r="C1674" i="40"/>
  <c r="C1675" i="40"/>
  <c r="C1676" i="40"/>
  <c r="C1677" i="40"/>
  <c r="C1678" i="40"/>
  <c r="C1679" i="40"/>
  <c r="C1680" i="40"/>
  <c r="C1681" i="40"/>
  <c r="C1682" i="40"/>
  <c r="C1683" i="40"/>
  <c r="C1684" i="40"/>
  <c r="C1685" i="40"/>
  <c r="C1686" i="40"/>
  <c r="C1687" i="40"/>
  <c r="C1688" i="40"/>
  <c r="C1689" i="40"/>
  <c r="C1690" i="40"/>
  <c r="C1691" i="40"/>
  <c r="C1692" i="40"/>
  <c r="C1693" i="40"/>
  <c r="C1694" i="40"/>
  <c r="C1695" i="40"/>
  <c r="C1696" i="40"/>
  <c r="C1697" i="40"/>
  <c r="C1698" i="40"/>
  <c r="C1699" i="40"/>
  <c r="C1700" i="40"/>
  <c r="C1701" i="40"/>
  <c r="C1702" i="40"/>
  <c r="C1703" i="40"/>
  <c r="C1704" i="40"/>
  <c r="C1705" i="40"/>
  <c r="C1706" i="40"/>
  <c r="C1707" i="40"/>
  <c r="C1708" i="40"/>
  <c r="C1709" i="40"/>
  <c r="C1710" i="40"/>
  <c r="C1711" i="40"/>
  <c r="C1712" i="40"/>
  <c r="C1713" i="40"/>
  <c r="C1714" i="40"/>
  <c r="C1715" i="40"/>
  <c r="C1716" i="40"/>
  <c r="C1717" i="40"/>
  <c r="C1718" i="40"/>
  <c r="C1719" i="40"/>
  <c r="C1720" i="40"/>
  <c r="C1721" i="40"/>
  <c r="C1722" i="40"/>
  <c r="C1723" i="40"/>
  <c r="C1724" i="40"/>
  <c r="C1725" i="40"/>
  <c r="C1726" i="40"/>
  <c r="C1727" i="40"/>
  <c r="C1728" i="40"/>
  <c r="C1729" i="40"/>
  <c r="C1730" i="40"/>
  <c r="C1731" i="40"/>
  <c r="C1732" i="40"/>
  <c r="C1733" i="40"/>
  <c r="C1734" i="40"/>
  <c r="C1735" i="40"/>
  <c r="C1736" i="40"/>
  <c r="C1737" i="40"/>
  <c r="C1738" i="40"/>
  <c r="C1739" i="40"/>
  <c r="C1740" i="40"/>
  <c r="C1741" i="40"/>
  <c r="C1742" i="40"/>
  <c r="C1743" i="40"/>
  <c r="C1744" i="40"/>
  <c r="C1745" i="40"/>
  <c r="C1746" i="40"/>
  <c r="C1747" i="40"/>
  <c r="C1748" i="40"/>
  <c r="C1749" i="40"/>
  <c r="C1750" i="40"/>
  <c r="C1752" i="40"/>
  <c r="C1753" i="40"/>
  <c r="C1754" i="40"/>
  <c r="C1756" i="40"/>
  <c r="C1757" i="40"/>
  <c r="C1758" i="40"/>
  <c r="C1760" i="40"/>
  <c r="C1761" i="40"/>
  <c r="C1762" i="40"/>
  <c r="C1764" i="40"/>
  <c r="C1765" i="40"/>
  <c r="C1766" i="40"/>
  <c r="C1768" i="40"/>
  <c r="C1769" i="40"/>
  <c r="C1770" i="40"/>
  <c r="C1772" i="40"/>
  <c r="C1773" i="40"/>
  <c r="C1774" i="40"/>
  <c r="C1776" i="40"/>
  <c r="C1777" i="40"/>
  <c r="C1778" i="40"/>
  <c r="C1780" i="40"/>
  <c r="C1781" i="40"/>
  <c r="C1782" i="40"/>
  <c r="C1784" i="40"/>
  <c r="C1785" i="40"/>
  <c r="C1786" i="40"/>
  <c r="C1788" i="40"/>
  <c r="C1789" i="40"/>
  <c r="C1790" i="40"/>
  <c r="C1792" i="40"/>
  <c r="C1793" i="40"/>
  <c r="C1794" i="40"/>
  <c r="C1796" i="40"/>
  <c r="C1797" i="40"/>
  <c r="C1798" i="40"/>
  <c r="C1800" i="40"/>
  <c r="C1801" i="40"/>
  <c r="C1802" i="40"/>
  <c r="C1804" i="40"/>
  <c r="C1805" i="40"/>
  <c r="C1806" i="40"/>
  <c r="C1808" i="40"/>
  <c r="C1809" i="40"/>
  <c r="C1810" i="40"/>
  <c r="C1812" i="40"/>
  <c r="C1813" i="40"/>
  <c r="C1814" i="40"/>
  <c r="C1816" i="40"/>
  <c r="C1817" i="40"/>
  <c r="C1818" i="40"/>
  <c r="C1820" i="40"/>
  <c r="C1821" i="40"/>
  <c r="C1822" i="40"/>
  <c r="C1824" i="40"/>
  <c r="C1825" i="40"/>
  <c r="C1826" i="40"/>
  <c r="C1828" i="40"/>
  <c r="C1829" i="40"/>
  <c r="C1830" i="40"/>
  <c r="C1832" i="40"/>
  <c r="C1833" i="40"/>
  <c r="C1834" i="40"/>
  <c r="C1836" i="40"/>
  <c r="C1837" i="40"/>
  <c r="C1838" i="40"/>
  <c r="C1840" i="40"/>
  <c r="C1841" i="40"/>
  <c r="C1842" i="40"/>
  <c r="C1844" i="40"/>
  <c r="C1845" i="40"/>
  <c r="C1846" i="40"/>
  <c r="C1848" i="40"/>
  <c r="C1849" i="40"/>
  <c r="C1850" i="40"/>
  <c r="C1852" i="40"/>
  <c r="C1853" i="40"/>
  <c r="C1854" i="40"/>
  <c r="C1856" i="40"/>
  <c r="C1857" i="40"/>
  <c r="C1858" i="40"/>
  <c r="C1860" i="40"/>
  <c r="C1861" i="40"/>
  <c r="C1862" i="40"/>
  <c r="C1864" i="40"/>
  <c r="C1865" i="40"/>
  <c r="C1866" i="40"/>
  <c r="C1868" i="40"/>
  <c r="C1869" i="40"/>
  <c r="C1870" i="40"/>
  <c r="C1872" i="40"/>
  <c r="C1873" i="40"/>
  <c r="C1874" i="40"/>
  <c r="C1876" i="40"/>
  <c r="C1877" i="40"/>
  <c r="C1878" i="40"/>
  <c r="C1880" i="40"/>
  <c r="C1881" i="40"/>
  <c r="C1882" i="40"/>
  <c r="C1884" i="40"/>
  <c r="C1885" i="40"/>
  <c r="C1886" i="40"/>
  <c r="C1888" i="40"/>
  <c r="C1889" i="40"/>
  <c r="C1890" i="40"/>
  <c r="C1892" i="40"/>
  <c r="C1893" i="40"/>
  <c r="C1894" i="40"/>
  <c r="C1896" i="40"/>
  <c r="C1897" i="40"/>
  <c r="C1898" i="40"/>
  <c r="C1900" i="40"/>
  <c r="C1901" i="40"/>
  <c r="C1902" i="40"/>
  <c r="C1904" i="40"/>
  <c r="C1905" i="40"/>
  <c r="C1906" i="40"/>
  <c r="C1908" i="40"/>
  <c r="C1909" i="40"/>
  <c r="C1910" i="40"/>
  <c r="C1912" i="40"/>
  <c r="C1913" i="40"/>
  <c r="C1914" i="40"/>
  <c r="C1916" i="40"/>
  <c r="C1917" i="40"/>
  <c r="C1918" i="40"/>
  <c r="C1920" i="40"/>
  <c r="C1921" i="40"/>
  <c r="C1922" i="40"/>
  <c r="C1924" i="40"/>
  <c r="C1925" i="40"/>
  <c r="C1926" i="40"/>
  <c r="C1928" i="40"/>
  <c r="C1929" i="40"/>
  <c r="C1930" i="40"/>
  <c r="C1932" i="40"/>
  <c r="C1933" i="40"/>
  <c r="C1934" i="40"/>
  <c r="C1936" i="40"/>
  <c r="C1937" i="40"/>
  <c r="C1938" i="40"/>
  <c r="C1940" i="40"/>
  <c r="C1941" i="40"/>
  <c r="C1942" i="40"/>
  <c r="C1944" i="40"/>
  <c r="C1945" i="40"/>
  <c r="C1946" i="40"/>
  <c r="C1948" i="40"/>
  <c r="C1949" i="40"/>
  <c r="C1950" i="40"/>
  <c r="C1952" i="40"/>
  <c r="C1953" i="40"/>
  <c r="C1954" i="40"/>
  <c r="C1956" i="40"/>
  <c r="C1957" i="40"/>
  <c r="C1958" i="40"/>
  <c r="C1960" i="40"/>
  <c r="C1961" i="40"/>
  <c r="C1962" i="40"/>
  <c r="C1964" i="40"/>
  <c r="C1965" i="40"/>
  <c r="C1966" i="40"/>
  <c r="C1968" i="40"/>
  <c r="C1969" i="40"/>
  <c r="C1970" i="40"/>
  <c r="C1972" i="40"/>
  <c r="C1973" i="40"/>
  <c r="C1974" i="40"/>
  <c r="C1976" i="40"/>
  <c r="C1977" i="40"/>
  <c r="C1978" i="40"/>
  <c r="C1980" i="40"/>
  <c r="C1981" i="40"/>
  <c r="C1982" i="40"/>
  <c r="C1984" i="40"/>
  <c r="C1985" i="40"/>
  <c r="C1986" i="40"/>
  <c r="C1988" i="40"/>
  <c r="C1989" i="40"/>
  <c r="C1990" i="40"/>
  <c r="C1992" i="40"/>
  <c r="C1993" i="40"/>
  <c r="C1994" i="40"/>
  <c r="C1996" i="40"/>
  <c r="C1997" i="40"/>
  <c r="C1998" i="40"/>
  <c r="C2000" i="40"/>
  <c r="C2001" i="40"/>
  <c r="C2002" i="40"/>
  <c r="C2004" i="40"/>
  <c r="C2005" i="40"/>
  <c r="C2006" i="40"/>
  <c r="C2008" i="40"/>
  <c r="C2009" i="40"/>
  <c r="C2010" i="40"/>
  <c r="C2012" i="40"/>
  <c r="C2013" i="40"/>
  <c r="C2014" i="40"/>
  <c r="C2016" i="40"/>
  <c r="C2017" i="40"/>
  <c r="C2018" i="40"/>
  <c r="C2020" i="40"/>
  <c r="C2021" i="40"/>
  <c r="C2022" i="40"/>
  <c r="C2024" i="40"/>
  <c r="C2025" i="40"/>
  <c r="C2026" i="40"/>
  <c r="C2028" i="40"/>
  <c r="C2029" i="40"/>
  <c r="C2030" i="40"/>
  <c r="C2032" i="40"/>
  <c r="C2033" i="40"/>
  <c r="C2034" i="40"/>
  <c r="C2036" i="40"/>
  <c r="C2037" i="40"/>
  <c r="C2038" i="40"/>
  <c r="C2040" i="40"/>
  <c r="C2041" i="40"/>
  <c r="C2042" i="40"/>
  <c r="C2044" i="40"/>
  <c r="C2045" i="40"/>
  <c r="C2046" i="40"/>
  <c r="C2048" i="40"/>
  <c r="C2049" i="40"/>
  <c r="C2050" i="40"/>
  <c r="C2052" i="40"/>
  <c r="C2053" i="40"/>
  <c r="C2054" i="40"/>
  <c r="C2056" i="40"/>
  <c r="C2057" i="40"/>
  <c r="C2058" i="40"/>
  <c r="C2060" i="40"/>
  <c r="C2061" i="40"/>
  <c r="C2062" i="40"/>
  <c r="C2064" i="40"/>
  <c r="C2065" i="40"/>
  <c r="C2066" i="40"/>
  <c r="C2068" i="40"/>
  <c r="C2069" i="40"/>
  <c r="C2070" i="40"/>
  <c r="C2072" i="40"/>
  <c r="C2073" i="40"/>
  <c r="C2074" i="40"/>
  <c r="C2076" i="40"/>
  <c r="C2077" i="40"/>
  <c r="C2078" i="40"/>
  <c r="C2080" i="40"/>
  <c r="C2081" i="40"/>
  <c r="C2084" i="40"/>
  <c r="C2085" i="40"/>
  <c r="C2088" i="40"/>
  <c r="C2089" i="40"/>
  <c r="C2091" i="40"/>
  <c r="C2092" i="40"/>
  <c r="C2093" i="40"/>
  <c r="C2095" i="40"/>
  <c r="C2096" i="40"/>
  <c r="C2097" i="40"/>
  <c r="C2099" i="40"/>
  <c r="C2100" i="40"/>
  <c r="C2101" i="40"/>
  <c r="C2103" i="40"/>
  <c r="C2104" i="40"/>
  <c r="C2105" i="40"/>
  <c r="C2107" i="40"/>
  <c r="C2108" i="40"/>
  <c r="C2109" i="40"/>
  <c r="C2111" i="40"/>
  <c r="C2112" i="40"/>
  <c r="C2113" i="40"/>
  <c r="C2115" i="40"/>
  <c r="C2116" i="40"/>
  <c r="C2117" i="40"/>
  <c r="C2119" i="40"/>
  <c r="C2120" i="40"/>
  <c r="C2121" i="40"/>
  <c r="C2123" i="40"/>
  <c r="C2124" i="40"/>
  <c r="C2125" i="40"/>
  <c r="C2127" i="40"/>
  <c r="C2128" i="40"/>
  <c r="C2129" i="40"/>
  <c r="C2131" i="40"/>
  <c r="C2132" i="40"/>
  <c r="C2133" i="40"/>
  <c r="C2135" i="40"/>
  <c r="C2136" i="40"/>
  <c r="C2137" i="40"/>
  <c r="C2139" i="40"/>
  <c r="C2140" i="40"/>
  <c r="C2141" i="40"/>
  <c r="C2143" i="40"/>
  <c r="C2144" i="40"/>
  <c r="C2145" i="40"/>
  <c r="C2147" i="40"/>
  <c r="C2148" i="40"/>
  <c r="C2149" i="40"/>
  <c r="C2151" i="40"/>
  <c r="C2152" i="40"/>
  <c r="C2153" i="40"/>
  <c r="C2155" i="40"/>
  <c r="C2156" i="40"/>
  <c r="C2157" i="40"/>
  <c r="C2159" i="40"/>
  <c r="C2160" i="40"/>
  <c r="C2161" i="40"/>
  <c r="C2163" i="40"/>
  <c r="C2164" i="40"/>
  <c r="C2165" i="40"/>
  <c r="C2167" i="40"/>
  <c r="C2168" i="40"/>
  <c r="C2169" i="40"/>
  <c r="C2171" i="40"/>
  <c r="C2172" i="40"/>
  <c r="C2173" i="40"/>
  <c r="C2175" i="40"/>
  <c r="C2176" i="40"/>
  <c r="C2177" i="40"/>
  <c r="C2179" i="40"/>
  <c r="C2180" i="40"/>
  <c r="C2181" i="40"/>
  <c r="C2183" i="40"/>
  <c r="C2184" i="40"/>
  <c r="C2185" i="40"/>
  <c r="C2187" i="40"/>
  <c r="C2188" i="40"/>
  <c r="C2189" i="40"/>
  <c r="C2191" i="40"/>
  <c r="C2192" i="40"/>
  <c r="C2193" i="40"/>
  <c r="C2195" i="40"/>
  <c r="C2196" i="40"/>
  <c r="C2197" i="40"/>
  <c r="C2199" i="40"/>
  <c r="C2200" i="40"/>
  <c r="C2201" i="40"/>
  <c r="C2203" i="40"/>
  <c r="C2204" i="40"/>
  <c r="C2205" i="40"/>
  <c r="C2207" i="40"/>
  <c r="C2208" i="40"/>
  <c r="C2209" i="40"/>
  <c r="C2211" i="40"/>
  <c r="C2212" i="40"/>
  <c r="C2213" i="40"/>
  <c r="C2215" i="40"/>
  <c r="C2216" i="40"/>
  <c r="C2217" i="40"/>
  <c r="C2219" i="40"/>
  <c r="C2220" i="40"/>
  <c r="C2221" i="40"/>
  <c r="C2223" i="40"/>
  <c r="C2224" i="40"/>
  <c r="C2225" i="40"/>
  <c r="C2227" i="40"/>
  <c r="C2228" i="40"/>
  <c r="C2229" i="40"/>
  <c r="C2231" i="40"/>
  <c r="C2232" i="40"/>
  <c r="C2233" i="40"/>
  <c r="C2235" i="40"/>
  <c r="C2236" i="40"/>
  <c r="C2237" i="40"/>
  <c r="C2239" i="40"/>
  <c r="C2240" i="40"/>
  <c r="C2241" i="40"/>
  <c r="C2243" i="40"/>
  <c r="C2244" i="40"/>
  <c r="C2245" i="40"/>
  <c r="C2247" i="40"/>
  <c r="C2248" i="40"/>
  <c r="C2249" i="40"/>
  <c r="C2251" i="40"/>
  <c r="C2252" i="40"/>
  <c r="C2253" i="40"/>
  <c r="C2255" i="40"/>
  <c r="C2256" i="40"/>
  <c r="C2257" i="40"/>
  <c r="C2259" i="40"/>
  <c r="C2260" i="40"/>
  <c r="C2261" i="40"/>
  <c r="C2263" i="40"/>
  <c r="C2264" i="40"/>
  <c r="C2265" i="40"/>
  <c r="C2267" i="40"/>
  <c r="C2268" i="40"/>
  <c r="C2269" i="40"/>
  <c r="C2271" i="40"/>
  <c r="C2272" i="40"/>
  <c r="C2273" i="40"/>
  <c r="C2275" i="40"/>
  <c r="C2276" i="40"/>
  <c r="C2277" i="40"/>
  <c r="C2279" i="40"/>
  <c r="C2280" i="40"/>
  <c r="C2281" i="40"/>
  <c r="C2283" i="40"/>
  <c r="C2284" i="40"/>
  <c r="C2285" i="40"/>
  <c r="C2287" i="40"/>
  <c r="C2288" i="40"/>
  <c r="C2289" i="40"/>
  <c r="C2291" i="40"/>
  <c r="C2292" i="40"/>
  <c r="C2293" i="40"/>
  <c r="C2295" i="40"/>
  <c r="C2296" i="40"/>
  <c r="C2297" i="40"/>
  <c r="C2299" i="40"/>
  <c r="C2300" i="40"/>
  <c r="C2301" i="40"/>
  <c r="C2303" i="40"/>
  <c r="C2304" i="40"/>
  <c r="C2305" i="40"/>
  <c r="C2307" i="40"/>
  <c r="C2308" i="40"/>
  <c r="C2309" i="40"/>
  <c r="C2311" i="40"/>
  <c r="C2312" i="40"/>
  <c r="C2313" i="40"/>
  <c r="C2315" i="40"/>
  <c r="C2316" i="40"/>
  <c r="C2317" i="40"/>
  <c r="C2319" i="40"/>
  <c r="C2320" i="40"/>
  <c r="C2321" i="40"/>
  <c r="C2323" i="40"/>
  <c r="C2324" i="40"/>
  <c r="C2325" i="40"/>
  <c r="C2327" i="40"/>
  <c r="C2328" i="40"/>
  <c r="C2329" i="40"/>
  <c r="C2331" i="40"/>
  <c r="C2332" i="40"/>
  <c r="C2333" i="40"/>
  <c r="C2335" i="40"/>
  <c r="C2336" i="40"/>
  <c r="C2337" i="40"/>
  <c r="C2339" i="40"/>
  <c r="C2340" i="40"/>
  <c r="C2341" i="40"/>
  <c r="C2343" i="40"/>
  <c r="C2344" i="40"/>
  <c r="C2345" i="40"/>
  <c r="C2347" i="40"/>
  <c r="C2348" i="40"/>
  <c r="C2349" i="40"/>
  <c r="C2351" i="40"/>
  <c r="C2352" i="40"/>
  <c r="C2353" i="40"/>
  <c r="C2355" i="40"/>
  <c r="C2356" i="40"/>
  <c r="C2357" i="40"/>
  <c r="C2359" i="40"/>
  <c r="C2360" i="40"/>
  <c r="C2361" i="40"/>
  <c r="C2363" i="40"/>
  <c r="C2364" i="40"/>
  <c r="C2365" i="40"/>
  <c r="C2367" i="40"/>
  <c r="C2368" i="40"/>
  <c r="C2369" i="40"/>
  <c r="C2371" i="40"/>
  <c r="C2372" i="40"/>
  <c r="C2373" i="40"/>
  <c r="C2375" i="40"/>
  <c r="C2376" i="40"/>
  <c r="C2377" i="40"/>
  <c r="C2379" i="40"/>
  <c r="C2380" i="40"/>
  <c r="C2381" i="40"/>
  <c r="C2383" i="40"/>
  <c r="C2384" i="40"/>
  <c r="C2385" i="40"/>
  <c r="C2387" i="40"/>
  <c r="C2388" i="40"/>
  <c r="C2389" i="40"/>
  <c r="C2391" i="40"/>
  <c r="C2392" i="40"/>
  <c r="C2393" i="40"/>
  <c r="C2395" i="40"/>
  <c r="C2396" i="40"/>
  <c r="C2397" i="40"/>
  <c r="C2399" i="40"/>
  <c r="C2400" i="40"/>
  <c r="C2401" i="40"/>
  <c r="C2403" i="40"/>
  <c r="C2404" i="40"/>
  <c r="C2405" i="40"/>
  <c r="C2407" i="40"/>
  <c r="C2408" i="40"/>
  <c r="C2409" i="40"/>
  <c r="C2411" i="40"/>
  <c r="C2412" i="40"/>
  <c r="C2413" i="40"/>
  <c r="C2415" i="40"/>
  <c r="C2416" i="40"/>
  <c r="C2417" i="40"/>
  <c r="C2419" i="40"/>
  <c r="C2420" i="40"/>
  <c r="C2421" i="40"/>
  <c r="C2423" i="40"/>
  <c r="C2424" i="40"/>
  <c r="C2425" i="40"/>
  <c r="C2427" i="40"/>
  <c r="C2428" i="40"/>
  <c r="C2429" i="40"/>
  <c r="C2430" i="40"/>
  <c r="C2431" i="40"/>
  <c r="C2432" i="40"/>
  <c r="C2433" i="40"/>
  <c r="C2434" i="40"/>
  <c r="C2435" i="40"/>
  <c r="B35" i="34"/>
  <c r="I35" i="34" s="1"/>
  <c r="B33" i="48"/>
  <c r="I33" i="48" s="1"/>
  <c r="B34" i="44"/>
  <c r="I34" i="44" s="1"/>
  <c r="B35" i="33"/>
  <c r="I35" i="33" s="1"/>
  <c r="B35" i="70"/>
  <c r="I35" i="70" s="1"/>
  <c r="B35" i="20"/>
  <c r="I35" i="20" s="1"/>
  <c r="B35" i="17"/>
  <c r="I35" i="17" s="1"/>
  <c r="B35" i="19"/>
  <c r="I35" i="19" s="1"/>
  <c r="B35" i="18"/>
  <c r="I35" i="18" s="1"/>
  <c r="B36" i="8"/>
  <c r="I36" i="8" s="1"/>
  <c r="B35" i="56"/>
  <c r="I35" i="56" s="1"/>
  <c r="B43" i="5"/>
  <c r="I43" i="5" s="1"/>
  <c r="B43" i="6"/>
  <c r="I43" i="6" s="1"/>
  <c r="B43" i="71"/>
  <c r="B43" i="31"/>
  <c r="I43" i="31" s="1"/>
  <c r="B43" i="30"/>
  <c r="I43" i="30" s="1"/>
  <c r="B43" i="4"/>
  <c r="I43" i="4" s="1"/>
  <c r="B43" i="3"/>
  <c r="I43" i="3" s="1"/>
  <c r="C980" i="40"/>
  <c r="E645" i="1"/>
  <c r="F625" i="1"/>
  <c r="F644" i="1"/>
  <c r="G644" i="1"/>
  <c r="E635" i="1"/>
  <c r="F635" i="1"/>
  <c r="E585" i="1"/>
  <c r="E636" i="1"/>
  <c r="E625" i="1"/>
  <c r="E626" i="1"/>
  <c r="F554" i="1"/>
  <c r="E555" i="1"/>
  <c r="F639" i="1"/>
  <c r="E562" i="1"/>
  <c r="E620" i="1"/>
  <c r="F585" i="1"/>
  <c r="E563" i="1"/>
  <c r="E649" i="1"/>
  <c r="E630" i="1"/>
  <c r="E587" i="1"/>
  <c r="E556" i="1"/>
  <c r="E565" i="1"/>
  <c r="B987" i="40"/>
  <c r="B990" i="40"/>
  <c r="B994" i="40"/>
  <c r="B998" i="40"/>
  <c r="B1006" i="40"/>
  <c r="B1010" i="40"/>
  <c r="B1014" i="40"/>
  <c r="B1018" i="40"/>
  <c r="B1022" i="40"/>
  <c r="B1027" i="40"/>
  <c r="B1031" i="40"/>
  <c r="B1035" i="40"/>
  <c r="B1039" i="40"/>
  <c r="B1042" i="40"/>
  <c r="B1046" i="40"/>
  <c r="B1050" i="40"/>
  <c r="B1053" i="40"/>
  <c r="B1060" i="40"/>
  <c r="B1064" i="40"/>
  <c r="B1068" i="40"/>
  <c r="B1072" i="40"/>
  <c r="B1076" i="40"/>
  <c r="B1080" i="40"/>
  <c r="B1084" i="40"/>
  <c r="B1088" i="40"/>
  <c r="B1092" i="40"/>
  <c r="B1096" i="40"/>
  <c r="F546" i="1" s="1"/>
  <c r="B1099" i="40"/>
  <c r="B1103" i="40"/>
  <c r="B1108" i="40"/>
  <c r="B1111" i="40"/>
  <c r="B1119" i="40"/>
  <c r="B1123" i="40"/>
  <c r="B1127" i="40"/>
  <c r="B1131" i="40"/>
  <c r="B1135" i="40"/>
  <c r="B1139" i="40"/>
  <c r="B1142" i="40"/>
  <c r="B1146" i="40"/>
  <c r="B1149" i="40"/>
  <c r="B1155" i="40"/>
  <c r="B1159" i="40"/>
  <c r="B1161" i="40"/>
  <c r="B1165" i="40"/>
  <c r="B1169" i="40"/>
  <c r="B1173" i="40"/>
  <c r="F598" i="1" s="1"/>
  <c r="B1177" i="40"/>
  <c r="B1181" i="40"/>
  <c r="B1185" i="40"/>
  <c r="F194" i="1" s="1"/>
  <c r="B1189" i="40"/>
  <c r="B1193" i="40"/>
  <c r="B984" i="40"/>
  <c r="B988" i="40"/>
  <c r="B991" i="40"/>
  <c r="B995" i="40"/>
  <c r="B999" i="40"/>
  <c r="B1011" i="40"/>
  <c r="E584" i="1" s="1"/>
  <c r="B1015" i="40"/>
  <c r="B1019" i="40"/>
  <c r="E343" i="1" s="1"/>
  <c r="B1023" i="40"/>
  <c r="B1028" i="40"/>
  <c r="B1032" i="40"/>
  <c r="B1036" i="40"/>
  <c r="B1040" i="40"/>
  <c r="B1043" i="40"/>
  <c r="B1047" i="40"/>
  <c r="B1051" i="40"/>
  <c r="B1054" i="40"/>
  <c r="B1057" i="40"/>
  <c r="B1061" i="40"/>
  <c r="B1065" i="40"/>
  <c r="B1069" i="40"/>
  <c r="B1073" i="40"/>
  <c r="B1077" i="40"/>
  <c r="B1081" i="40"/>
  <c r="B1085" i="40"/>
  <c r="B1089" i="40"/>
  <c r="B1093" i="40"/>
  <c r="B1097" i="40"/>
  <c r="F827" i="1" s="1"/>
  <c r="B1100" i="40"/>
  <c r="B1104" i="40"/>
  <c r="B1109" i="40"/>
  <c r="B1112" i="40"/>
  <c r="B1116" i="40"/>
  <c r="E814" i="1" s="1"/>
  <c r="B1120" i="40"/>
  <c r="B1124" i="40"/>
  <c r="B1128" i="40"/>
  <c r="B1132" i="40"/>
  <c r="B1136" i="40"/>
  <c r="B1140" i="40"/>
  <c r="B1143" i="40"/>
  <c r="B1147" i="40"/>
  <c r="B1150" i="40"/>
  <c r="B1152" i="40"/>
  <c r="B1156" i="40"/>
  <c r="B1162" i="40"/>
  <c r="B1166" i="40"/>
  <c r="B1170" i="40"/>
  <c r="E257" i="1" s="1"/>
  <c r="B1174" i="40"/>
  <c r="F609" i="1" s="1"/>
  <c r="B1178" i="40"/>
  <c r="B1182" i="40"/>
  <c r="B1186" i="40"/>
  <c r="F532" i="1" s="1"/>
  <c r="B1190" i="40"/>
  <c r="B1202" i="40"/>
  <c r="B983" i="40"/>
  <c r="B985" i="40"/>
  <c r="B992" i="40"/>
  <c r="B996" i="40"/>
  <c r="B1000" i="40"/>
  <c r="B1004" i="40"/>
  <c r="B1012" i="40"/>
  <c r="F596" i="1" s="1"/>
  <c r="B1016" i="40"/>
  <c r="B1020" i="40"/>
  <c r="B1024" i="40"/>
  <c r="B1029" i="40"/>
  <c r="B1033" i="40"/>
  <c r="B1037" i="40"/>
  <c r="B1044" i="40"/>
  <c r="B1048" i="40"/>
  <c r="B1055" i="40"/>
  <c r="B1058" i="40"/>
  <c r="B1062" i="40"/>
  <c r="B1066" i="40"/>
  <c r="B1070" i="40"/>
  <c r="B1074" i="40"/>
  <c r="B1078" i="40"/>
  <c r="B1082" i="40"/>
  <c r="B1086" i="40"/>
  <c r="B1090" i="40"/>
  <c r="E417" i="1" s="1"/>
  <c r="B1094" i="40"/>
  <c r="B1101" i="40"/>
  <c r="B1105" i="40"/>
  <c r="B1106" i="40"/>
  <c r="B1113" i="40"/>
  <c r="B1114" i="40"/>
  <c r="B1117" i="40"/>
  <c r="B1121" i="40"/>
  <c r="B1125" i="40"/>
  <c r="B1129" i="40"/>
  <c r="B1133" i="40"/>
  <c r="B1137" i="40"/>
  <c r="B1141" i="40"/>
  <c r="B1144" i="40"/>
  <c r="B1148" i="40"/>
  <c r="B1153" i="40"/>
  <c r="B1157" i="40"/>
  <c r="B1163" i="40"/>
  <c r="B1167" i="40"/>
  <c r="B1171" i="40"/>
  <c r="E249" i="1" s="1"/>
  <c r="B1175" i="40"/>
  <c r="E190" i="1" s="1"/>
  <c r="B1179" i="40"/>
  <c r="B1183" i="40"/>
  <c r="F192" i="1" s="1"/>
  <c r="B1187" i="40"/>
  <c r="E675" i="1" s="1"/>
  <c r="B1191" i="40"/>
  <c r="B986" i="40"/>
  <c r="B997" i="40"/>
  <c r="B1013" i="40"/>
  <c r="B1026" i="40"/>
  <c r="B1041" i="40"/>
  <c r="B1052" i="40"/>
  <c r="B1067" i="40"/>
  <c r="B1083" i="40"/>
  <c r="B1098" i="40"/>
  <c r="B1118" i="40"/>
  <c r="B1134" i="40"/>
  <c r="B1154" i="40"/>
  <c r="B1168" i="40"/>
  <c r="B1184" i="40"/>
  <c r="F193" i="1" s="1"/>
  <c r="B1198" i="40"/>
  <c r="B1203" i="40"/>
  <c r="B1207" i="40"/>
  <c r="B1211" i="40"/>
  <c r="B1215" i="40"/>
  <c r="B1224" i="40"/>
  <c r="B1228" i="40"/>
  <c r="B1232" i="40"/>
  <c r="B1236" i="40"/>
  <c r="B1240" i="40"/>
  <c r="B1244" i="40"/>
  <c r="B1248" i="40"/>
  <c r="B1252" i="40"/>
  <c r="B1256" i="40"/>
  <c r="B1260" i="40"/>
  <c r="B1264" i="40"/>
  <c r="B1268" i="40"/>
  <c r="B1272" i="40"/>
  <c r="B1276" i="40"/>
  <c r="B1280" i="40"/>
  <c r="B1286" i="40"/>
  <c r="B1290" i="40"/>
  <c r="B1294" i="40"/>
  <c r="B1298" i="40"/>
  <c r="B1302" i="40"/>
  <c r="B1306" i="40"/>
  <c r="B1310" i="40"/>
  <c r="B1314" i="40"/>
  <c r="B1318" i="40"/>
  <c r="B1324" i="40"/>
  <c r="B1328" i="40"/>
  <c r="B1332" i="40"/>
  <c r="B1338" i="40"/>
  <c r="B1342" i="40"/>
  <c r="B1346" i="40"/>
  <c r="B1350" i="40"/>
  <c r="B1354" i="40"/>
  <c r="B1358" i="40"/>
  <c r="B1362" i="40"/>
  <c r="B1366" i="40"/>
  <c r="B1370" i="40"/>
  <c r="B1374" i="40"/>
  <c r="B1378" i="40"/>
  <c r="B1382" i="40"/>
  <c r="B1386" i="40"/>
  <c r="B1388" i="40"/>
  <c r="B1392" i="40"/>
  <c r="B1396" i="40"/>
  <c r="B1400" i="40"/>
  <c r="B989" i="40"/>
  <c r="B1017" i="40"/>
  <c r="B1030" i="40"/>
  <c r="B1045" i="40"/>
  <c r="B1056" i="40"/>
  <c r="B1071" i="40"/>
  <c r="B1087" i="40"/>
  <c r="B1102" i="40"/>
  <c r="B1122" i="40"/>
  <c r="B1138" i="40"/>
  <c r="B1158" i="40"/>
  <c r="B1172" i="40"/>
  <c r="B1188" i="40"/>
  <c r="B1199" i="40"/>
  <c r="B1204" i="40"/>
  <c r="B1208" i="40"/>
  <c r="B1212" i="40"/>
  <c r="F760" i="1" s="1"/>
  <c r="B1216" i="40"/>
  <c r="F345" i="1" s="1"/>
  <c r="B1220" i="40"/>
  <c r="F185" i="1" s="1"/>
  <c r="B1225" i="40"/>
  <c r="B1229" i="40"/>
  <c r="B1233" i="40"/>
  <c r="B1237" i="40"/>
  <c r="B1241" i="40"/>
  <c r="B1245" i="40"/>
  <c r="B1249" i="40"/>
  <c r="B1253" i="40"/>
  <c r="B1257" i="40"/>
  <c r="B1261" i="40"/>
  <c r="B1265" i="40"/>
  <c r="B1269" i="40"/>
  <c r="B1273" i="40"/>
  <c r="B1277" i="40"/>
  <c r="B1281" i="40"/>
  <c r="B1287" i="40"/>
  <c r="B1291" i="40"/>
  <c r="B1295" i="40"/>
  <c r="B1299" i="40"/>
  <c r="B1303" i="40"/>
  <c r="B1307" i="40"/>
  <c r="B1311" i="40"/>
  <c r="B1315" i="40"/>
  <c r="B1319" i="40"/>
  <c r="B1321" i="40"/>
  <c r="B1325" i="40"/>
  <c r="B1329" i="40"/>
  <c r="B1333" i="40"/>
  <c r="B1334" i="40"/>
  <c r="B1335" i="40"/>
  <c r="B1339" i="40"/>
  <c r="E187" i="1" s="1"/>
  <c r="B1343" i="40"/>
  <c r="B1347" i="40"/>
  <c r="B1351" i="40"/>
  <c r="B1355" i="40"/>
  <c r="B1359" i="40"/>
  <c r="B1361" i="40"/>
  <c r="B1363" i="40"/>
  <c r="B1367" i="40"/>
  <c r="B1371" i="40"/>
  <c r="B1375" i="40"/>
  <c r="B1379" i="40"/>
  <c r="B1383" i="40"/>
  <c r="B1387" i="40"/>
  <c r="B1389" i="40"/>
  <c r="B1393" i="40"/>
  <c r="B1397" i="40"/>
  <c r="B1005" i="40"/>
  <c r="B1021" i="40"/>
  <c r="B1034" i="40"/>
  <c r="B1049" i="40"/>
  <c r="B1059" i="40"/>
  <c r="B1075" i="40"/>
  <c r="B1091" i="40"/>
  <c r="E421" i="1" s="1"/>
  <c r="B1107" i="40"/>
  <c r="B1115" i="40"/>
  <c r="B1126" i="40"/>
  <c r="B1160" i="40"/>
  <c r="B1176" i="40"/>
  <c r="E191" i="1" s="1"/>
  <c r="B1192" i="40"/>
  <c r="B1195" i="40"/>
  <c r="B1200" i="40"/>
  <c r="B1205" i="40"/>
  <c r="B1209" i="40"/>
  <c r="B1213" i="40"/>
  <c r="F475" i="1" s="1"/>
  <c r="B1217" i="40"/>
  <c r="F346" i="1" s="1"/>
  <c r="B1221" i="40"/>
  <c r="F189" i="1" s="1"/>
  <c r="B1226" i="40"/>
  <c r="B1230" i="40"/>
  <c r="B1234" i="40"/>
  <c r="B1238" i="40"/>
  <c r="B1242" i="40"/>
  <c r="B1246" i="40"/>
  <c r="B1250" i="40"/>
  <c r="B1254" i="40"/>
  <c r="B1258" i="40"/>
  <c r="B1262" i="40"/>
  <c r="B1266" i="40"/>
  <c r="B1270" i="40"/>
  <c r="B1274" i="40"/>
  <c r="B1278" i="40"/>
  <c r="B1282" i="40"/>
  <c r="B1284" i="40"/>
  <c r="B1288" i="40"/>
  <c r="B1292" i="40"/>
  <c r="B1296" i="40"/>
  <c r="B1300" i="40"/>
  <c r="B1304" i="40"/>
  <c r="B1308" i="40"/>
  <c r="B1312" i="40"/>
  <c r="B1316" i="40"/>
  <c r="B1320" i="40"/>
  <c r="B1322" i="40"/>
  <c r="B1326" i="40"/>
  <c r="B1330" i="40"/>
  <c r="B1336" i="40"/>
  <c r="B1340" i="40"/>
  <c r="B1344" i="40"/>
  <c r="B1348" i="40"/>
  <c r="B1352" i="40"/>
  <c r="B1356" i="40"/>
  <c r="B1364" i="40"/>
  <c r="B1368" i="40"/>
  <c r="B1372" i="40"/>
  <c r="B1376" i="40"/>
  <c r="B1380" i="40"/>
  <c r="B1384" i="40"/>
  <c r="B1390" i="40"/>
  <c r="B1394" i="40"/>
  <c r="B1025" i="40"/>
  <c r="B1079" i="40"/>
  <c r="B1151" i="40"/>
  <c r="B1197" i="40"/>
  <c r="B1214" i="40"/>
  <c r="B1223" i="40"/>
  <c r="B1239" i="40"/>
  <c r="B1255" i="40"/>
  <c r="B1271" i="40"/>
  <c r="B1285" i="40"/>
  <c r="B1301" i="40"/>
  <c r="B1323" i="40"/>
  <c r="B1345" i="40"/>
  <c r="B1360" i="40"/>
  <c r="B1373" i="40"/>
  <c r="B1395" i="40"/>
  <c r="B1402" i="40"/>
  <c r="B1406" i="40"/>
  <c r="B1410" i="40"/>
  <c r="B1414" i="40"/>
  <c r="B1418" i="40"/>
  <c r="B1422" i="40"/>
  <c r="B1426" i="40"/>
  <c r="B1431" i="40"/>
  <c r="B1435" i="40"/>
  <c r="B1440" i="40"/>
  <c r="B1444" i="40"/>
  <c r="B1448" i="40"/>
  <c r="B1452" i="40"/>
  <c r="B1455" i="40"/>
  <c r="B1462" i="40"/>
  <c r="B1466" i="40"/>
  <c r="B1470" i="40"/>
  <c r="B1474" i="40"/>
  <c r="B1478" i="40"/>
  <c r="B1482" i="40"/>
  <c r="B1486" i="40"/>
  <c r="B1490" i="40"/>
  <c r="B1495" i="40"/>
  <c r="B1497" i="40"/>
  <c r="B1505" i="40"/>
  <c r="B1509" i="40"/>
  <c r="B1513" i="40"/>
  <c r="B1517" i="40"/>
  <c r="B1520" i="40"/>
  <c r="B1038" i="40"/>
  <c r="B1095" i="40"/>
  <c r="B1130" i="40"/>
  <c r="B1164" i="40"/>
  <c r="B1201" i="40"/>
  <c r="B1227" i="40"/>
  <c r="B1243" i="40"/>
  <c r="B1259" i="40"/>
  <c r="B1275" i="40"/>
  <c r="B1289" i="40"/>
  <c r="B1305" i="40"/>
  <c r="B1313" i="40"/>
  <c r="B1327" i="40"/>
  <c r="B1349" i="40"/>
  <c r="B1377" i="40"/>
  <c r="B1398" i="40"/>
  <c r="B1403" i="40"/>
  <c r="B1407" i="40"/>
  <c r="B1411" i="40"/>
  <c r="B1415" i="40"/>
  <c r="B1419" i="40"/>
  <c r="B1423" i="40"/>
  <c r="B1427" i="40"/>
  <c r="B1429" i="40"/>
  <c r="B1432" i="40"/>
  <c r="B1433" i="40"/>
  <c r="B1436" i="40"/>
  <c r="B1438" i="40"/>
  <c r="B1441" i="40"/>
  <c r="B1445" i="40"/>
  <c r="B1449" i="40"/>
  <c r="B1453" i="40"/>
  <c r="B1454" i="40"/>
  <c r="B1456" i="40"/>
  <c r="B1459" i="40"/>
  <c r="B1463" i="40"/>
  <c r="B1467" i="40"/>
  <c r="B1471" i="40"/>
  <c r="B1475" i="40"/>
  <c r="B1479" i="40"/>
  <c r="B1483" i="40"/>
  <c r="B1487" i="40"/>
  <c r="B1491" i="40"/>
  <c r="B1492" i="40"/>
  <c r="B1496" i="40"/>
  <c r="B1498" i="40"/>
  <c r="B1501" i="40"/>
  <c r="B1502" i="40"/>
  <c r="B1506" i="40"/>
  <c r="B1510" i="40"/>
  <c r="B1514" i="40"/>
  <c r="B1521" i="40"/>
  <c r="B993" i="40"/>
  <c r="B1145" i="40"/>
  <c r="B1180" i="40"/>
  <c r="B1196" i="40"/>
  <c r="B1206" i="40"/>
  <c r="B1222" i="40"/>
  <c r="F467" i="1" s="1"/>
  <c r="B1231" i="40"/>
  <c r="B1247" i="40"/>
  <c r="B1263" i="40"/>
  <c r="B1279" i="40"/>
  <c r="B1293" i="40"/>
  <c r="B1309" i="40"/>
  <c r="B1317" i="40"/>
  <c r="B1331" i="40"/>
  <c r="B1337" i="40"/>
  <c r="B1353" i="40"/>
  <c r="B1365" i="40"/>
  <c r="B1381" i="40"/>
  <c r="B1399" i="40"/>
  <c r="B1404" i="40"/>
  <c r="B1408" i="40"/>
  <c r="B1412" i="40"/>
  <c r="B1416" i="40"/>
  <c r="B1420" i="40"/>
  <c r="B1424" i="40"/>
  <c r="B1428" i="40"/>
  <c r="B1430" i="40"/>
  <c r="B1434" i="40"/>
  <c r="B1437" i="40"/>
  <c r="B1442" i="40"/>
  <c r="B1446" i="40"/>
  <c r="B1450" i="40"/>
  <c r="B1457" i="40"/>
  <c r="B1460" i="40"/>
  <c r="B1464" i="40"/>
  <c r="B1468" i="40"/>
  <c r="B1472" i="40"/>
  <c r="B1476" i="40"/>
  <c r="B1480" i="40"/>
  <c r="B1484" i="40"/>
  <c r="B1488" i="40"/>
  <c r="B1493" i="40"/>
  <c r="B1499" i="40"/>
  <c r="B1503" i="40"/>
  <c r="B1507" i="40"/>
  <c r="B1511" i="40"/>
  <c r="B1515" i="40"/>
  <c r="B1283" i="40"/>
  <c r="B1385" i="40"/>
  <c r="B1409" i="40"/>
  <c r="B1425" i="40"/>
  <c r="B1439" i="40"/>
  <c r="B1465" i="40"/>
  <c r="B1481" i="40"/>
  <c r="B1512" i="40"/>
  <c r="B1528" i="40"/>
  <c r="F606" i="1" s="1"/>
  <c r="B1532" i="40"/>
  <c r="B1536" i="40"/>
  <c r="B1539" i="40"/>
  <c r="B1543" i="40"/>
  <c r="B1548" i="40"/>
  <c r="B1552" i="40"/>
  <c r="B1556" i="40"/>
  <c r="B1560" i="40"/>
  <c r="B1564" i="40"/>
  <c r="B1566" i="40"/>
  <c r="B1573" i="40"/>
  <c r="B1577" i="40"/>
  <c r="B1581" i="40"/>
  <c r="B1585" i="40"/>
  <c r="B1588" i="40"/>
  <c r="B1592" i="40"/>
  <c r="B1594" i="40"/>
  <c r="B1597" i="40"/>
  <c r="B1602" i="40"/>
  <c r="B1606" i="40"/>
  <c r="B1610" i="40"/>
  <c r="B1614" i="40"/>
  <c r="B1618" i="40"/>
  <c r="B1622" i="40"/>
  <c r="B1626" i="40"/>
  <c r="B1630" i="40"/>
  <c r="B1634" i="40"/>
  <c r="B1638" i="40"/>
  <c r="B1642" i="40"/>
  <c r="B1646" i="40"/>
  <c r="B1651" i="40"/>
  <c r="B1655" i="40"/>
  <c r="B1659" i="40"/>
  <c r="B1663" i="40"/>
  <c r="B1668" i="40"/>
  <c r="B1670" i="40"/>
  <c r="B1674" i="40"/>
  <c r="B1677" i="40"/>
  <c r="B1681" i="40"/>
  <c r="B1685" i="40"/>
  <c r="F335" i="1" s="1"/>
  <c r="B1689" i="40"/>
  <c r="F91" i="1" s="1"/>
  <c r="B1693" i="40"/>
  <c r="B1697" i="40"/>
  <c r="F177" i="1" s="1"/>
  <c r="B1703" i="40"/>
  <c r="B1709" i="40"/>
  <c r="B1714" i="40"/>
  <c r="B1717" i="40"/>
  <c r="B1721" i="40"/>
  <c r="B1725" i="40"/>
  <c r="B1729" i="40"/>
  <c r="B1733" i="40"/>
  <c r="B1737" i="40"/>
  <c r="B1741" i="40"/>
  <c r="B1747" i="40"/>
  <c r="B1749" i="40"/>
  <c r="B1750" i="40"/>
  <c r="B1754" i="40"/>
  <c r="B1758" i="40"/>
  <c r="B1762" i="40"/>
  <c r="B1765" i="40"/>
  <c r="B1769" i="40"/>
  <c r="B1773" i="40"/>
  <c r="B1777" i="40"/>
  <c r="B1781" i="40"/>
  <c r="B1785" i="40"/>
  <c r="B1788" i="40"/>
  <c r="B1791" i="40"/>
  <c r="B1795" i="40"/>
  <c r="B1799" i="40"/>
  <c r="B1803" i="40"/>
  <c r="B1809" i="40"/>
  <c r="B1813" i="40"/>
  <c r="B1817" i="40"/>
  <c r="B1820" i="40"/>
  <c r="B1824" i="40"/>
  <c r="B1828" i="40"/>
  <c r="B1009" i="40"/>
  <c r="E822" i="1" s="1"/>
  <c r="B1194" i="40"/>
  <c r="B1235" i="40"/>
  <c r="B1297" i="40"/>
  <c r="B1341" i="40"/>
  <c r="B1391" i="40"/>
  <c r="B1413" i="40"/>
  <c r="B1443" i="40"/>
  <c r="B1469" i="40"/>
  <c r="B1485" i="40"/>
  <c r="B1494" i="40"/>
  <c r="B1500" i="40"/>
  <c r="B1516" i="40"/>
  <c r="B1529" i="40"/>
  <c r="E545" i="1" s="1"/>
  <c r="B1533" i="40"/>
  <c r="B1537" i="40"/>
  <c r="B1540" i="40"/>
  <c r="B1545" i="40"/>
  <c r="B1549" i="40"/>
  <c r="B1553" i="40"/>
  <c r="B1557" i="40"/>
  <c r="B1561" i="40"/>
  <c r="B1567" i="40"/>
  <c r="B1570" i="40"/>
  <c r="B1574" i="40"/>
  <c r="B1578" i="40"/>
  <c r="B1582" i="40"/>
  <c r="B1586" i="40"/>
  <c r="B1589" i="40"/>
  <c r="B1593" i="40"/>
  <c r="B1599" i="40"/>
  <c r="B1603" i="40"/>
  <c r="B1607" i="40"/>
  <c r="B1611" i="40"/>
  <c r="B1615" i="40"/>
  <c r="B1619" i="40"/>
  <c r="E237" i="1" s="1"/>
  <c r="B1623" i="40"/>
  <c r="B1627" i="40"/>
  <c r="B1631" i="40"/>
  <c r="B1635" i="40"/>
  <c r="B1639" i="40"/>
  <c r="B1643" i="40"/>
  <c r="B1647" i="40"/>
  <c r="B1652" i="40"/>
  <c r="B1656" i="40"/>
  <c r="B1660" i="40"/>
  <c r="B1664" i="40"/>
  <c r="B1669" i="40"/>
  <c r="B1671" i="40"/>
  <c r="B1675" i="40"/>
  <c r="B1678" i="40"/>
  <c r="F594" i="1" s="1"/>
  <c r="B1682" i="40"/>
  <c r="B1686" i="40"/>
  <c r="F336" i="1" s="1"/>
  <c r="B1690" i="40"/>
  <c r="F92" i="1" s="1"/>
  <c r="B1694" i="40"/>
  <c r="B1698" i="40"/>
  <c r="F178" i="1" s="1"/>
  <c r="B1704" i="40"/>
  <c r="B1710" i="40"/>
  <c r="B1711" i="40"/>
  <c r="B1718" i="40"/>
  <c r="B1722" i="40"/>
  <c r="B1726" i="40"/>
  <c r="B1730" i="40"/>
  <c r="B1734" i="40"/>
  <c r="B1738" i="40"/>
  <c r="B1742" i="40"/>
  <c r="B1744" i="40"/>
  <c r="B1745" i="40"/>
  <c r="B1751" i="40"/>
  <c r="B1755" i="40"/>
  <c r="B1759" i="40"/>
  <c r="B1763" i="40"/>
  <c r="B1766" i="40"/>
  <c r="B1770" i="40"/>
  <c r="B1774" i="40"/>
  <c r="B1778" i="40"/>
  <c r="B1782" i="40"/>
  <c r="B1789" i="40"/>
  <c r="B1792" i="40"/>
  <c r="B1796" i="40"/>
  <c r="B1800" i="40"/>
  <c r="B1804" i="40"/>
  <c r="B1810" i="40"/>
  <c r="B1814" i="40"/>
  <c r="B1821" i="40"/>
  <c r="B1063" i="40"/>
  <c r="B1251" i="40"/>
  <c r="B1357" i="40"/>
  <c r="B1401" i="40"/>
  <c r="B1417" i="40"/>
  <c r="B1447" i="40"/>
  <c r="B1458" i="40"/>
  <c r="B1473" i="40"/>
  <c r="B1489" i="40"/>
  <c r="B1504" i="40"/>
  <c r="B1518" i="40"/>
  <c r="B1526" i="40"/>
  <c r="E186" i="1" s="1"/>
  <c r="B1530" i="40"/>
  <c r="E806" i="1" s="1"/>
  <c r="B1534" i="40"/>
  <c r="B1538" i="40"/>
  <c r="B1541" i="40"/>
  <c r="B1544" i="40"/>
  <c r="B1546" i="40"/>
  <c r="B1550" i="40"/>
  <c r="B1554" i="40"/>
  <c r="B1558" i="40"/>
  <c r="B1562" i="40"/>
  <c r="B1568" i="40"/>
  <c r="B1571" i="40"/>
  <c r="B1575" i="40"/>
  <c r="B1579" i="40"/>
  <c r="B1583" i="40"/>
  <c r="B1587" i="40"/>
  <c r="B1590" i="40"/>
  <c r="B1595" i="40"/>
  <c r="B1600" i="40"/>
  <c r="B1604" i="40"/>
  <c r="B1608" i="40"/>
  <c r="B1612" i="40"/>
  <c r="B1616" i="40"/>
  <c r="B1620" i="40"/>
  <c r="F90" i="1" s="1"/>
  <c r="B1624" i="40"/>
  <c r="B1628" i="40"/>
  <c r="B1632" i="40"/>
  <c r="B1636" i="40"/>
  <c r="B1640" i="40"/>
  <c r="B1644" i="40"/>
  <c r="B1649" i="40"/>
  <c r="B1653" i="40"/>
  <c r="B1657" i="40"/>
  <c r="B1661" i="40"/>
  <c r="B1665" i="40"/>
  <c r="B1666" i="40"/>
  <c r="B1672" i="40"/>
  <c r="B1676" i="40"/>
  <c r="B1679" i="40"/>
  <c r="F604" i="1" s="1"/>
  <c r="B1683" i="40"/>
  <c r="B1687" i="40"/>
  <c r="F543" i="1" s="1"/>
  <c r="B1691" i="40"/>
  <c r="F93" i="1" s="1"/>
  <c r="B1695" i="40"/>
  <c r="E240" i="1" s="1"/>
  <c r="B1699" i="40"/>
  <c r="E179" i="1" s="1"/>
  <c r="B1700" i="40"/>
  <c r="B1702" i="40"/>
  <c r="B1705" i="40"/>
  <c r="B1707" i="40"/>
  <c r="B1712" i="40"/>
  <c r="B1715" i="40"/>
  <c r="B1719" i="40"/>
  <c r="B1723" i="40"/>
  <c r="B1727" i="40"/>
  <c r="B1731" i="40"/>
  <c r="B1735" i="40"/>
  <c r="B1739" i="40"/>
  <c r="B1743" i="40"/>
  <c r="B1752" i="40"/>
  <c r="B1756" i="40"/>
  <c r="B1760" i="40"/>
  <c r="B1767" i="40"/>
  <c r="B1771" i="40"/>
  <c r="B1775" i="40"/>
  <c r="B1779" i="40"/>
  <c r="B1783" i="40"/>
  <c r="B1786" i="40"/>
  <c r="E255" i="1" s="1"/>
  <c r="B1793" i="40"/>
  <c r="B1797" i="40"/>
  <c r="B1801" i="40"/>
  <c r="B1806" i="40"/>
  <c r="B1811" i="40"/>
  <c r="B1815" i="40"/>
  <c r="B1818" i="40"/>
  <c r="B1822" i="40"/>
  <c r="B1461" i="40"/>
  <c r="B1535" i="40"/>
  <c r="B1563" i="40"/>
  <c r="B1569" i="40"/>
  <c r="B1584" i="40"/>
  <c r="B1601" i="40"/>
  <c r="B1617" i="40"/>
  <c r="B1633" i="40"/>
  <c r="B1648" i="40"/>
  <c r="B1662" i="40"/>
  <c r="B1692" i="40"/>
  <c r="B1716" i="40"/>
  <c r="B1724" i="40"/>
  <c r="B1740" i="40"/>
  <c r="B1746" i="40"/>
  <c r="B1764" i="40"/>
  <c r="B1780" i="40"/>
  <c r="B1794" i="40"/>
  <c r="B1807" i="40"/>
  <c r="B1819" i="40"/>
  <c r="B1827" i="40"/>
  <c r="E451" i="1" s="1"/>
  <c r="B1832" i="40"/>
  <c r="E482" i="1" s="1"/>
  <c r="B1836" i="40"/>
  <c r="F274" i="1" s="1"/>
  <c r="B1844" i="40"/>
  <c r="E87" i="1" s="1"/>
  <c r="B1848" i="40"/>
  <c r="B1854" i="40"/>
  <c r="B1858" i="40"/>
  <c r="B1861" i="40"/>
  <c r="B1865" i="40"/>
  <c r="B1869" i="40"/>
  <c r="B1873" i="40"/>
  <c r="B1877" i="40"/>
  <c r="B1881" i="40"/>
  <c r="B1885" i="40"/>
  <c r="B1890" i="40"/>
  <c r="B1896" i="40"/>
  <c r="B1900" i="40"/>
  <c r="B1904" i="40"/>
  <c r="B1907" i="40"/>
  <c r="B1911" i="40"/>
  <c r="B1915" i="40"/>
  <c r="B1919" i="40"/>
  <c r="B1923" i="40"/>
  <c r="B1927" i="40"/>
  <c r="B1931" i="40"/>
  <c r="B1933" i="40"/>
  <c r="B1935" i="40"/>
  <c r="B1939" i="40"/>
  <c r="B1946" i="40"/>
  <c r="B1949" i="40"/>
  <c r="B1951" i="40"/>
  <c r="B1955" i="40"/>
  <c r="B1959" i="40"/>
  <c r="F616" i="1" s="1"/>
  <c r="B1963" i="40"/>
  <c r="B1967" i="40"/>
  <c r="B1969" i="40"/>
  <c r="B1973" i="40"/>
  <c r="B1977" i="40"/>
  <c r="B1981" i="40"/>
  <c r="B1985" i="40"/>
  <c r="B1989" i="40"/>
  <c r="B1993" i="40"/>
  <c r="B1997" i="40"/>
  <c r="B2001" i="40"/>
  <c r="B2005" i="40"/>
  <c r="B2009" i="40"/>
  <c r="B2013" i="40"/>
  <c r="B2017" i="40"/>
  <c r="B2021" i="40"/>
  <c r="B2025" i="40"/>
  <c r="B2029" i="40"/>
  <c r="B2033" i="40"/>
  <c r="B2037" i="40"/>
  <c r="B2041" i="40"/>
  <c r="B2045" i="40"/>
  <c r="B2049" i="40"/>
  <c r="B2053" i="40"/>
  <c r="B2057" i="40"/>
  <c r="B2061" i="40"/>
  <c r="B2065" i="40"/>
  <c r="B2069" i="40"/>
  <c r="B2073" i="40"/>
  <c r="B2077" i="40"/>
  <c r="B2081" i="40"/>
  <c r="B2085" i="40"/>
  <c r="B2089" i="40"/>
  <c r="B2093" i="40"/>
  <c r="B2097" i="40"/>
  <c r="B2101" i="40"/>
  <c r="B2105" i="40"/>
  <c r="B2109" i="40"/>
  <c r="B2113" i="40"/>
  <c r="B2117" i="40"/>
  <c r="B2121" i="40"/>
  <c r="B2125" i="40"/>
  <c r="B2129" i="40"/>
  <c r="B2133" i="40"/>
  <c r="B2137" i="40"/>
  <c r="B2140" i="40"/>
  <c r="B2146" i="40"/>
  <c r="B2150" i="40"/>
  <c r="B2154" i="40"/>
  <c r="B2158" i="40"/>
  <c r="B2162" i="40"/>
  <c r="B2166" i="40"/>
  <c r="B2170" i="40"/>
  <c r="B2176" i="40"/>
  <c r="B2179" i="40"/>
  <c r="B2183" i="40"/>
  <c r="B2187" i="40"/>
  <c r="B2193" i="40"/>
  <c r="B2198" i="40"/>
  <c r="B2201" i="40"/>
  <c r="B2205" i="40"/>
  <c r="B2210" i="40"/>
  <c r="B2214" i="40"/>
  <c r="B2218" i="40"/>
  <c r="B2222" i="40"/>
  <c r="B1110" i="40"/>
  <c r="B1369" i="40"/>
  <c r="B1477" i="40"/>
  <c r="B1508" i="40"/>
  <c r="B1551" i="40"/>
  <c r="B1572" i="40"/>
  <c r="B1591" i="40"/>
  <c r="B1596" i="40"/>
  <c r="B1605" i="40"/>
  <c r="B1621" i="40"/>
  <c r="F176" i="1" s="1"/>
  <c r="B1637" i="40"/>
  <c r="B1650" i="40"/>
  <c r="B1667" i="40"/>
  <c r="B1680" i="40"/>
  <c r="B1696" i="40"/>
  <c r="F175" i="1" s="1"/>
  <c r="B1706" i="40"/>
  <c r="B1720" i="40"/>
  <c r="B1728" i="40"/>
  <c r="B1753" i="40"/>
  <c r="B1768" i="40"/>
  <c r="B1784" i="40"/>
  <c r="B1798" i="40"/>
  <c r="B1808" i="40"/>
  <c r="B1823" i="40"/>
  <c r="B1829" i="40"/>
  <c r="F361" i="1" s="1"/>
  <c r="B1833" i="40"/>
  <c r="B1837" i="40"/>
  <c r="F275" i="1" s="1"/>
  <c r="B1841" i="40"/>
  <c r="F535" i="1" s="1"/>
  <c r="B1845" i="40"/>
  <c r="E88" i="1" s="1"/>
  <c r="B1849" i="40"/>
  <c r="B1855" i="40"/>
  <c r="B1862" i="40"/>
  <c r="B1866" i="40"/>
  <c r="B1870" i="40"/>
  <c r="B1874" i="40"/>
  <c r="B1878" i="40"/>
  <c r="B1882" i="40"/>
  <c r="B1887" i="40"/>
  <c r="B1891" i="40"/>
  <c r="B1893" i="40"/>
  <c r="B1897" i="40"/>
  <c r="B1901" i="40"/>
  <c r="B1905" i="40"/>
  <c r="B1908" i="40"/>
  <c r="B1912" i="40"/>
  <c r="B1916" i="40"/>
  <c r="B1917" i="40"/>
  <c r="B1920" i="40"/>
  <c r="B1924" i="40"/>
  <c r="B1928" i="40"/>
  <c r="B1934" i="40"/>
  <c r="B1936" i="40"/>
  <c r="B1940" i="40"/>
  <c r="B1944" i="40"/>
  <c r="B1947" i="40"/>
  <c r="B1950" i="40"/>
  <c r="B1952" i="40"/>
  <c r="B1956" i="40"/>
  <c r="B1964" i="40"/>
  <c r="B1970" i="40"/>
  <c r="B1974" i="40"/>
  <c r="B1978" i="40"/>
  <c r="B1982" i="40"/>
  <c r="B1986" i="40"/>
  <c r="B1990" i="40"/>
  <c r="B1994" i="40"/>
  <c r="B1998" i="40"/>
  <c r="B2002" i="40"/>
  <c r="B2006" i="40"/>
  <c r="B2010" i="40"/>
  <c r="B2014" i="40"/>
  <c r="B2018" i="40"/>
  <c r="B2022" i="40"/>
  <c r="B2026" i="40"/>
  <c r="B2030" i="40"/>
  <c r="B2034" i="40"/>
  <c r="B2038" i="40"/>
  <c r="B2042" i="40"/>
  <c r="B2046" i="40"/>
  <c r="B2050" i="40"/>
  <c r="B2054" i="40"/>
  <c r="B2058" i="40"/>
  <c r="B2062" i="40"/>
  <c r="B2066" i="40"/>
  <c r="B2070" i="40"/>
  <c r="B2074" i="40"/>
  <c r="B2078" i="40"/>
  <c r="B2082" i="40"/>
  <c r="B2086" i="40"/>
  <c r="B2090" i="40"/>
  <c r="B2094" i="40"/>
  <c r="B2098" i="40"/>
  <c r="B2102" i="40"/>
  <c r="B2106" i="40"/>
  <c r="B2110" i="40"/>
  <c r="B2114" i="40"/>
  <c r="B2118" i="40"/>
  <c r="B2122" i="40"/>
  <c r="B2126" i="40"/>
  <c r="B2130" i="40"/>
  <c r="B2134" i="40"/>
  <c r="B2138" i="40"/>
  <c r="B2141" i="40"/>
  <c r="B2143" i="40"/>
  <c r="B2147" i="40"/>
  <c r="B2151" i="40"/>
  <c r="B2155" i="40"/>
  <c r="B2159" i="40"/>
  <c r="B2163" i="40"/>
  <c r="B2167" i="40"/>
  <c r="B2171" i="40"/>
  <c r="B2177" i="40"/>
  <c r="B2180" i="40"/>
  <c r="B2184" i="40"/>
  <c r="B2188" i="40"/>
  <c r="B2194" i="40"/>
  <c r="B2196" i="40"/>
  <c r="B2199" i="40"/>
  <c r="B2202" i="40"/>
  <c r="B2206" i="40"/>
  <c r="B2208" i="40"/>
  <c r="B2211" i="40"/>
  <c r="B2215" i="40"/>
  <c r="B2219" i="40"/>
  <c r="B2223" i="40"/>
  <c r="B1210" i="40"/>
  <c r="B1405" i="40"/>
  <c r="B1519" i="40"/>
  <c r="B1527" i="40"/>
  <c r="E188" i="1" s="1"/>
  <c r="B1547" i="40"/>
  <c r="B1555" i="40"/>
  <c r="B1576" i="40"/>
  <c r="B1609" i="40"/>
  <c r="B1625" i="40"/>
  <c r="B1641" i="40"/>
  <c r="B1654" i="40"/>
  <c r="B1684" i="40"/>
  <c r="E334" i="1" s="1"/>
  <c r="B1708" i="40"/>
  <c r="B1732" i="40"/>
  <c r="B1757" i="40"/>
  <c r="B1772" i="40"/>
  <c r="B1787" i="40"/>
  <c r="B1802" i="40"/>
  <c r="B1812" i="40"/>
  <c r="B1825" i="40"/>
  <c r="B1830" i="40"/>
  <c r="E832" i="1" s="1"/>
  <c r="B1834" i="40"/>
  <c r="F291" i="1" s="1"/>
  <c r="B1838" i="40"/>
  <c r="F276" i="1" s="1"/>
  <c r="B1842" i="40"/>
  <c r="E84" i="1" s="1"/>
  <c r="B1846" i="40"/>
  <c r="B1850" i="40"/>
  <c r="B1851" i="40"/>
  <c r="B1853" i="40"/>
  <c r="B1856" i="40"/>
  <c r="B1859" i="40"/>
  <c r="B1863" i="40"/>
  <c r="B1867" i="40"/>
  <c r="B1871" i="40"/>
  <c r="B1875" i="40"/>
  <c r="B1879" i="40"/>
  <c r="B1883" i="40"/>
  <c r="B1888" i="40"/>
  <c r="B1892" i="40"/>
  <c r="B1894" i="40"/>
  <c r="B1898" i="40"/>
  <c r="B1902" i="40"/>
  <c r="B1909" i="40"/>
  <c r="B1913" i="40"/>
  <c r="B1921" i="40"/>
  <c r="B1925" i="40"/>
  <c r="B1929" i="40"/>
  <c r="B1937" i="40"/>
  <c r="B1941" i="40"/>
  <c r="B1945" i="40"/>
  <c r="B1953" i="40"/>
  <c r="B1957" i="40"/>
  <c r="B1965" i="40"/>
  <c r="B1971" i="40"/>
  <c r="B1975" i="40"/>
  <c r="B1979" i="40"/>
  <c r="B1983" i="40"/>
  <c r="B1987" i="40"/>
  <c r="B1991" i="40"/>
  <c r="B1995" i="40"/>
  <c r="B1999" i="40"/>
  <c r="B2003" i="40"/>
  <c r="B2007" i="40"/>
  <c r="B2011" i="40"/>
  <c r="B2015" i="40"/>
  <c r="B2019" i="40"/>
  <c r="B2023" i="40"/>
  <c r="B2027" i="40"/>
  <c r="B2031" i="40"/>
  <c r="B2035" i="40"/>
  <c r="B2039" i="40"/>
  <c r="B2043" i="40"/>
  <c r="B2047" i="40"/>
  <c r="B2051" i="40"/>
  <c r="B2055" i="40"/>
  <c r="B2059" i="40"/>
  <c r="B2063" i="40"/>
  <c r="B2067" i="40"/>
  <c r="B2071" i="40"/>
  <c r="B2075" i="40"/>
  <c r="B2079" i="40"/>
  <c r="B2083" i="40"/>
  <c r="B2087" i="40"/>
  <c r="B2091" i="40"/>
  <c r="B2095" i="40"/>
  <c r="B2099" i="40"/>
  <c r="B2103" i="40"/>
  <c r="B2107" i="40"/>
  <c r="B2111" i="40"/>
  <c r="B2115" i="40"/>
  <c r="B2119" i="40"/>
  <c r="B2123" i="40"/>
  <c r="B2127" i="40"/>
  <c r="B2131" i="40"/>
  <c r="B2135" i="40"/>
  <c r="B2139" i="40"/>
  <c r="B2142" i="40"/>
  <c r="B2144" i="40"/>
  <c r="B2148" i="40"/>
  <c r="B2152" i="40"/>
  <c r="B2156" i="40"/>
  <c r="B2160" i="40"/>
  <c r="B2164" i="40"/>
  <c r="B2168" i="40"/>
  <c r="B2172" i="40"/>
  <c r="B2174" i="40"/>
  <c r="B2178" i="40"/>
  <c r="B2181" i="40"/>
  <c r="B2185" i="40"/>
  <c r="B2189" i="40"/>
  <c r="B2191" i="40"/>
  <c r="B2195" i="40"/>
  <c r="B2200" i="40"/>
  <c r="B2203" i="40"/>
  <c r="B2212" i="40"/>
  <c r="B2216" i="40"/>
  <c r="B2220" i="40"/>
  <c r="B1559" i="40"/>
  <c r="B1645" i="40"/>
  <c r="B1688" i="40"/>
  <c r="F89" i="1" s="1"/>
  <c r="B1713" i="40"/>
  <c r="B1790" i="40"/>
  <c r="B1831" i="40"/>
  <c r="B1847" i="40"/>
  <c r="B1857" i="40"/>
  <c r="B1872" i="40"/>
  <c r="B1886" i="40"/>
  <c r="B1906" i="40"/>
  <c r="B1918" i="40"/>
  <c r="B1930" i="40"/>
  <c r="B1938" i="40"/>
  <c r="B1958" i="40"/>
  <c r="B1972" i="40"/>
  <c r="B1988" i="40"/>
  <c r="B2004" i="40"/>
  <c r="B2020" i="40"/>
  <c r="B2036" i="40"/>
  <c r="B2052" i="40"/>
  <c r="B2068" i="40"/>
  <c r="B2084" i="40"/>
  <c r="B2100" i="40"/>
  <c r="B2116" i="40"/>
  <c r="B2132" i="40"/>
  <c r="B2145" i="40"/>
  <c r="B2161" i="40"/>
  <c r="B2175" i="40"/>
  <c r="B2190" i="40"/>
  <c r="B2217" i="40"/>
  <c r="B2226" i="40"/>
  <c r="B2230" i="40"/>
  <c r="B2234" i="40"/>
  <c r="B2242" i="40"/>
  <c r="B2246" i="40"/>
  <c r="B2260" i="40"/>
  <c r="B2267" i="40"/>
  <c r="B2278" i="40"/>
  <c r="B2282" i="40"/>
  <c r="B2284" i="40"/>
  <c r="B2288" i="40"/>
  <c r="B2292" i="40"/>
  <c r="B2296" i="40"/>
  <c r="B2300" i="40"/>
  <c r="B2304" i="40"/>
  <c r="B2308" i="40"/>
  <c r="B2312" i="40"/>
  <c r="B2316" i="40"/>
  <c r="B2320" i="40"/>
  <c r="B2324" i="40"/>
  <c r="B2328" i="40"/>
  <c r="B2332" i="40"/>
  <c r="B2336" i="40"/>
  <c r="B2340" i="40"/>
  <c r="B2344" i="40"/>
  <c r="B2348" i="40"/>
  <c r="B2352" i="40"/>
  <c r="B2355" i="40"/>
  <c r="B2359" i="40"/>
  <c r="B2363" i="40"/>
  <c r="B2367" i="40"/>
  <c r="B2373" i="40"/>
  <c r="B2375" i="40"/>
  <c r="B2382" i="40"/>
  <c r="B2386" i="40"/>
  <c r="B2390" i="40"/>
  <c r="B2394" i="40"/>
  <c r="B2400" i="40"/>
  <c r="B2402" i="40"/>
  <c r="B2406" i="40"/>
  <c r="B2411" i="40"/>
  <c r="B2415" i="40"/>
  <c r="B2418" i="40"/>
  <c r="B2424" i="40"/>
  <c r="B2427" i="40"/>
  <c r="B2431" i="40"/>
  <c r="B2435" i="40"/>
  <c r="B1267" i="40"/>
  <c r="B1565" i="40"/>
  <c r="B1598" i="40"/>
  <c r="B1658" i="40"/>
  <c r="B1701" i="40"/>
  <c r="B1748" i="40"/>
  <c r="B1805" i="40"/>
  <c r="B1835" i="40"/>
  <c r="F292" i="1" s="1"/>
  <c r="B1860" i="40"/>
  <c r="B1876" i="40"/>
  <c r="B1889" i="40"/>
  <c r="B1895" i="40"/>
  <c r="B1910" i="40"/>
  <c r="B1922" i="40"/>
  <c r="B1942" i="40"/>
  <c r="B1948" i="40"/>
  <c r="B1962" i="40"/>
  <c r="B1976" i="40"/>
  <c r="B1992" i="40"/>
  <c r="B2008" i="40"/>
  <c r="B2024" i="40"/>
  <c r="B2040" i="40"/>
  <c r="B2056" i="40"/>
  <c r="B2072" i="40"/>
  <c r="B2088" i="40"/>
  <c r="B2104" i="40"/>
  <c r="B2120" i="40"/>
  <c r="B2136" i="40"/>
  <c r="B2149" i="40"/>
  <c r="B2165" i="40"/>
  <c r="B2192" i="40"/>
  <c r="B2204" i="40"/>
  <c r="B2221" i="40"/>
  <c r="B2227" i="40"/>
  <c r="B2231" i="40"/>
  <c r="B2235" i="40"/>
  <c r="B2239" i="40"/>
  <c r="B2243" i="40"/>
  <c r="B2247" i="40"/>
  <c r="B2250" i="40"/>
  <c r="B2255" i="40"/>
  <c r="B2261" i="40"/>
  <c r="B2264" i="40"/>
  <c r="B2268" i="40"/>
  <c r="B2272" i="40"/>
  <c r="B2275" i="40"/>
  <c r="B2279" i="40"/>
  <c r="B2283" i="40"/>
  <c r="B2285" i="40"/>
  <c r="B2289" i="40"/>
  <c r="B2293" i="40"/>
  <c r="B2297" i="40"/>
  <c r="B2301" i="40"/>
  <c r="B2305" i="40"/>
  <c r="B2309" i="40"/>
  <c r="B2313" i="40"/>
  <c r="B2317" i="40"/>
  <c r="B2321" i="40"/>
  <c r="B2325" i="40"/>
  <c r="B2329" i="40"/>
  <c r="B2333" i="40"/>
  <c r="B2337" i="40"/>
  <c r="B2341" i="40"/>
  <c r="B2345" i="40"/>
  <c r="B2349" i="40"/>
  <c r="B2360" i="40"/>
  <c r="B2364" i="40"/>
  <c r="B2368" i="40"/>
  <c r="B2369" i="40"/>
  <c r="B2374" i="40"/>
  <c r="B2376" i="40"/>
  <c r="B2379" i="40"/>
  <c r="B2383" i="40"/>
  <c r="B2387" i="40"/>
  <c r="B2391" i="40"/>
  <c r="B2395" i="40"/>
  <c r="B2401" i="40"/>
  <c r="B2403" i="40"/>
  <c r="B2407" i="40"/>
  <c r="B2412" i="40"/>
  <c r="B2416" i="40"/>
  <c r="B2421" i="40"/>
  <c r="B2425" i="40"/>
  <c r="B2428" i="40"/>
  <c r="B2432" i="40"/>
  <c r="B1421" i="40"/>
  <c r="B1542" i="40"/>
  <c r="B1580" i="40"/>
  <c r="B1613" i="40"/>
  <c r="B1736" i="40"/>
  <c r="B1761" i="40"/>
  <c r="B1816" i="40"/>
  <c r="B1852" i="40"/>
  <c r="B1864" i="40"/>
  <c r="B1880" i="40"/>
  <c r="B1899" i="40"/>
  <c r="B1914" i="40"/>
  <c r="B1926" i="40"/>
  <c r="B1932" i="40"/>
  <c r="B1943" i="40"/>
  <c r="B1966" i="40"/>
  <c r="B1980" i="40"/>
  <c r="B1996" i="40"/>
  <c r="B2012" i="40"/>
  <c r="B2028" i="40"/>
  <c r="B2044" i="40"/>
  <c r="B2060" i="40"/>
  <c r="B2076" i="40"/>
  <c r="B2092" i="40"/>
  <c r="B2108" i="40"/>
  <c r="B2124" i="40"/>
  <c r="B2153" i="40"/>
  <c r="B2169" i="40"/>
  <c r="B2182" i="40"/>
  <c r="B2207" i="40"/>
  <c r="B2209" i="40"/>
  <c r="B2224" i="40"/>
  <c r="B2228" i="40"/>
  <c r="B2232" i="40"/>
  <c r="B2236" i="40"/>
  <c r="B2240" i="40"/>
  <c r="B2244" i="40"/>
  <c r="B2248" i="40"/>
  <c r="B2251" i="40"/>
  <c r="B2253" i="40"/>
  <c r="B2256" i="40"/>
  <c r="B2258" i="40"/>
  <c r="B2262" i="40"/>
  <c r="B2265" i="40"/>
  <c r="B2269" i="40"/>
  <c r="B2271" i="40"/>
  <c r="B2273" i="40"/>
  <c r="B2276" i="40"/>
  <c r="B2280" i="40"/>
  <c r="B2286" i="40"/>
  <c r="B2290" i="40"/>
  <c r="B2294" i="40"/>
  <c r="B2298" i="40"/>
  <c r="B2302" i="40"/>
  <c r="B2306" i="40"/>
  <c r="B2310" i="40"/>
  <c r="B2314" i="40"/>
  <c r="B2318" i="40"/>
  <c r="B2322" i="40"/>
  <c r="B2326" i="40"/>
  <c r="B2330" i="40"/>
  <c r="B2334" i="40"/>
  <c r="B2338" i="40"/>
  <c r="B2342" i="40"/>
  <c r="B2346" i="40"/>
  <c r="B2350" i="40"/>
  <c r="B2353" i="40"/>
  <c r="B2356" i="40"/>
  <c r="B2357" i="40"/>
  <c r="B2361" i="40"/>
  <c r="B2365" i="40"/>
  <c r="B2370" i="40"/>
  <c r="B2371" i="40"/>
  <c r="B2377" i="40"/>
  <c r="B2380" i="40"/>
  <c r="B2384" i="40"/>
  <c r="B2388" i="40"/>
  <c r="B2392" i="40"/>
  <c r="B2396" i="40"/>
  <c r="B2398" i="40"/>
  <c r="B2404" i="40"/>
  <c r="B2408" i="40"/>
  <c r="B2413" i="40"/>
  <c r="B2419" i="40"/>
  <c r="B2420" i="40"/>
  <c r="B2422" i="40"/>
  <c r="B2426" i="40"/>
  <c r="B2429" i="40"/>
  <c r="B2433" i="40"/>
  <c r="B1843" i="40"/>
  <c r="E85" i="1" s="1"/>
  <c r="B1968" i="40"/>
  <c r="F534" i="1" s="1"/>
  <c r="B2032" i="40"/>
  <c r="B2096" i="40"/>
  <c r="B2157" i="40"/>
  <c r="B2229" i="40"/>
  <c r="B2237" i="40"/>
  <c r="B2249" i="40"/>
  <c r="B2257" i="40"/>
  <c r="B2274" i="40"/>
  <c r="B2295" i="40"/>
  <c r="B2311" i="40"/>
  <c r="B2327" i="40"/>
  <c r="B2343" i="40"/>
  <c r="B2354" i="40"/>
  <c r="B2358" i="40"/>
  <c r="B2372" i="40"/>
  <c r="B2385" i="40"/>
  <c r="B2399" i="40"/>
  <c r="B2409" i="40"/>
  <c r="B2434" i="40"/>
  <c r="B1451" i="40"/>
  <c r="B1984" i="40"/>
  <c r="B2048" i="40"/>
  <c r="B2112" i="40"/>
  <c r="B2173" i="40"/>
  <c r="B2233" i="40"/>
  <c r="B2238" i="40"/>
  <c r="B2252" i="40"/>
  <c r="B2259" i="40"/>
  <c r="B2266" i="40"/>
  <c r="B2277" i="40"/>
  <c r="B2299" i="40"/>
  <c r="B2315" i="40"/>
  <c r="B2331" i="40"/>
  <c r="B2347" i="40"/>
  <c r="B2362" i="40"/>
  <c r="B2389" i="40"/>
  <c r="B2410" i="40"/>
  <c r="B2423" i="40"/>
  <c r="B1531" i="40"/>
  <c r="B1629" i="40"/>
  <c r="B1776" i="40"/>
  <c r="B1868" i="40"/>
  <c r="B1903" i="40"/>
  <c r="B2000" i="40"/>
  <c r="B2064" i="40"/>
  <c r="B2128" i="40"/>
  <c r="B2186" i="40"/>
  <c r="B2213" i="40"/>
  <c r="B2241" i="40"/>
  <c r="B2254" i="40"/>
  <c r="B2263" i="40"/>
  <c r="B2270" i="40"/>
  <c r="B2281" i="40"/>
  <c r="B2287" i="40"/>
  <c r="B2303" i="40"/>
  <c r="B2319" i="40"/>
  <c r="B2335" i="40"/>
  <c r="B2351" i="40"/>
  <c r="B2366" i="40"/>
  <c r="B2378" i="40"/>
  <c r="B2393" i="40"/>
  <c r="B2405" i="40"/>
  <c r="B2414" i="40"/>
  <c r="B1884" i="40"/>
  <c r="B2080" i="40"/>
  <c r="B2307" i="40"/>
  <c r="B2417" i="40"/>
  <c r="B2323" i="40"/>
  <c r="B2381" i="40"/>
  <c r="B1673" i="40"/>
  <c r="B1954" i="40"/>
  <c r="B2197" i="40"/>
  <c r="B2245" i="40"/>
  <c r="B2339" i="40"/>
  <c r="B2397" i="40"/>
  <c r="B2430" i="40"/>
  <c r="B1826" i="40"/>
  <c r="B2291" i="40"/>
  <c r="B2016" i="40"/>
  <c r="B2225" i="40"/>
  <c r="B44" i="72"/>
  <c r="I44" i="72" s="1"/>
  <c r="C7" i="81"/>
  <c r="C9" i="81" s="1"/>
  <c r="C10" i="81" s="1"/>
  <c r="C7" i="80"/>
  <c r="C8" i="80" s="1"/>
  <c r="F254" i="1"/>
  <c r="E254" i="1"/>
  <c r="F96" i="1"/>
  <c r="E96" i="1"/>
  <c r="E97" i="1"/>
  <c r="F97" i="1"/>
  <c r="F95" i="1"/>
  <c r="E94" i="1"/>
  <c r="E815" i="1"/>
  <c r="F815" i="1"/>
  <c r="B32" i="71"/>
  <c r="I32" i="71" s="1"/>
  <c r="C7" i="78"/>
  <c r="C8" i="78" s="1"/>
  <c r="C9" i="78" s="1"/>
  <c r="D58" i="78" s="1"/>
  <c r="K4" i="30"/>
  <c r="A15" i="53"/>
  <c r="B7" i="80"/>
  <c r="B8" i="80"/>
  <c r="B560" i="40"/>
  <c r="B573" i="40"/>
  <c r="B934" i="40"/>
  <c r="B426" i="40"/>
  <c r="B294" i="40"/>
  <c r="B322" i="40"/>
  <c r="B19" i="40"/>
  <c r="B64" i="40"/>
  <c r="B81" i="40"/>
  <c r="B590" i="40"/>
  <c r="B517" i="40"/>
  <c r="B530" i="40"/>
  <c r="B577" i="40"/>
  <c r="B935" i="40"/>
  <c r="B936" i="40"/>
  <c r="B937" i="40"/>
  <c r="B938" i="40"/>
  <c r="B939" i="40"/>
  <c r="B940" i="40"/>
  <c r="B941" i="40"/>
  <c r="B942" i="40"/>
  <c r="B943" i="40"/>
  <c r="B944" i="40"/>
  <c r="B371" i="40"/>
  <c r="B349" i="40"/>
  <c r="B223" i="40"/>
  <c r="B300" i="40"/>
  <c r="B19" i="57" s="1"/>
  <c r="B197" i="40"/>
  <c r="F783" i="1" s="1"/>
  <c r="B592" i="40"/>
  <c r="B946" i="40"/>
  <c r="B947" i="40"/>
  <c r="B948" i="40"/>
  <c r="B949" i="40"/>
  <c r="B950" i="40"/>
  <c r="B951" i="40"/>
  <c r="B952" i="40"/>
  <c r="B953" i="40"/>
  <c r="B954" i="40"/>
  <c r="B75" i="42" s="1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9" i="40"/>
  <c r="B329" i="40"/>
  <c r="E458" i="1" s="1"/>
  <c r="B981" i="40"/>
  <c r="B7" i="57" s="1"/>
  <c r="B982" i="40"/>
  <c r="B8" i="57" s="1"/>
  <c r="B7" i="81"/>
  <c r="B7" i="78"/>
  <c r="B12" i="78"/>
  <c r="D36" i="78"/>
  <c r="B7" i="53"/>
  <c r="B8" i="53"/>
  <c r="B9" i="53"/>
  <c r="B7" i="51"/>
  <c r="A16" i="51"/>
  <c r="J54" i="51"/>
  <c r="A14" i="51"/>
  <c r="A16" i="55"/>
  <c r="A14" i="55"/>
  <c r="B7" i="55"/>
  <c r="B8" i="55"/>
  <c r="A14" i="7"/>
  <c r="B7" i="61"/>
  <c r="A12" i="61" s="1"/>
  <c r="A13" i="61"/>
  <c r="B7" i="62"/>
  <c r="B8" i="62"/>
  <c r="A13" i="62"/>
  <c r="B7" i="58"/>
  <c r="A12" i="58"/>
  <c r="B7" i="47"/>
  <c r="B8" i="47"/>
  <c r="B9" i="47"/>
  <c r="D28" i="47"/>
  <c r="J28" i="47" s="1"/>
  <c r="A11" i="47"/>
  <c r="A13" i="46"/>
  <c r="B7" i="46"/>
  <c r="A13" i="34"/>
  <c r="B7" i="34"/>
  <c r="B7" i="48"/>
  <c r="A11" i="48"/>
  <c r="B7" i="44"/>
  <c r="B8" i="44"/>
  <c r="B9" i="44"/>
  <c r="D30" i="44"/>
  <c r="A11" i="44"/>
  <c r="A11" i="33"/>
  <c r="B7" i="33"/>
  <c r="B7" i="70"/>
  <c r="B8" i="70"/>
  <c r="B9" i="70"/>
  <c r="D31" i="70"/>
  <c r="A11" i="70"/>
  <c r="A11" i="20"/>
  <c r="B7" i="20"/>
  <c r="B7" i="17"/>
  <c r="A13" i="17"/>
  <c r="A13" i="19"/>
  <c r="B7" i="19"/>
  <c r="B7" i="18"/>
  <c r="B8" i="18" s="1"/>
  <c r="A13" i="18"/>
  <c r="A13" i="8"/>
  <c r="B7" i="8"/>
  <c r="B7" i="56"/>
  <c r="B8" i="56" s="1"/>
  <c r="A13" i="74"/>
  <c r="B7" i="74"/>
  <c r="B7" i="37"/>
  <c r="A13" i="37"/>
  <c r="B7" i="7"/>
  <c r="A14" i="54"/>
  <c r="B7" i="54"/>
  <c r="B7" i="5"/>
  <c r="B12" i="5"/>
  <c r="D34" i="5"/>
  <c r="B7" i="6"/>
  <c r="A14" i="6"/>
  <c r="B7" i="71"/>
  <c r="A14" i="71"/>
  <c r="A14" i="31"/>
  <c r="B7" i="31"/>
  <c r="B12" i="31" s="1"/>
  <c r="D34" i="31" s="1"/>
  <c r="A14" i="30"/>
  <c r="B7" i="30"/>
  <c r="B8" i="30"/>
  <c r="B9" i="30"/>
  <c r="B7" i="4"/>
  <c r="A14" i="4"/>
  <c r="B7" i="3"/>
  <c r="A14" i="3"/>
  <c r="A13" i="72"/>
  <c r="B7" i="72"/>
  <c r="B6" i="72"/>
  <c r="O7" i="47"/>
  <c r="O7" i="34"/>
  <c r="O5" i="34"/>
  <c r="M5" i="34"/>
  <c r="O7" i="48"/>
  <c r="O5" i="48"/>
  <c r="M5" i="48"/>
  <c r="M6" i="48"/>
  <c r="O7" i="33"/>
  <c r="O5" i="33"/>
  <c r="M5" i="33"/>
  <c r="O7" i="44"/>
  <c r="O8" i="44"/>
  <c r="O5" i="44"/>
  <c r="M5" i="44"/>
  <c r="G12" i="1"/>
  <c r="G14" i="1"/>
  <c r="G15" i="1"/>
  <c r="G16" i="1"/>
  <c r="G17" i="1"/>
  <c r="G11" i="1"/>
  <c r="G10" i="1"/>
  <c r="G9" i="1"/>
  <c r="G8" i="1"/>
  <c r="G7" i="1"/>
  <c r="J58" i="74"/>
  <c r="J57" i="74"/>
  <c r="J59" i="37"/>
  <c r="J58" i="37"/>
  <c r="J52" i="74"/>
  <c r="J51" i="74"/>
  <c r="J50" i="74"/>
  <c r="J49" i="74"/>
  <c r="J48" i="74"/>
  <c r="J47" i="74"/>
  <c r="J46" i="74"/>
  <c r="J45" i="74"/>
  <c r="J44" i="74"/>
  <c r="J43" i="74"/>
  <c r="J42" i="74"/>
  <c r="J41" i="74"/>
  <c r="J39" i="74"/>
  <c r="J48" i="37"/>
  <c r="J47" i="37"/>
  <c r="J46" i="37"/>
  <c r="J45" i="37"/>
  <c r="J44" i="37"/>
  <c r="J43" i="37"/>
  <c r="J42" i="37"/>
  <c r="J41" i="37"/>
  <c r="J40" i="37"/>
  <c r="J39" i="37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B25" i="81"/>
  <c r="G24" i="81"/>
  <c r="O10" i="81"/>
  <c r="L9" i="81"/>
  <c r="K22" i="81"/>
  <c r="B8" i="81"/>
  <c r="B10" i="81"/>
  <c r="B11" i="81"/>
  <c r="D32" i="81"/>
  <c r="N4" i="8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B25" i="80"/>
  <c r="G24" i="80"/>
  <c r="O10" i="80"/>
  <c r="L9" i="80"/>
  <c r="N4" i="80"/>
  <c r="C11" i="78"/>
  <c r="C7" i="53"/>
  <c r="C10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B9" i="81"/>
  <c r="K24" i="81"/>
  <c r="K23" i="81"/>
  <c r="J52" i="53"/>
  <c r="J51" i="53"/>
  <c r="J50" i="53"/>
  <c r="C982" i="40"/>
  <c r="D8" i="57" s="1"/>
  <c r="E8" i="57" s="1"/>
  <c r="F8" i="57" s="1"/>
  <c r="C981" i="40"/>
  <c r="D7" i="57" s="1"/>
  <c r="E7" i="57" s="1"/>
  <c r="F7" i="57" s="1"/>
  <c r="J55" i="61"/>
  <c r="J55" i="62"/>
  <c r="J50" i="46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N7" i="58"/>
  <c r="N8" i="58"/>
  <c r="N5" i="58" s="1"/>
  <c r="N4" i="58"/>
  <c r="D27" i="46"/>
  <c r="J27" i="46" s="1"/>
  <c r="J52" i="46"/>
  <c r="J51" i="46"/>
  <c r="J49" i="46"/>
  <c r="J48" i="46"/>
  <c r="J47" i="46"/>
  <c r="J46" i="46"/>
  <c r="J45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J41" i="47"/>
  <c r="D25" i="47"/>
  <c r="J25" i="47" s="1"/>
  <c r="B29" i="34"/>
  <c r="I29" i="34" s="1"/>
  <c r="B27" i="48"/>
  <c r="I27" i="48" s="1"/>
  <c r="B28" i="44"/>
  <c r="I28" i="44" s="1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5" i="56"/>
  <c r="B29" i="33"/>
  <c r="I29" i="33" s="1"/>
  <c r="C7" i="70"/>
  <c r="C8" i="70" s="1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28" i="56"/>
  <c r="K28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29" i="56"/>
  <c r="K48" i="70"/>
  <c r="K49" i="70"/>
  <c r="K50" i="70"/>
  <c r="K51" i="70"/>
  <c r="K52" i="70"/>
  <c r="K53" i="70"/>
  <c r="K54" i="70"/>
  <c r="K55" i="70"/>
  <c r="K56" i="70"/>
  <c r="B29" i="70"/>
  <c r="I29" i="70" s="1"/>
  <c r="O5" i="70"/>
  <c r="O6" i="70"/>
  <c r="M5" i="70"/>
  <c r="M6" i="70"/>
  <c r="B29" i="20"/>
  <c r="I29" i="20" s="1"/>
  <c r="B29" i="19"/>
  <c r="I29" i="19" s="1"/>
  <c r="B29" i="18"/>
  <c r="I29" i="18" s="1"/>
  <c r="B29" i="17"/>
  <c r="I29" i="17" s="1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/>
  <c r="M5" i="20"/>
  <c r="M6" i="20"/>
  <c r="D29" i="20"/>
  <c r="J29" i="20" s="1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583" i="1"/>
  <c r="F582" i="1"/>
  <c r="E581" i="1"/>
  <c r="F613" i="1"/>
  <c r="F607" i="1"/>
  <c r="F603" i="1"/>
  <c r="F602" i="1"/>
  <c r="E597" i="1"/>
  <c r="E593" i="1"/>
  <c r="F592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560" i="1"/>
  <c r="F567" i="1"/>
  <c r="F566" i="1"/>
  <c r="F564" i="1"/>
  <c r="E561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/>
  <c r="M5" i="17"/>
  <c r="M6" i="17"/>
  <c r="K34" i="56"/>
  <c r="K41" i="56"/>
  <c r="K42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6" i="56"/>
  <c r="K57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E553" i="1"/>
  <c r="F552" i="1"/>
  <c r="F551" i="1"/>
  <c r="N5" i="8"/>
  <c r="N6" i="8"/>
  <c r="L5" i="8"/>
  <c r="L6" i="8"/>
  <c r="K36" i="56"/>
  <c r="K37" i="56"/>
  <c r="K38" i="56"/>
  <c r="K39" i="56"/>
  <c r="K40" i="56"/>
  <c r="D30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5" i="55"/>
  <c r="J53" i="55"/>
  <c r="J52" i="55"/>
  <c r="J51" i="55"/>
  <c r="J50" i="55"/>
  <c r="J45" i="55"/>
  <c r="J44" i="55"/>
  <c r="J42" i="7"/>
  <c r="J54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/>
  <c r="L4" i="6"/>
  <c r="L5" i="6"/>
  <c r="N4" i="71"/>
  <c r="N5" i="71"/>
  <c r="L4" i="71"/>
  <c r="L5" i="71"/>
  <c r="N4" i="31"/>
  <c r="N5" i="31" s="1"/>
  <c r="L4" i="31"/>
  <c r="L5" i="31" s="1"/>
  <c r="M4" i="30"/>
  <c r="M5" i="30"/>
  <c r="B32" i="5"/>
  <c r="I32" i="5" s="1"/>
  <c r="K42" i="5"/>
  <c r="K43" i="5"/>
  <c r="K44" i="5"/>
  <c r="K45" i="5"/>
  <c r="K46" i="5"/>
  <c r="K47" i="5"/>
  <c r="K48" i="5"/>
  <c r="B32" i="6"/>
  <c r="I32" i="6" s="1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C329" i="40"/>
  <c r="J53" i="4"/>
  <c r="B32" i="30"/>
  <c r="I32" i="30" s="1"/>
  <c r="D32" i="30"/>
  <c r="J32" i="30" s="1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K32" i="4" s="1"/>
  <c r="K5" i="30"/>
  <c r="B8" i="4"/>
  <c r="B9" i="4"/>
  <c r="M4" i="4"/>
  <c r="K4" i="4"/>
  <c r="K5" i="4"/>
  <c r="K54" i="3"/>
  <c r="K44" i="3"/>
  <c r="K45" i="3"/>
  <c r="K46" i="3"/>
  <c r="K47" i="3"/>
  <c r="K48" i="3"/>
  <c r="K49" i="3"/>
  <c r="K50" i="3"/>
  <c r="B32" i="3"/>
  <c r="I32" i="3" s="1"/>
  <c r="C962" i="40"/>
  <c r="C963" i="40"/>
  <c r="C964" i="40"/>
  <c r="C965" i="40"/>
  <c r="C966" i="40"/>
  <c r="C967" i="40"/>
  <c r="C968" i="40"/>
  <c r="C969" i="40"/>
  <c r="C970" i="40"/>
  <c r="C971" i="40"/>
  <c r="C972" i="40"/>
  <c r="C973" i="40"/>
  <c r="C974" i="40"/>
  <c r="C975" i="40"/>
  <c r="C976" i="40"/>
  <c r="C977" i="40"/>
  <c r="E57" i="74" s="1"/>
  <c r="F57" i="74" s="1"/>
  <c r="G57" i="74" s="1"/>
  <c r="C978" i="40"/>
  <c r="C979" i="40"/>
  <c r="C946" i="40"/>
  <c r="C947" i="40"/>
  <c r="C948" i="40"/>
  <c r="C949" i="40"/>
  <c r="C950" i="40"/>
  <c r="C951" i="40"/>
  <c r="C952" i="40"/>
  <c r="C953" i="40"/>
  <c r="C954" i="40"/>
  <c r="D75" i="42" s="1"/>
  <c r="E75" i="42" s="1"/>
  <c r="F75" i="42" s="1"/>
  <c r="F81" i="42" s="1"/>
  <c r="C955" i="40"/>
  <c r="C956" i="40"/>
  <c r="C957" i="40"/>
  <c r="C958" i="40"/>
  <c r="C959" i="40"/>
  <c r="C960" i="40"/>
  <c r="C961" i="40"/>
  <c r="M4" i="3"/>
  <c r="M5" i="3" s="1"/>
  <c r="K4" i="3"/>
  <c r="K5" i="3" s="1"/>
  <c r="F83" i="1"/>
  <c r="F82" i="1"/>
  <c r="E81" i="1"/>
  <c r="F80" i="1"/>
  <c r="F79" i="1"/>
  <c r="F78" i="1"/>
  <c r="F77" i="1"/>
  <c r="F76" i="1"/>
  <c r="E75" i="1"/>
  <c r="F74" i="1"/>
  <c r="F73" i="1"/>
  <c r="F72" i="1"/>
  <c r="F70" i="1"/>
  <c r="G69" i="1"/>
  <c r="F68" i="1"/>
  <c r="E67" i="1"/>
  <c r="F66" i="1"/>
  <c r="E64" i="1"/>
  <c r="F174" i="1"/>
  <c r="E173" i="1"/>
  <c r="F172" i="1"/>
  <c r="E171" i="1"/>
  <c r="E170" i="1"/>
  <c r="E169" i="1"/>
  <c r="E168" i="1"/>
  <c r="E167" i="1"/>
  <c r="E166" i="1"/>
  <c r="E165" i="1"/>
  <c r="F164" i="1"/>
  <c r="F163" i="1"/>
  <c r="F161" i="1"/>
  <c r="F160" i="1"/>
  <c r="F158" i="1"/>
  <c r="F157" i="1"/>
  <c r="F156" i="1"/>
  <c r="G155" i="1"/>
  <c r="E154" i="1"/>
  <c r="F153" i="1"/>
  <c r="E152" i="1"/>
  <c r="F151" i="1"/>
  <c r="F149" i="1"/>
  <c r="E148" i="1"/>
  <c r="E147" i="1"/>
  <c r="F146" i="1"/>
  <c r="E145" i="1"/>
  <c r="E143" i="1"/>
  <c r="F144" i="1"/>
  <c r="E142" i="1"/>
  <c r="F140" i="1"/>
  <c r="C592" i="40"/>
  <c r="K4" i="72"/>
  <c r="K5" i="72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C945" i="40"/>
  <c r="E66" i="88" s="1"/>
  <c r="F66" i="88" s="1"/>
  <c r="G66" i="88" s="1"/>
  <c r="C492" i="40"/>
  <c r="E41" i="56" s="1"/>
  <c r="F41" i="56" s="1"/>
  <c r="G41" i="56" s="1"/>
  <c r="C493" i="40"/>
  <c r="E51" i="88" s="1"/>
  <c r="F51" i="88" s="1"/>
  <c r="G51" i="88" s="1"/>
  <c r="B15" i="40"/>
  <c r="C15" i="40"/>
  <c r="B925" i="40"/>
  <c r="C925" i="40"/>
  <c r="B926" i="40"/>
  <c r="C926" i="40"/>
  <c r="B927" i="40"/>
  <c r="C927" i="40"/>
  <c r="B928" i="40"/>
  <c r="C928" i="40"/>
  <c r="B929" i="40"/>
  <c r="C929" i="40"/>
  <c r="B930" i="40"/>
  <c r="C930" i="40"/>
  <c r="B931" i="40"/>
  <c r="C931" i="40"/>
  <c r="B932" i="40"/>
  <c r="C932" i="40"/>
  <c r="B933" i="40"/>
  <c r="C933" i="40"/>
  <c r="B169" i="40"/>
  <c r="C169" i="40"/>
  <c r="B587" i="40"/>
  <c r="C587" i="40"/>
  <c r="B531" i="40"/>
  <c r="C531" i="40"/>
  <c r="B571" i="40"/>
  <c r="C571" i="40"/>
  <c r="B398" i="40"/>
  <c r="C398" i="40"/>
  <c r="B289" i="40"/>
  <c r="C289" i="40"/>
  <c r="B515" i="40"/>
  <c r="C515" i="40"/>
  <c r="B160" i="40"/>
  <c r="C160" i="40"/>
  <c r="B165" i="40"/>
  <c r="C165" i="40"/>
  <c r="B519" i="40"/>
  <c r="C519" i="40"/>
  <c r="B151" i="40"/>
  <c r="C151" i="40"/>
  <c r="B557" i="40"/>
  <c r="C557" i="40"/>
  <c r="B488" i="40"/>
  <c r="C488" i="40"/>
  <c r="B510" i="40"/>
  <c r="F787" i="1" s="1"/>
  <c r="C510" i="40"/>
  <c r="D22" i="57" s="1"/>
  <c r="E22" i="57" s="1"/>
  <c r="F22" i="57" s="1"/>
  <c r="B312" i="40"/>
  <c r="C312" i="40"/>
  <c r="D21" i="57" s="1"/>
  <c r="E21" i="57" s="1"/>
  <c r="F21" i="57" s="1"/>
  <c r="B521" i="40"/>
  <c r="C521" i="40"/>
  <c r="B199" i="40"/>
  <c r="C199" i="40"/>
  <c r="B129" i="40"/>
  <c r="C129" i="40"/>
  <c r="B323" i="40"/>
  <c r="C323" i="40"/>
  <c r="B401" i="40"/>
  <c r="C401" i="40"/>
  <c r="B206" i="40"/>
  <c r="B20" i="57" s="1"/>
  <c r="C206" i="40"/>
  <c r="D20" i="57" s="1"/>
  <c r="E20" i="57" s="1"/>
  <c r="F20" i="57" s="1"/>
  <c r="B130" i="40"/>
  <c r="C130" i="40"/>
  <c r="B80" i="40"/>
  <c r="C80" i="40"/>
  <c r="B635" i="40"/>
  <c r="C635" i="40"/>
  <c r="B661" i="40"/>
  <c r="C661" i="40"/>
  <c r="B643" i="40"/>
  <c r="C643" i="40"/>
  <c r="B648" i="40"/>
  <c r="C648" i="40"/>
  <c r="B642" i="40"/>
  <c r="C642" i="40"/>
  <c r="B619" i="40"/>
  <c r="C619" i="40"/>
  <c r="B609" i="40"/>
  <c r="C609" i="40"/>
  <c r="B516" i="40"/>
  <c r="C516" i="40"/>
  <c r="B665" i="40"/>
  <c r="C665" i="40"/>
  <c r="B652" i="40"/>
  <c r="C652" i="40"/>
  <c r="B660" i="40"/>
  <c r="C660" i="40"/>
  <c r="B646" i="40"/>
  <c r="C646" i="40"/>
  <c r="B644" i="40"/>
  <c r="C644" i="40"/>
  <c r="B626" i="40"/>
  <c r="C626" i="40"/>
  <c r="B553" i="40"/>
  <c r="C553" i="40"/>
  <c r="B629" i="40"/>
  <c r="C629" i="40"/>
  <c r="B568" i="40"/>
  <c r="C568" i="40"/>
  <c r="B673" i="40"/>
  <c r="C673" i="40"/>
  <c r="B668" i="40"/>
  <c r="C668" i="40"/>
  <c r="B657" i="40"/>
  <c r="C657" i="40"/>
  <c r="B616" i="40"/>
  <c r="C616" i="40"/>
  <c r="B576" i="40"/>
  <c r="C576" i="40"/>
  <c r="B487" i="40"/>
  <c r="C487" i="40"/>
  <c r="B456" i="40"/>
  <c r="C456" i="40"/>
  <c r="B411" i="40"/>
  <c r="C411" i="40"/>
  <c r="B350" i="40"/>
  <c r="C350" i="40"/>
  <c r="B588" i="40"/>
  <c r="C588" i="40"/>
  <c r="B582" i="40"/>
  <c r="C582" i="40"/>
  <c r="B536" i="40"/>
  <c r="C536" i="40"/>
  <c r="C560" i="40"/>
  <c r="C573" i="40"/>
  <c r="C934" i="40"/>
  <c r="C426" i="40"/>
  <c r="C294" i="40"/>
  <c r="C322" i="40"/>
  <c r="C19" i="40"/>
  <c r="C64" i="40"/>
  <c r="C81" i="40"/>
  <c r="C590" i="40"/>
  <c r="C517" i="40"/>
  <c r="C530" i="40"/>
  <c r="C577" i="40"/>
  <c r="C935" i="40"/>
  <c r="C936" i="40"/>
  <c r="C937" i="40"/>
  <c r="C938" i="40"/>
  <c r="C939" i="40"/>
  <c r="C940" i="40"/>
  <c r="C941" i="40"/>
  <c r="C942" i="40"/>
  <c r="C943" i="40"/>
  <c r="C944" i="40"/>
  <c r="C371" i="40"/>
  <c r="C349" i="40"/>
  <c r="C223" i="40"/>
  <c r="C300" i="40"/>
  <c r="D19" i="57" s="1"/>
  <c r="E19" i="57" s="1"/>
  <c r="F19" i="57" s="1"/>
  <c r="C197" i="40"/>
  <c r="D18" i="57" s="1"/>
  <c r="E18" i="57" s="1"/>
  <c r="F18" i="57" s="1"/>
  <c r="C653" i="40"/>
  <c r="C437" i="40"/>
  <c r="C649" i="40"/>
  <c r="C623" i="40"/>
  <c r="C593" i="40"/>
  <c r="C909" i="40"/>
  <c r="C637" i="40"/>
  <c r="C564" i="40"/>
  <c r="C607" i="40"/>
  <c r="C154" i="40"/>
  <c r="C461" i="40"/>
  <c r="C599" i="40"/>
  <c r="C639" i="40"/>
  <c r="C583" i="40"/>
  <c r="C602" i="40"/>
  <c r="C528" i="40"/>
  <c r="C400" i="40"/>
  <c r="C663" i="40"/>
  <c r="C469" i="40"/>
  <c r="C43" i="40"/>
  <c r="C641" i="40"/>
  <c r="C446" i="40"/>
  <c r="C281" i="40"/>
  <c r="C910" i="40"/>
  <c r="C638" i="40"/>
  <c r="C580" i="40"/>
  <c r="C562" i="40"/>
  <c r="C667" i="40"/>
  <c r="C451" i="40"/>
  <c r="C600" i="40"/>
  <c r="C449" i="40"/>
  <c r="C198" i="40"/>
  <c r="C664" i="40"/>
  <c r="C911" i="40"/>
  <c r="C912" i="40"/>
  <c r="C666" i="40"/>
  <c r="C618" i="40"/>
  <c r="C23" i="40"/>
  <c r="C24" i="40"/>
  <c r="C913" i="40"/>
  <c r="E44" i="47" s="1"/>
  <c r="F44" i="47" s="1"/>
  <c r="G44" i="47" s="1"/>
  <c r="C914" i="40"/>
  <c r="E43" i="47" s="1"/>
  <c r="F43" i="47" s="1"/>
  <c r="G43" i="47" s="1"/>
  <c r="C915" i="40"/>
  <c r="E44" i="46" s="1"/>
  <c r="F44" i="46" s="1"/>
  <c r="G44" i="46" s="1"/>
  <c r="C916" i="40"/>
  <c r="E41" i="47" s="1"/>
  <c r="F41" i="47" s="1"/>
  <c r="C917" i="40"/>
  <c r="C918" i="40"/>
  <c r="C919" i="40"/>
  <c r="C920" i="40"/>
  <c r="C472" i="40"/>
  <c r="C497" i="40"/>
  <c r="C921" i="40"/>
  <c r="C922" i="40"/>
  <c r="C923" i="40"/>
  <c r="C286" i="40"/>
  <c r="E29" i="48" s="1"/>
  <c r="C924" i="40"/>
  <c r="E28" i="47" s="1"/>
  <c r="B653" i="40"/>
  <c r="B437" i="40"/>
  <c r="B649" i="40"/>
  <c r="B623" i="40"/>
  <c r="B593" i="40"/>
  <c r="B909" i="40"/>
  <c r="B637" i="40"/>
  <c r="B564" i="40"/>
  <c r="B607" i="40"/>
  <c r="B154" i="40"/>
  <c r="B461" i="40"/>
  <c r="B599" i="40"/>
  <c r="B639" i="40"/>
  <c r="B583" i="40"/>
  <c r="B602" i="40"/>
  <c r="B528" i="40"/>
  <c r="B400" i="40"/>
  <c r="B663" i="40"/>
  <c r="B469" i="40"/>
  <c r="B43" i="40"/>
  <c r="B641" i="40"/>
  <c r="B446" i="40"/>
  <c r="B281" i="40"/>
  <c r="B910" i="40"/>
  <c r="B638" i="40"/>
  <c r="B580" i="40"/>
  <c r="B562" i="40"/>
  <c r="B667" i="40"/>
  <c r="B451" i="40"/>
  <c r="B600" i="40"/>
  <c r="B449" i="40"/>
  <c r="B198" i="40"/>
  <c r="B664" i="40"/>
  <c r="B911" i="40"/>
  <c r="B912" i="40"/>
  <c r="B666" i="40"/>
  <c r="B618" i="40"/>
  <c r="B23" i="40"/>
  <c r="B24" i="40"/>
  <c r="B913" i="40"/>
  <c r="F781" i="1" s="1"/>
  <c r="B914" i="40"/>
  <c r="F780" i="1" s="1"/>
  <c r="B915" i="40"/>
  <c r="C42" i="47" s="1"/>
  <c r="B916" i="40"/>
  <c r="F782" i="1" s="1"/>
  <c r="B917" i="40"/>
  <c r="F778" i="1" s="1"/>
  <c r="B918" i="40"/>
  <c r="F777" i="1" s="1"/>
  <c r="B919" i="40"/>
  <c r="F776" i="1" s="1"/>
  <c r="B920" i="40"/>
  <c r="E771" i="1" s="1"/>
  <c r="B472" i="40"/>
  <c r="F665" i="1" s="1"/>
  <c r="B497" i="40"/>
  <c r="E666" i="1" s="1"/>
  <c r="B921" i="40"/>
  <c r="F775" i="1" s="1"/>
  <c r="B922" i="40"/>
  <c r="B923" i="40"/>
  <c r="E773" i="1" s="1"/>
  <c r="B286" i="40"/>
  <c r="F770" i="1" s="1"/>
  <c r="B924" i="40"/>
  <c r="C28" i="47" s="1"/>
  <c r="F651" i="1"/>
  <c r="G469" i="1"/>
  <c r="E471" i="1"/>
  <c r="B656" i="40"/>
  <c r="C656" i="40"/>
  <c r="B670" i="40"/>
  <c r="C670" i="40"/>
  <c r="B671" i="40"/>
  <c r="C671" i="40"/>
  <c r="B404" i="40"/>
  <c r="C404" i="40"/>
  <c r="C6" i="40"/>
  <c r="E54" i="88" s="1"/>
  <c r="F54" i="88" s="1"/>
  <c r="G54" i="88" s="1"/>
  <c r="B5" i="40"/>
  <c r="C49" i="53" s="1"/>
  <c r="C5" i="40"/>
  <c r="E49" i="78" s="1"/>
  <c r="F49" i="78" s="1"/>
  <c r="G49" i="78" s="1"/>
  <c r="B18" i="40"/>
  <c r="C18" i="40"/>
  <c r="C900" i="40"/>
  <c r="E60" i="85" s="1"/>
  <c r="F60" i="85" s="1"/>
  <c r="G60" i="85" s="1"/>
  <c r="C901" i="40"/>
  <c r="E59" i="6" s="1"/>
  <c r="F59" i="6" s="1"/>
  <c r="G59" i="6" s="1"/>
  <c r="B17" i="40"/>
  <c r="C17" i="40"/>
  <c r="C902" i="40"/>
  <c r="E61" i="5" s="1"/>
  <c r="F61" i="5" s="1"/>
  <c r="G61" i="5" s="1"/>
  <c r="B31" i="40"/>
  <c r="C56" i="74" s="1"/>
  <c r="C31" i="40"/>
  <c r="E57" i="37" s="1"/>
  <c r="F57" i="37" s="1"/>
  <c r="G57" i="37" s="1"/>
  <c r="B28" i="40"/>
  <c r="C28" i="40"/>
  <c r="B29" i="40"/>
  <c r="C29" i="40"/>
  <c r="C611" i="40"/>
  <c r="E47" i="31" s="1"/>
  <c r="F47" i="31" s="1"/>
  <c r="G47" i="31" s="1"/>
  <c r="C612" i="40"/>
  <c r="E40" i="56" s="1"/>
  <c r="F40" i="56" s="1"/>
  <c r="G40" i="56" s="1"/>
  <c r="B317" i="40"/>
  <c r="C317" i="40"/>
  <c r="B318" i="40"/>
  <c r="C318" i="40"/>
  <c r="B319" i="40"/>
  <c r="C319" i="40"/>
  <c r="B320" i="40"/>
  <c r="C320" i="40"/>
  <c r="C452" i="40"/>
  <c r="E44" i="88" s="1"/>
  <c r="F44" i="88" s="1"/>
  <c r="G44" i="88" s="1"/>
  <c r="C453" i="40"/>
  <c r="E45" i="5" s="1"/>
  <c r="F45" i="5" s="1"/>
  <c r="G45" i="5" s="1"/>
  <c r="C454" i="40"/>
  <c r="E46" i="88" s="1"/>
  <c r="F46" i="88" s="1"/>
  <c r="G46" i="88" s="1"/>
  <c r="B204" i="40"/>
  <c r="C204" i="40"/>
  <c r="B903" i="40"/>
  <c r="C903" i="40"/>
  <c r="B475" i="40"/>
  <c r="C50" i="55" s="1"/>
  <c r="C475" i="40"/>
  <c r="E50" i="55" s="1"/>
  <c r="F50" i="55" s="1"/>
  <c r="G50" i="55" s="1"/>
  <c r="B476" i="40"/>
  <c r="C53" i="51" s="1"/>
  <c r="C476" i="40"/>
  <c r="E51" i="55" s="1"/>
  <c r="F51" i="55" s="1"/>
  <c r="G51" i="55" s="1"/>
  <c r="B632" i="40"/>
  <c r="C632" i="40"/>
  <c r="B636" i="40"/>
  <c r="C636" i="40"/>
  <c r="B561" i="40"/>
  <c r="C561" i="40"/>
  <c r="B650" i="40"/>
  <c r="C650" i="40"/>
  <c r="B579" i="40"/>
  <c r="C579" i="40"/>
  <c r="B658" i="40"/>
  <c r="C658" i="40"/>
  <c r="B904" i="40"/>
  <c r="E657" i="1" s="1"/>
  <c r="C904" i="40"/>
  <c r="B905" i="40"/>
  <c r="E658" i="1" s="1"/>
  <c r="C905" i="40"/>
  <c r="B66" i="40"/>
  <c r="C66" i="40"/>
  <c r="B108" i="40"/>
  <c r="C108" i="40"/>
  <c r="B36" i="40"/>
  <c r="E590" i="1" s="1"/>
  <c r="C36" i="40"/>
  <c r="B27" i="40"/>
  <c r="F591" i="1" s="1"/>
  <c r="C27" i="40"/>
  <c r="B34" i="40"/>
  <c r="F589" i="1" s="1"/>
  <c r="C34" i="40"/>
  <c r="B55" i="40"/>
  <c r="E601" i="1" s="1"/>
  <c r="C55" i="40"/>
  <c r="B39" i="40"/>
  <c r="F608" i="1" s="1"/>
  <c r="C39" i="40"/>
  <c r="B56" i="40"/>
  <c r="C56" i="40"/>
  <c r="B87" i="40"/>
  <c r="F618" i="1" s="1"/>
  <c r="C87" i="40"/>
  <c r="B57" i="40"/>
  <c r="F619" i="1" s="1"/>
  <c r="C57" i="40"/>
  <c r="B88" i="40"/>
  <c r="E611" i="1" s="1"/>
  <c r="C88" i="40"/>
  <c r="B42" i="40"/>
  <c r="F599" i="1" s="1"/>
  <c r="C42" i="40"/>
  <c r="B67" i="40"/>
  <c r="F610" i="1" s="1"/>
  <c r="C67" i="40"/>
  <c r="B906" i="40"/>
  <c r="F621" i="1" s="1"/>
  <c r="C906" i="40"/>
  <c r="B97" i="40"/>
  <c r="E824" i="1" s="1"/>
  <c r="C97" i="40"/>
  <c r="B234" i="40"/>
  <c r="C234" i="40"/>
  <c r="B311" i="40"/>
  <c r="C311" i="40"/>
  <c r="B282" i="40"/>
  <c r="C282" i="40"/>
  <c r="B235" i="40"/>
  <c r="C235" i="40"/>
  <c r="B387" i="40"/>
  <c r="C387" i="40"/>
  <c r="B357" i="40"/>
  <c r="C357" i="40"/>
  <c r="B62" i="40"/>
  <c r="E631" i="1" s="1"/>
  <c r="C62" i="40"/>
  <c r="B70" i="40"/>
  <c r="F629" i="1" s="1"/>
  <c r="C70" i="40"/>
  <c r="B112" i="40"/>
  <c r="F640" i="1" s="1"/>
  <c r="C112" i="40"/>
  <c r="B113" i="40"/>
  <c r="E638" i="1" s="1"/>
  <c r="C113" i="40"/>
  <c r="B195" i="40"/>
  <c r="E650" i="1" s="1"/>
  <c r="C195" i="40"/>
  <c r="B181" i="40"/>
  <c r="F648" i="1" s="1"/>
  <c r="C181" i="40"/>
  <c r="B45" i="40"/>
  <c r="C45" i="40"/>
  <c r="B71" i="40"/>
  <c r="E628" i="1" s="1"/>
  <c r="C71" i="40"/>
  <c r="B51" i="40"/>
  <c r="F624" i="1" s="1"/>
  <c r="C51" i="40"/>
  <c r="B89" i="40"/>
  <c r="E633" i="1" s="1"/>
  <c r="C89" i="40"/>
  <c r="B119" i="40"/>
  <c r="E637" i="1" s="1"/>
  <c r="C119" i="40"/>
  <c r="B90" i="40"/>
  <c r="E634" i="1" s="1"/>
  <c r="C90" i="40"/>
  <c r="B79" i="40"/>
  <c r="C79" i="40"/>
  <c r="B123" i="40"/>
  <c r="E643" i="1" s="1"/>
  <c r="C123" i="40"/>
  <c r="B196" i="40"/>
  <c r="E647" i="1" s="1"/>
  <c r="C196" i="40"/>
  <c r="B124" i="40"/>
  <c r="F646" i="1" s="1"/>
  <c r="C124" i="40"/>
  <c r="B287" i="40"/>
  <c r="C287" i="40"/>
  <c r="B8" i="40"/>
  <c r="C8" i="40"/>
  <c r="B498" i="40"/>
  <c r="F769" i="1" s="1"/>
  <c r="C498" i="40"/>
  <c r="B490" i="40"/>
  <c r="E768" i="1" s="1"/>
  <c r="C490" i="40"/>
  <c r="B907" i="40"/>
  <c r="C907" i="40"/>
  <c r="B369" i="40"/>
  <c r="C369" i="40"/>
  <c r="B410" i="40"/>
  <c r="C410" i="40"/>
  <c r="B390" i="40"/>
  <c r="E687" i="1" s="1"/>
  <c r="C390" i="40"/>
  <c r="B296" i="40"/>
  <c r="C296" i="40"/>
  <c r="B236" i="40"/>
  <c r="C236" i="40"/>
  <c r="B299" i="40"/>
  <c r="C299" i="40"/>
  <c r="E61" i="78" s="1"/>
  <c r="F61" i="78" s="1"/>
  <c r="G61" i="78" s="1"/>
  <c r="B284" i="40"/>
  <c r="C284" i="40"/>
  <c r="B459" i="40"/>
  <c r="F656" i="1" s="1"/>
  <c r="C459" i="40"/>
  <c r="B440" i="40"/>
  <c r="E655" i="1" s="1"/>
  <c r="C440" i="40"/>
  <c r="B405" i="40"/>
  <c r="F652" i="1" s="1"/>
  <c r="C405" i="40"/>
  <c r="B380" i="40"/>
  <c r="F653" i="1" s="1"/>
  <c r="C380" i="40"/>
  <c r="B393" i="40"/>
  <c r="C393" i="40"/>
  <c r="B460" i="40"/>
  <c r="E654" i="1" s="1"/>
  <c r="C460" i="40"/>
  <c r="B908" i="40"/>
  <c r="B76" i="57" s="1"/>
  <c r="C908" i="40"/>
  <c r="D76" i="57" s="1"/>
  <c r="C388" i="40"/>
  <c r="E54" i="85" s="1"/>
  <c r="F54" i="85" s="1"/>
  <c r="G54" i="85" s="1"/>
  <c r="B358" i="40"/>
  <c r="C358" i="40"/>
  <c r="B542" i="40"/>
  <c r="C54" i="71" s="1"/>
  <c r="C542" i="40"/>
  <c r="E54" i="71" s="1"/>
  <c r="F54" i="71" s="1"/>
  <c r="G54" i="71" s="1"/>
  <c r="B20" i="40"/>
  <c r="C32" i="55" s="1"/>
  <c r="C20" i="40"/>
  <c r="E32" i="55" s="1"/>
  <c r="C7" i="7"/>
  <c r="C8" i="7" s="1"/>
  <c r="C9" i="7" s="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B29" i="78"/>
  <c r="G28" i="78"/>
  <c r="O10" i="78"/>
  <c r="L9" i="78"/>
  <c r="K26" i="78"/>
  <c r="N4" i="78"/>
  <c r="K27" i="78"/>
  <c r="C415" i="40"/>
  <c r="B415" i="40"/>
  <c r="E302" i="1" s="1"/>
  <c r="C899" i="40"/>
  <c r="B899" i="40"/>
  <c r="E300" i="1" s="1"/>
  <c r="C428" i="40"/>
  <c r="B428" i="40"/>
  <c r="C539" i="40"/>
  <c r="B539" i="40"/>
  <c r="C513" i="40"/>
  <c r="B513" i="40"/>
  <c r="B723" i="40"/>
  <c r="C723" i="40"/>
  <c r="C720" i="40"/>
  <c r="B720" i="40"/>
  <c r="E20" i="1" s="1"/>
  <c r="B4" i="40"/>
  <c r="B6" i="57" s="1"/>
  <c r="C4" i="40"/>
  <c r="E43" i="70" s="1"/>
  <c r="F43" i="70" s="1"/>
  <c r="G43" i="70" s="1"/>
  <c r="B120" i="40"/>
  <c r="C120" i="40"/>
  <c r="D33" i="71"/>
  <c r="B678" i="40"/>
  <c r="B44" i="57" s="1"/>
  <c r="B679" i="40"/>
  <c r="B45" i="57" s="1"/>
  <c r="B680" i="40"/>
  <c r="B46" i="57" s="1"/>
  <c r="B681" i="40"/>
  <c r="B47" i="57" s="1"/>
  <c r="B682" i="40"/>
  <c r="B683" i="40"/>
  <c r="B684" i="40"/>
  <c r="B685" i="40"/>
  <c r="B686" i="40"/>
  <c r="B16" i="40"/>
  <c r="B13" i="40"/>
  <c r="B687" i="40"/>
  <c r="B76" i="40"/>
  <c r="B688" i="40"/>
  <c r="B403" i="40"/>
  <c r="F531" i="1" s="1"/>
  <c r="B326" i="40"/>
  <c r="F529" i="1" s="1"/>
  <c r="B297" i="40"/>
  <c r="F528" i="1" s="1"/>
  <c r="B333" i="40"/>
  <c r="F530" i="1" s="1"/>
  <c r="B115" i="40"/>
  <c r="B149" i="40"/>
  <c r="F660" i="1" s="1"/>
  <c r="B122" i="40"/>
  <c r="E659" i="1" s="1"/>
  <c r="B605" i="40"/>
  <c r="B662" i="40"/>
  <c r="B293" i="40"/>
  <c r="B270" i="40"/>
  <c r="E261" i="1" s="1"/>
  <c r="B420" i="40"/>
  <c r="B399" i="40"/>
  <c r="B378" i="40"/>
  <c r="E267" i="1" s="1"/>
  <c r="B352" i="40"/>
  <c r="E262" i="1" s="1"/>
  <c r="B489" i="40"/>
  <c r="E268" i="1" s="1"/>
  <c r="B458" i="40"/>
  <c r="B558" i="40"/>
  <c r="E277" i="1" s="1"/>
  <c r="B532" i="40"/>
  <c r="F264" i="1" s="1"/>
  <c r="B610" i="40"/>
  <c r="E278" i="1" s="1"/>
  <c r="B604" i="40"/>
  <c r="E265" i="1" s="1"/>
  <c r="B83" i="40"/>
  <c r="B68" i="40"/>
  <c r="B167" i="40"/>
  <c r="B142" i="40"/>
  <c r="B121" i="40"/>
  <c r="B109" i="40"/>
  <c r="B207" i="40"/>
  <c r="B187" i="40"/>
  <c r="B304" i="40"/>
  <c r="B277" i="40"/>
  <c r="B413" i="40"/>
  <c r="B391" i="40"/>
  <c r="B118" i="40"/>
  <c r="E294" i="1" s="1"/>
  <c r="B110" i="40"/>
  <c r="F281" i="1" s="1"/>
  <c r="B226" i="40"/>
  <c r="B203" i="40"/>
  <c r="B185" i="40"/>
  <c r="E295" i="1" s="1"/>
  <c r="B163" i="40"/>
  <c r="E282" i="1" s="1"/>
  <c r="B305" i="40"/>
  <c r="E296" i="1" s="1"/>
  <c r="B275" i="40"/>
  <c r="F283" i="1" s="1"/>
  <c r="B381" i="40"/>
  <c r="F297" i="1" s="1"/>
  <c r="B354" i="40"/>
  <c r="F284" i="1" s="1"/>
  <c r="B483" i="40"/>
  <c r="E298" i="1" s="1"/>
  <c r="B468" i="40"/>
  <c r="E285" i="1" s="1"/>
  <c r="B14" i="40"/>
  <c r="F789" i="1" s="1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484" i="40"/>
  <c r="B447" i="40"/>
  <c r="B465" i="40"/>
  <c r="F766" i="1" s="1"/>
  <c r="B485" i="40"/>
  <c r="F767" i="1" s="1"/>
  <c r="B538" i="40"/>
  <c r="E693" i="1" s="1"/>
  <c r="B525" i="40"/>
  <c r="F688" i="1" s="1"/>
  <c r="B597" i="40"/>
  <c r="E694" i="1" s="1"/>
  <c r="B589" i="40"/>
  <c r="B628" i="40"/>
  <c r="E695" i="1" s="1"/>
  <c r="B622" i="40"/>
  <c r="B655" i="40"/>
  <c r="E696" i="1" s="1"/>
  <c r="B647" i="40"/>
  <c r="F691" i="1" s="1"/>
  <c r="B669" i="40"/>
  <c r="F692" i="1" s="1"/>
  <c r="B672" i="40"/>
  <c r="F697" i="1" s="1"/>
  <c r="B138" i="40"/>
  <c r="C28" i="61" s="1"/>
  <c r="B324" i="40"/>
  <c r="B325" i="40"/>
  <c r="B473" i="40"/>
  <c r="B551" i="40"/>
  <c r="B75" i="40"/>
  <c r="B701" i="40"/>
  <c r="B702" i="40"/>
  <c r="B703" i="40"/>
  <c r="C52" i="46" s="1"/>
  <c r="B704" i="40"/>
  <c r="C29" i="46" s="1"/>
  <c r="B9" i="40"/>
  <c r="B705" i="40"/>
  <c r="B707" i="40"/>
  <c r="B708" i="40"/>
  <c r="B710" i="40"/>
  <c r="B711" i="40"/>
  <c r="C54" i="53" s="1"/>
  <c r="B712" i="40"/>
  <c r="B94" i="40"/>
  <c r="F713" i="1" s="1"/>
  <c r="B86" i="40"/>
  <c r="E708" i="1" s="1"/>
  <c r="B139" i="40"/>
  <c r="F714" i="1" s="1"/>
  <c r="B132" i="40"/>
  <c r="F709" i="1" s="1"/>
  <c r="B202" i="40"/>
  <c r="F715" i="1" s="1"/>
  <c r="B192" i="40"/>
  <c r="E710" i="1" s="1"/>
  <c r="B303" i="40"/>
  <c r="E716" i="1" s="1"/>
  <c r="B269" i="40"/>
  <c r="E711" i="1" s="1"/>
  <c r="B406" i="40"/>
  <c r="E717" i="1" s="1"/>
  <c r="B379" i="40"/>
  <c r="F712" i="1" s="1"/>
  <c r="B348" i="40"/>
  <c r="B341" i="40"/>
  <c r="E698" i="1" s="1"/>
  <c r="B435" i="40"/>
  <c r="F704" i="1" s="1"/>
  <c r="B419" i="40"/>
  <c r="E699" i="1" s="1"/>
  <c r="B502" i="40"/>
  <c r="B494" i="40"/>
  <c r="F700" i="1" s="1"/>
  <c r="B569" i="40"/>
  <c r="F706" i="1" s="1"/>
  <c r="B554" i="40"/>
  <c r="F701" i="1" s="1"/>
  <c r="B570" i="40"/>
  <c r="B625" i="40"/>
  <c r="E707" i="1" s="1"/>
  <c r="B614" i="40"/>
  <c r="F702" i="1" s="1"/>
  <c r="B543" i="40"/>
  <c r="B713" i="40"/>
  <c r="E19" i="1" s="1"/>
  <c r="B714" i="40"/>
  <c r="E34" i="1" s="1"/>
  <c r="B715" i="40"/>
  <c r="E14" i="1" s="1"/>
  <c r="B716" i="40"/>
  <c r="E24" i="1" s="1"/>
  <c r="B717" i="40"/>
  <c r="E29" i="1" s="1"/>
  <c r="B718" i="40"/>
  <c r="B719" i="40"/>
  <c r="F9" i="1" s="1"/>
  <c r="B721" i="40"/>
  <c r="F35" i="1" s="1"/>
  <c r="B313" i="40"/>
  <c r="F15" i="1" s="1"/>
  <c r="B722" i="40"/>
  <c r="B724" i="40"/>
  <c r="B309" i="40"/>
  <c r="F10" i="1" s="1"/>
  <c r="B725" i="40"/>
  <c r="F21" i="1" s="1"/>
  <c r="B726" i="40"/>
  <c r="E86" i="1" s="1"/>
  <c r="B727" i="40"/>
  <c r="E36" i="1" s="1"/>
  <c r="B375" i="40"/>
  <c r="E16" i="1" s="1"/>
  <c r="B728" i="40"/>
  <c r="E26" i="1" s="1"/>
  <c r="B729" i="40"/>
  <c r="E31" i="1" s="1"/>
  <c r="B730" i="40"/>
  <c r="B370" i="40"/>
  <c r="E11" i="1" s="1"/>
  <c r="B731" i="40"/>
  <c r="F22" i="1" s="1"/>
  <c r="B732" i="40"/>
  <c r="F37" i="1" s="1"/>
  <c r="B457" i="40"/>
  <c r="F17" i="1" s="1"/>
  <c r="B733" i="40"/>
  <c r="E27" i="1" s="1"/>
  <c r="B734" i="40"/>
  <c r="E32" i="1" s="1"/>
  <c r="B735" i="40"/>
  <c r="F726" i="1" s="1"/>
  <c r="B448" i="40"/>
  <c r="E12" i="1" s="1"/>
  <c r="B578" i="40"/>
  <c r="F23" i="1" s="1"/>
  <c r="B736" i="40"/>
  <c r="F38" i="1" s="1"/>
  <c r="B559" i="40"/>
  <c r="E18" i="1" s="1"/>
  <c r="B737" i="40"/>
  <c r="E28" i="1" s="1"/>
  <c r="B738" i="40"/>
  <c r="F33" i="1" s="1"/>
  <c r="B739" i="40"/>
  <c r="B549" i="40"/>
  <c r="B314" i="40"/>
  <c r="B288" i="40"/>
  <c r="E519" i="1" s="1"/>
  <c r="B155" i="40"/>
  <c r="B189" i="40"/>
  <c r="F758" i="1" s="1"/>
  <c r="B156" i="40"/>
  <c r="B645" i="40"/>
  <c r="B511" i="40"/>
  <c r="B509" i="40"/>
  <c r="B467" i="40"/>
  <c r="B159" i="40"/>
  <c r="B217" i="40"/>
  <c r="B179" i="40"/>
  <c r="B231" i="40"/>
  <c r="E664" i="1" s="1"/>
  <c r="B193" i="40"/>
  <c r="F663" i="1" s="1"/>
  <c r="B218" i="40"/>
  <c r="B740" i="40"/>
  <c r="B209" i="40"/>
  <c r="B741" i="40"/>
  <c r="F517" i="1" s="1"/>
  <c r="B742" i="40"/>
  <c r="E516" i="1" s="1"/>
  <c r="B395" i="40"/>
  <c r="F763" i="1" s="1"/>
  <c r="B382" i="40"/>
  <c r="E761" i="1" s="1"/>
  <c r="B743" i="40"/>
  <c r="E762" i="1" s="1"/>
  <c r="B744" i="40"/>
  <c r="F759" i="1" s="1"/>
  <c r="B205" i="40"/>
  <c r="B225" i="40"/>
  <c r="B745" i="40"/>
  <c r="B73" i="40"/>
  <c r="B74" i="40"/>
  <c r="B135" i="40"/>
  <c r="B136" i="40"/>
  <c r="B279" i="40"/>
  <c r="B280" i="40"/>
  <c r="B131" i="40"/>
  <c r="B102" i="40"/>
  <c r="B84" i="40"/>
  <c r="B746" i="40"/>
  <c r="B111" i="40"/>
  <c r="B747" i="40"/>
  <c r="B157" i="40"/>
  <c r="B116" i="40"/>
  <c r="B748" i="40"/>
  <c r="B166" i="40"/>
  <c r="F682" i="1" s="1"/>
  <c r="B125" i="40"/>
  <c r="B158" i="40"/>
  <c r="F685" i="1" s="1"/>
  <c r="B237" i="40"/>
  <c r="B238" i="40"/>
  <c r="B239" i="40"/>
  <c r="B361" i="40"/>
  <c r="B240" i="40"/>
  <c r="B241" i="40"/>
  <c r="B242" i="40"/>
  <c r="B243" i="40"/>
  <c r="B244" i="40"/>
  <c r="B245" i="40"/>
  <c r="B362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749" i="40"/>
  <c r="E674" i="1" s="1"/>
  <c r="B750" i="40"/>
  <c r="B373" i="40"/>
  <c r="F667" i="1" s="1"/>
  <c r="B751" i="40"/>
  <c r="E669" i="1" s="1"/>
  <c r="B478" i="40"/>
  <c r="E671" i="1" s="1"/>
  <c r="B351" i="40"/>
  <c r="B374" i="40"/>
  <c r="F668" i="1" s="1"/>
  <c r="B140" i="40"/>
  <c r="C31" i="7" s="1"/>
  <c r="B534" i="40"/>
  <c r="E503" i="1" s="1"/>
  <c r="B548" i="40"/>
  <c r="F502" i="1" s="1"/>
  <c r="B585" i="40"/>
  <c r="B595" i="40"/>
  <c r="F505" i="1" s="1"/>
  <c r="B752" i="40"/>
  <c r="B753" i="40"/>
  <c r="F226" i="1" s="1"/>
  <c r="B355" i="40"/>
  <c r="E211" i="1" s="1"/>
  <c r="B754" i="40"/>
  <c r="B755" i="40"/>
  <c r="E221" i="1" s="1"/>
  <c r="B307" i="40"/>
  <c r="F718" i="1" s="1"/>
  <c r="B345" i="40"/>
  <c r="E201" i="1" s="1"/>
  <c r="B756" i="40"/>
  <c r="F232" i="1" s="1"/>
  <c r="B757" i="40"/>
  <c r="F227" i="1" s="1"/>
  <c r="B438" i="40"/>
  <c r="E212" i="1" s="1"/>
  <c r="B758" i="40"/>
  <c r="F217" i="1" s="1"/>
  <c r="B759" i="40"/>
  <c r="E222" i="1" s="1"/>
  <c r="B392" i="40"/>
  <c r="E197" i="1" s="1"/>
  <c r="B439" i="40"/>
  <c r="E202" i="1" s="1"/>
  <c r="B760" i="40"/>
  <c r="F233" i="1" s="1"/>
  <c r="B761" i="40"/>
  <c r="F228" i="1" s="1"/>
  <c r="B507" i="40"/>
  <c r="E213" i="1" s="1"/>
  <c r="B762" i="40"/>
  <c r="F218" i="1" s="1"/>
  <c r="B763" i="40"/>
  <c r="E223" i="1" s="1"/>
  <c r="B455" i="40"/>
  <c r="E198" i="1" s="1"/>
  <c r="B508" i="40"/>
  <c r="F203" i="1" s="1"/>
  <c r="B764" i="40"/>
  <c r="F234" i="1" s="1"/>
  <c r="B765" i="40"/>
  <c r="F229" i="1" s="1"/>
  <c r="B574" i="40"/>
  <c r="E214" i="1" s="1"/>
  <c r="B766" i="40"/>
  <c r="F219" i="1" s="1"/>
  <c r="B767" i="40"/>
  <c r="F224" i="1" s="1"/>
  <c r="B535" i="40"/>
  <c r="E199" i="1" s="1"/>
  <c r="B575" i="40"/>
  <c r="F204" i="1" s="1"/>
  <c r="B768" i="40"/>
  <c r="E235" i="1" s="1"/>
  <c r="B769" i="40"/>
  <c r="F230" i="1" s="1"/>
  <c r="B631" i="40"/>
  <c r="B770" i="40"/>
  <c r="E220" i="1" s="1"/>
  <c r="B771" i="40"/>
  <c r="B603" i="40"/>
  <c r="E200" i="1" s="1"/>
  <c r="B624" i="40"/>
  <c r="B273" i="40"/>
  <c r="E49" i="1" s="1"/>
  <c r="B220" i="40"/>
  <c r="F44" i="1" s="1"/>
  <c r="B174" i="40"/>
  <c r="F39" i="1" s="1"/>
  <c r="B363" i="40"/>
  <c r="E50" i="1" s="1"/>
  <c r="B331" i="40"/>
  <c r="F45" i="1" s="1"/>
  <c r="B276" i="40"/>
  <c r="E40" i="1" s="1"/>
  <c r="B429" i="40"/>
  <c r="B394" i="40"/>
  <c r="B346" i="40"/>
  <c r="F41" i="1" s="1"/>
  <c r="B512" i="40"/>
  <c r="E52" i="1" s="1"/>
  <c r="B474" i="40"/>
  <c r="F47" i="1" s="1"/>
  <c r="B423" i="40"/>
  <c r="F42" i="1" s="1"/>
  <c r="B591" i="40"/>
  <c r="E53" i="1" s="1"/>
  <c r="B566" i="40"/>
  <c r="B526" i="40"/>
  <c r="F43" i="1" s="1"/>
  <c r="B427" i="40"/>
  <c r="F487" i="1" s="1"/>
  <c r="B772" i="40"/>
  <c r="E485" i="1" s="1"/>
  <c r="B414" i="40"/>
  <c r="E490" i="1" s="1"/>
  <c r="B773" i="40"/>
  <c r="F329" i="1" s="1"/>
  <c r="B774" i="40"/>
  <c r="E326" i="1" s="1"/>
  <c r="B775" i="40"/>
  <c r="F306" i="1" s="1"/>
  <c r="B776" i="40"/>
  <c r="F320" i="1" s="1"/>
  <c r="B777" i="40"/>
  <c r="F323" i="1" s="1"/>
  <c r="B778" i="40"/>
  <c r="F305" i="1" s="1"/>
  <c r="B141" i="40"/>
  <c r="E307" i="1" s="1"/>
  <c r="B779" i="40"/>
  <c r="F330" i="1" s="1"/>
  <c r="B780" i="40"/>
  <c r="E327" i="1" s="1"/>
  <c r="B781" i="40"/>
  <c r="F309" i="1" s="1"/>
  <c r="B782" i="40"/>
  <c r="F321" i="1" s="1"/>
  <c r="B783" i="40"/>
  <c r="F324" i="1" s="1"/>
  <c r="B784" i="40"/>
  <c r="F308" i="1" s="1"/>
  <c r="B785" i="40"/>
  <c r="B786" i="40"/>
  <c r="F331" i="1" s="1"/>
  <c r="B787" i="40"/>
  <c r="B788" i="40"/>
  <c r="E312" i="1" s="1"/>
  <c r="B789" i="40"/>
  <c r="E322" i="1" s="1"/>
  <c r="B790" i="40"/>
  <c r="E325" i="1" s="1"/>
  <c r="B791" i="40"/>
  <c r="B792" i="40"/>
  <c r="F313" i="1" s="1"/>
  <c r="B793" i="40"/>
  <c r="E351" i="1" s="1"/>
  <c r="B106" i="40"/>
  <c r="E348" i="1" s="1"/>
  <c r="B794" i="40"/>
  <c r="B200" i="40"/>
  <c r="B795" i="40"/>
  <c r="F352" i="1" s="1"/>
  <c r="B161" i="40"/>
  <c r="F349" i="1" s="1"/>
  <c r="B796" i="40"/>
  <c r="E353" i="1" s="1"/>
  <c r="B797" i="40"/>
  <c r="E350" i="1" s="1"/>
  <c r="B798" i="40"/>
  <c r="F364" i="1" s="1"/>
  <c r="B799" i="40"/>
  <c r="E355" i="1" s="1"/>
  <c r="B800" i="40"/>
  <c r="B801" i="40"/>
  <c r="B802" i="40"/>
  <c r="F365" i="1" s="1"/>
  <c r="B803" i="40"/>
  <c r="E356" i="1" s="1"/>
  <c r="B804" i="40"/>
  <c r="F366" i="1" s="1"/>
  <c r="B805" i="40"/>
  <c r="B40" i="40"/>
  <c r="C33" i="55" s="1"/>
  <c r="B807" i="40"/>
  <c r="C34" i="51" s="1"/>
  <c r="B41" i="40"/>
  <c r="C29" i="80" s="1"/>
  <c r="B35" i="40"/>
  <c r="B809" i="40"/>
  <c r="B810" i="40"/>
  <c r="B811" i="40"/>
  <c r="B812" i="40"/>
  <c r="B25" i="40"/>
  <c r="B22" i="40"/>
  <c r="B343" i="40"/>
  <c r="B442" i="40"/>
  <c r="B606" i="40"/>
  <c r="B633" i="40"/>
  <c r="B433" i="40"/>
  <c r="B407" i="40"/>
  <c r="F496" i="1" s="1"/>
  <c r="B384" i="40"/>
  <c r="F495" i="1" s="1"/>
  <c r="B396" i="40"/>
  <c r="B486" i="40"/>
  <c r="F498" i="1" s="1"/>
  <c r="B470" i="40"/>
  <c r="E499" i="1" s="1"/>
  <c r="B210" i="40"/>
  <c r="C55" i="19" s="1"/>
  <c r="B105" i="40"/>
  <c r="E788" i="1" s="1"/>
  <c r="B266" i="40"/>
  <c r="B228" i="40"/>
  <c r="B306" i="40"/>
  <c r="B278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46" i="40"/>
  <c r="F130" i="1" s="1"/>
  <c r="B59" i="40"/>
  <c r="E125" i="1" s="1"/>
  <c r="B829" i="40"/>
  <c r="E110" i="1" s="1"/>
  <c r="B60" i="40"/>
  <c r="F115" i="1" s="1"/>
  <c r="B61" i="40"/>
  <c r="E120" i="1" s="1"/>
  <c r="B830" i="40"/>
  <c r="E105" i="1" s="1"/>
  <c r="B831" i="40"/>
  <c r="E135" i="1" s="1"/>
  <c r="B78" i="40"/>
  <c r="B103" i="40"/>
  <c r="E126" i="1" s="1"/>
  <c r="B832" i="40"/>
  <c r="E111" i="1" s="1"/>
  <c r="B104" i="40"/>
  <c r="E116" i="1" s="1"/>
  <c r="B98" i="40"/>
  <c r="E121" i="1" s="1"/>
  <c r="B833" i="40"/>
  <c r="F106" i="1" s="1"/>
  <c r="B834" i="40"/>
  <c r="F136" i="1" s="1"/>
  <c r="B117" i="40"/>
  <c r="E132" i="1" s="1"/>
  <c r="B146" i="40"/>
  <c r="E127" i="1" s="1"/>
  <c r="B835" i="40"/>
  <c r="F112" i="1" s="1"/>
  <c r="B147" i="40"/>
  <c r="E117" i="1" s="1"/>
  <c r="B148" i="40"/>
  <c r="F122" i="1" s="1"/>
  <c r="B836" i="40"/>
  <c r="E741" i="1" s="1"/>
  <c r="B837" i="40"/>
  <c r="E137" i="1" s="1"/>
  <c r="B176" i="40"/>
  <c r="B221" i="40"/>
  <c r="E128" i="1" s="1"/>
  <c r="B838" i="40"/>
  <c r="E113" i="1" s="1"/>
  <c r="B222" i="40"/>
  <c r="F118" i="1" s="1"/>
  <c r="B208" i="40"/>
  <c r="E123" i="1" s="1"/>
  <c r="B839" i="40"/>
  <c r="F108" i="1" s="1"/>
  <c r="B840" i="40"/>
  <c r="F138" i="1" s="1"/>
  <c r="B283" i="40"/>
  <c r="F134" i="1" s="1"/>
  <c r="B334" i="40"/>
  <c r="F129" i="1" s="1"/>
  <c r="B841" i="40"/>
  <c r="F114" i="1" s="1"/>
  <c r="B335" i="40"/>
  <c r="F119" i="1" s="1"/>
  <c r="B336" i="40"/>
  <c r="F124" i="1" s="1"/>
  <c r="B842" i="40"/>
  <c r="F109" i="1" s="1"/>
  <c r="B843" i="40"/>
  <c r="F139" i="1" s="1"/>
  <c r="B844" i="40"/>
  <c r="B188" i="40"/>
  <c r="C31" i="54" s="1"/>
  <c r="B523" i="40"/>
  <c r="F509" i="1" s="1"/>
  <c r="B501" i="40"/>
  <c r="F508" i="1" s="1"/>
  <c r="B552" i="40"/>
  <c r="E511" i="1" s="1"/>
  <c r="B541" i="40"/>
  <c r="E510" i="1" s="1"/>
  <c r="B177" i="40"/>
  <c r="C30" i="37" s="1"/>
  <c r="B164" i="40"/>
  <c r="C30" i="74" s="1"/>
  <c r="B178" i="40"/>
  <c r="B432" i="40"/>
  <c r="B555" i="40"/>
  <c r="B529" i="40"/>
  <c r="B613" i="40"/>
  <c r="B596" i="40"/>
  <c r="B634" i="40"/>
  <c r="B621" i="40"/>
  <c r="B651" i="40"/>
  <c r="B91" i="40"/>
  <c r="B173" i="40"/>
  <c r="B150" i="40"/>
  <c r="B291" i="40"/>
  <c r="B233" i="40"/>
  <c r="B337" i="40"/>
  <c r="B310" i="40"/>
  <c r="B389" i="40"/>
  <c r="B274" i="40"/>
  <c r="B402" i="40"/>
  <c r="B376" i="40"/>
  <c r="B506" i="40"/>
  <c r="B471" i="40"/>
  <c r="B547" i="40"/>
  <c r="B520" i="40"/>
  <c r="B584" i="40"/>
  <c r="B556" i="40"/>
  <c r="C64" i="37" s="1"/>
  <c r="B608" i="40"/>
  <c r="C67" i="37" s="1"/>
  <c r="B674" i="40"/>
  <c r="C63" i="37" s="1"/>
  <c r="B676" i="40"/>
  <c r="C66" i="37" s="1"/>
  <c r="B441" i="40"/>
  <c r="B563" i="40"/>
  <c r="B546" i="40"/>
  <c r="B620" i="40"/>
  <c r="B601" i="40"/>
  <c r="B640" i="40"/>
  <c r="B630" i="40"/>
  <c r="B654" i="40"/>
  <c r="B180" i="40"/>
  <c r="B143" i="40"/>
  <c r="C49" i="37" s="1"/>
  <c r="B298" i="40"/>
  <c r="B259" i="40"/>
  <c r="C49" i="74" s="1"/>
  <c r="B359" i="40"/>
  <c r="B327" i="40"/>
  <c r="C50" i="74" s="1"/>
  <c r="B443" i="40"/>
  <c r="B422" i="40"/>
  <c r="C52" i="37" s="1"/>
  <c r="B347" i="40"/>
  <c r="B477" i="40"/>
  <c r="B444" i="40"/>
  <c r="B565" i="40"/>
  <c r="B540" i="40"/>
  <c r="B594" i="40"/>
  <c r="B581" i="40"/>
  <c r="B617" i="40"/>
  <c r="B12" i="40"/>
  <c r="B47" i="40"/>
  <c r="B52" i="40"/>
  <c r="B26" i="40"/>
  <c r="B82" i="40"/>
  <c r="B92" i="40"/>
  <c r="B37" i="40"/>
  <c r="B126" i="40"/>
  <c r="B54" i="40"/>
  <c r="B845" i="40"/>
  <c r="B383" i="40"/>
  <c r="E765" i="1" s="1"/>
  <c r="B365" i="40"/>
  <c r="B386" i="40"/>
  <c r="E662" i="1" s="1"/>
  <c r="B366" i="40"/>
  <c r="E661" i="1" s="1"/>
  <c r="B367" i="40"/>
  <c r="B93" i="40"/>
  <c r="B65" i="40"/>
  <c r="B33" i="57" s="1"/>
  <c r="B50" i="40"/>
  <c r="B34" i="57" s="1"/>
  <c r="B290" i="40"/>
  <c r="B262" i="40"/>
  <c r="B211" i="40"/>
  <c r="B144" i="40"/>
  <c r="B36" i="57" s="1"/>
  <c r="B128" i="40"/>
  <c r="B37" i="57" s="1"/>
  <c r="B315" i="40"/>
  <c r="B316" i="40"/>
  <c r="B533" i="40"/>
  <c r="B491" i="40"/>
  <c r="B659" i="40"/>
  <c r="B544" i="40"/>
  <c r="B615" i="40"/>
  <c r="B212" i="40"/>
  <c r="B168" i="40"/>
  <c r="B479" i="40"/>
  <c r="B48" i="40"/>
  <c r="B545" i="40"/>
  <c r="F424" i="1" s="1"/>
  <c r="B500" i="40"/>
  <c r="E332" i="1" s="1"/>
  <c r="B224" i="40"/>
  <c r="B171" i="40"/>
  <c r="C46" i="72" s="1"/>
  <c r="B172" i="40"/>
  <c r="B572" i="40"/>
  <c r="E398" i="1" s="1"/>
  <c r="B846" i="40"/>
  <c r="E397" i="1" s="1"/>
  <c r="B522" i="40"/>
  <c r="E416" i="1" s="1"/>
  <c r="B480" i="40"/>
  <c r="F415" i="1" s="1"/>
  <c r="B496" i="40"/>
  <c r="F419" i="1" s="1"/>
  <c r="B550" i="40"/>
  <c r="F420" i="1" s="1"/>
  <c r="B537" i="40"/>
  <c r="C47" i="72" s="1"/>
  <c r="B170" i="40"/>
  <c r="E429" i="1" s="1"/>
  <c r="B215" i="40"/>
  <c r="E430" i="1" s="1"/>
  <c r="B267" i="40"/>
  <c r="B227" i="40"/>
  <c r="B847" i="40"/>
  <c r="E514" i="1" s="1"/>
  <c r="B271" i="40"/>
  <c r="E513" i="1" s="1"/>
  <c r="B503" i="40"/>
  <c r="B462" i="40"/>
  <c r="B848" i="40"/>
  <c r="B418" i="40"/>
  <c r="B330" i="40"/>
  <c r="B675" i="40"/>
  <c r="B96" i="40"/>
  <c r="B268" i="40"/>
  <c r="F573" i="1" s="1"/>
  <c r="B263" i="40"/>
  <c r="F571" i="1" s="1"/>
  <c r="B264" i="40"/>
  <c r="E572" i="1" s="1"/>
  <c r="B152" i="40"/>
  <c r="E580" i="1" s="1"/>
  <c r="B133" i="40"/>
  <c r="F579" i="1" s="1"/>
  <c r="B127" i="40"/>
  <c r="B58" i="40"/>
  <c r="B44" i="40"/>
  <c r="B360" i="40"/>
  <c r="B342" i="40"/>
  <c r="B38" i="40"/>
  <c r="B77" i="40"/>
  <c r="B145" i="40"/>
  <c r="B114" i="40"/>
  <c r="F578" i="1" s="1"/>
  <c r="B100" i="40"/>
  <c r="F569" i="1" s="1"/>
  <c r="B69" i="40"/>
  <c r="F568" i="1" s="1"/>
  <c r="B101" i="40"/>
  <c r="F570" i="1" s="1"/>
  <c r="B504" i="40"/>
  <c r="B481" i="40"/>
  <c r="C33" i="37" s="1"/>
  <c r="B850" i="40"/>
  <c r="E526" i="1" s="1"/>
  <c r="B302" i="40"/>
  <c r="F524" i="1" s="1"/>
  <c r="B505" i="40"/>
  <c r="B482" i="40"/>
  <c r="C33" i="74" s="1"/>
  <c r="B408" i="40"/>
  <c r="E493" i="1" s="1"/>
  <c r="B385" i="40"/>
  <c r="F492" i="1" s="1"/>
  <c r="B397" i="40"/>
  <c r="B153" i="40"/>
  <c r="B265" i="40"/>
  <c r="B219" i="40"/>
  <c r="B412" i="40"/>
  <c r="B372" i="40"/>
  <c r="B344" i="40"/>
  <c r="B321" i="40"/>
  <c r="B445" i="40"/>
  <c r="B421" i="40"/>
  <c r="B524" i="40"/>
  <c r="B499" i="40"/>
  <c r="B598" i="40"/>
  <c r="B586" i="40"/>
  <c r="B95" i="40"/>
  <c r="B463" i="40"/>
  <c r="B436" i="40"/>
  <c r="B107" i="40"/>
  <c r="B229" i="40"/>
  <c r="B194" i="40"/>
  <c r="B162" i="40"/>
  <c r="B137" i="40"/>
  <c r="B272" i="40"/>
  <c r="B232" i="40"/>
  <c r="B353" i="40"/>
  <c r="B332" i="40"/>
  <c r="B11" i="40"/>
  <c r="B10" i="40"/>
  <c r="C45" i="53" s="1"/>
  <c r="B377" i="40"/>
  <c r="B364" i="40"/>
  <c r="B13" i="57" s="1"/>
  <c r="B464" i="40"/>
  <c r="B450" i="40"/>
  <c r="B14" i="57" s="1"/>
  <c r="B527" i="40"/>
  <c r="B514" i="40"/>
  <c r="B15" i="57" s="1"/>
  <c r="B627" i="40"/>
  <c r="B182" i="40"/>
  <c r="B851" i="40"/>
  <c r="B49" i="40"/>
  <c r="B27" i="57" s="1"/>
  <c r="B852" i="40"/>
  <c r="B85" i="40"/>
  <c r="B28" i="57" s="1"/>
  <c r="B853" i="40"/>
  <c r="B854" i="40"/>
  <c r="B29" i="57" s="1"/>
  <c r="B855" i="40"/>
  <c r="F394" i="1" s="1"/>
  <c r="B856" i="40"/>
  <c r="E388" i="1" s="1"/>
  <c r="B857" i="40"/>
  <c r="B858" i="40"/>
  <c r="F382" i="1" s="1"/>
  <c r="B425" i="40"/>
  <c r="B859" i="40"/>
  <c r="F370" i="1" s="1"/>
  <c r="B860" i="40"/>
  <c r="F372" i="1" s="1"/>
  <c r="B861" i="40"/>
  <c r="F395" i="1" s="1"/>
  <c r="B862" i="40"/>
  <c r="B863" i="40"/>
  <c r="E383" i="1" s="1"/>
  <c r="B864" i="40"/>
  <c r="E373" i="1" s="1"/>
  <c r="B417" i="40"/>
  <c r="E375" i="1" s="1"/>
  <c r="B865" i="40"/>
  <c r="E389" i="1" s="1"/>
  <c r="B866" i="40"/>
  <c r="E396" i="1" s="1"/>
  <c r="B867" i="40"/>
  <c r="F390" i="1" s="1"/>
  <c r="B868" i="40"/>
  <c r="F377" i="1" s="1"/>
  <c r="B869" i="40"/>
  <c r="F384" i="1" s="1"/>
  <c r="B567" i="40"/>
  <c r="F387" i="1" s="1"/>
  <c r="B870" i="40"/>
  <c r="F376" i="1" s="1"/>
  <c r="B871" i="40"/>
  <c r="B214" i="40"/>
  <c r="F440" i="1" s="1"/>
  <c r="B201" i="40"/>
  <c r="F437" i="1" s="1"/>
  <c r="B409" i="40"/>
  <c r="B368" i="40"/>
  <c r="B308" i="40"/>
  <c r="B295" i="40"/>
  <c r="F438" i="1" s="1"/>
  <c r="B872" i="40"/>
  <c r="B873" i="40"/>
  <c r="F439" i="1" s="1"/>
  <c r="B874" i="40"/>
  <c r="E453" i="1" s="1"/>
  <c r="B875" i="40"/>
  <c r="E444" i="1" s="1"/>
  <c r="B876" i="40"/>
  <c r="B877" i="40"/>
  <c r="B878" i="40"/>
  <c r="F454" i="1" s="1"/>
  <c r="B879" i="40"/>
  <c r="F445" i="1" s="1"/>
  <c r="B880" i="40"/>
  <c r="E455" i="1" s="1"/>
  <c r="B881" i="40"/>
  <c r="E446" i="1" s="1"/>
  <c r="B63" i="40"/>
  <c r="B30" i="40"/>
  <c r="B72" i="40"/>
  <c r="C30" i="81" s="1"/>
  <c r="B882" i="40"/>
  <c r="B33" i="40"/>
  <c r="B53" i="40"/>
  <c r="B883" i="40"/>
  <c r="C34" i="55" s="1"/>
  <c r="B884" i="40"/>
  <c r="B32" i="40"/>
  <c r="B99" i="40"/>
  <c r="B216" i="40"/>
  <c r="B886" i="40"/>
  <c r="B887" i="40"/>
  <c r="B888" i="40"/>
  <c r="B260" i="40"/>
  <c r="E549" i="1" s="1"/>
  <c r="B230" i="40"/>
  <c r="E548" i="1" s="1"/>
  <c r="B213" i="40"/>
  <c r="B190" i="40"/>
  <c r="B183" i="40"/>
  <c r="B175" i="40"/>
  <c r="B292" i="40"/>
  <c r="B184" i="40"/>
  <c r="B191" i="40"/>
  <c r="B424" i="40"/>
  <c r="E463" i="1" s="1"/>
  <c r="B430" i="40"/>
  <c r="B338" i="40"/>
  <c r="F459" i="1" s="1"/>
  <c r="B431" i="40"/>
  <c r="E460" i="1" s="1"/>
  <c r="B416" i="40"/>
  <c r="F461" i="1" s="1"/>
  <c r="B339" i="40"/>
  <c r="F457" i="1" s="1"/>
  <c r="B340" i="40"/>
  <c r="B356" i="40"/>
  <c r="B889" i="40"/>
  <c r="B328" i="40"/>
  <c r="B301" i="40"/>
  <c r="B890" i="40"/>
  <c r="F547" i="1" s="1"/>
  <c r="B891" i="40"/>
  <c r="F542" i="1" s="1"/>
  <c r="B892" i="40"/>
  <c r="F538" i="1" s="1"/>
  <c r="B893" i="40"/>
  <c r="F540" i="1" s="1"/>
  <c r="B894" i="40"/>
  <c r="B895" i="40"/>
  <c r="F537" i="1" s="1"/>
  <c r="B896" i="40"/>
  <c r="E539" i="1" s="1"/>
  <c r="B518" i="40"/>
  <c r="E474" i="1" s="1"/>
  <c r="B495" i="40"/>
  <c r="F470" i="1" s="1"/>
  <c r="B466" i="40"/>
  <c r="E468" i="1" s="1"/>
  <c r="B897" i="40"/>
  <c r="E480" i="1" s="1"/>
  <c r="B285" i="40"/>
  <c r="F477" i="1" s="1"/>
  <c r="B898" i="40"/>
  <c r="B434" i="40"/>
  <c r="E481" i="1" s="1"/>
  <c r="B261" i="40"/>
  <c r="B186" i="40"/>
  <c r="E558" i="1" s="1"/>
  <c r="C821" i="40"/>
  <c r="C820" i="40"/>
  <c r="C337" i="40"/>
  <c r="C310" i="40"/>
  <c r="C389" i="40"/>
  <c r="C274" i="40"/>
  <c r="C402" i="40"/>
  <c r="C727" i="40"/>
  <c r="C375" i="40"/>
  <c r="C728" i="40"/>
  <c r="C150" i="40"/>
  <c r="C291" i="40"/>
  <c r="C233" i="40"/>
  <c r="C376" i="40"/>
  <c r="C173" i="40"/>
  <c r="C506" i="40"/>
  <c r="C725" i="40"/>
  <c r="C726" i="40"/>
  <c r="C186" i="40"/>
  <c r="C261" i="40"/>
  <c r="C898" i="40"/>
  <c r="C434" i="40"/>
  <c r="M4" i="72"/>
  <c r="M5" i="72"/>
  <c r="F73" i="42"/>
  <c r="T15" i="77"/>
  <c r="F2" i="57"/>
  <c r="G23" i="61"/>
  <c r="G23" i="62"/>
  <c r="G23" i="58"/>
  <c r="G23" i="46"/>
  <c r="G21" i="47"/>
  <c r="G21" i="48"/>
  <c r="G23" i="34"/>
  <c r="G22" i="44"/>
  <c r="G23" i="70"/>
  <c r="G23" i="20"/>
  <c r="G23" i="17"/>
  <c r="G23" i="19"/>
  <c r="G23" i="18"/>
  <c r="G24" i="8"/>
  <c r="G23" i="56"/>
  <c r="G25" i="74"/>
  <c r="G25" i="37"/>
  <c r="G28" i="53"/>
  <c r="G29" i="51"/>
  <c r="G28" i="55"/>
  <c r="G26" i="7"/>
  <c r="G26" i="54"/>
  <c r="G26" i="5"/>
  <c r="G26" i="6"/>
  <c r="G26" i="71"/>
  <c r="G26" i="31"/>
  <c r="G26" i="30"/>
  <c r="G26" i="4"/>
  <c r="G26" i="3"/>
  <c r="E314" i="1"/>
  <c r="E316" i="1"/>
  <c r="D30" i="61"/>
  <c r="J30" i="61" s="1"/>
  <c r="D29" i="61"/>
  <c r="J29" i="61" s="1"/>
  <c r="B24" i="61"/>
  <c r="P7" i="61"/>
  <c r="O7" i="61"/>
  <c r="O8" i="61"/>
  <c r="O5" i="61" s="1"/>
  <c r="C7" i="61"/>
  <c r="C8" i="61"/>
  <c r="B6" i="61"/>
  <c r="O4" i="61"/>
  <c r="D30" i="62"/>
  <c r="J30" i="62" s="1"/>
  <c r="D29" i="62"/>
  <c r="J29" i="62" s="1"/>
  <c r="B24" i="62"/>
  <c r="O7" i="62"/>
  <c r="C7" i="62"/>
  <c r="C8" i="62" s="1"/>
  <c r="B6" i="62"/>
  <c r="O4" i="62"/>
  <c r="B24" i="58"/>
  <c r="C9" i="58"/>
  <c r="C7" i="58"/>
  <c r="C8" i="58" s="1"/>
  <c r="B10" i="58"/>
  <c r="J31" i="46"/>
  <c r="D29" i="46"/>
  <c r="J29" i="46" s="1"/>
  <c r="D28" i="46"/>
  <c r="J28" i="46" s="1"/>
  <c r="B24" i="46"/>
  <c r="P7" i="46"/>
  <c r="C7" i="46"/>
  <c r="C8" i="46" s="1"/>
  <c r="B8" i="46"/>
  <c r="J29" i="47"/>
  <c r="D27" i="47"/>
  <c r="J27" i="47" s="1"/>
  <c r="D26" i="47"/>
  <c r="J26" i="47" s="1"/>
  <c r="B22" i="47"/>
  <c r="C7" i="47"/>
  <c r="C8" i="47" s="1"/>
  <c r="B6" i="47"/>
  <c r="J30" i="48"/>
  <c r="D28" i="48"/>
  <c r="J28" i="48" s="1"/>
  <c r="D27" i="48"/>
  <c r="J27" i="48" s="1"/>
  <c r="P7" i="48"/>
  <c r="C7" i="48"/>
  <c r="C8" i="48" s="1"/>
  <c r="B8" i="48"/>
  <c r="B9" i="48"/>
  <c r="D29" i="48"/>
  <c r="J29" i="48" s="1"/>
  <c r="B6" i="48"/>
  <c r="J32" i="34"/>
  <c r="D30" i="34"/>
  <c r="J30" i="34" s="1"/>
  <c r="B24" i="34"/>
  <c r="P7" i="34"/>
  <c r="C7" i="34"/>
  <c r="C8" i="34" s="1"/>
  <c r="B8" i="34"/>
  <c r="B6" i="34"/>
  <c r="J31" i="44"/>
  <c r="D29" i="44"/>
  <c r="J29" i="44" s="1"/>
  <c r="D28" i="44"/>
  <c r="J28" i="44" s="1"/>
  <c r="C7" i="44"/>
  <c r="C8" i="44"/>
  <c r="B6" i="44"/>
  <c r="D30" i="33"/>
  <c r="J30" i="33" s="1"/>
  <c r="D29" i="33"/>
  <c r="J29" i="33" s="1"/>
  <c r="C7" i="33"/>
  <c r="C8" i="33" s="1"/>
  <c r="B8" i="33"/>
  <c r="B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O7" i="70"/>
  <c r="B6" i="70"/>
  <c r="J32" i="20"/>
  <c r="D30" i="20"/>
  <c r="J30" i="20" s="1"/>
  <c r="O7" i="20"/>
  <c r="N7" i="20"/>
  <c r="N8" i="20"/>
  <c r="C7" i="20"/>
  <c r="C8" i="20"/>
  <c r="B8" i="20"/>
  <c r="B9" i="20"/>
  <c r="D31" i="20"/>
  <c r="B6" i="20"/>
  <c r="J32" i="17"/>
  <c r="D30" i="17"/>
  <c r="J30" i="17" s="1"/>
  <c r="P7" i="17"/>
  <c r="O7" i="17"/>
  <c r="O8" i="17"/>
  <c r="C7" i="17"/>
  <c r="C8" i="17"/>
  <c r="B6" i="17"/>
  <c r="K32" i="19"/>
  <c r="D30" i="19"/>
  <c r="K30" i="19" s="1"/>
  <c r="D29" i="19"/>
  <c r="K29" i="19" s="1"/>
  <c r="P7" i="19"/>
  <c r="O7" i="19"/>
  <c r="O8" i="19"/>
  <c r="C7" i="19"/>
  <c r="C8" i="19" s="1"/>
  <c r="B8" i="19"/>
  <c r="K32" i="18"/>
  <c r="D30" i="18"/>
  <c r="K30" i="18" s="1"/>
  <c r="D29" i="18"/>
  <c r="P7" i="18"/>
  <c r="O7" i="18"/>
  <c r="O8" i="18" s="1"/>
  <c r="C7" i="18"/>
  <c r="C8" i="18" s="1"/>
  <c r="B6" i="18"/>
  <c r="D31" i="8"/>
  <c r="J31" i="8" s="1"/>
  <c r="D30" i="8"/>
  <c r="B25" i="8"/>
  <c r="B22" i="48"/>
  <c r="P7" i="8"/>
  <c r="O7" i="8"/>
  <c r="O8" i="8"/>
  <c r="C7" i="8"/>
  <c r="C8" i="8" s="1"/>
  <c r="B8" i="8"/>
  <c r="B9" i="8"/>
  <c r="J298" i="56"/>
  <c r="C298" i="56"/>
  <c r="B24" i="56"/>
  <c r="C7" i="56"/>
  <c r="C8" i="56" s="1"/>
  <c r="J56" i="74"/>
  <c r="J37" i="74"/>
  <c r="D36" i="74"/>
  <c r="J36" i="74" s="1"/>
  <c r="D32" i="74"/>
  <c r="J32" i="74" s="1"/>
  <c r="J40" i="74"/>
  <c r="D31" i="74"/>
  <c r="J31" i="74" s="1"/>
  <c r="D30" i="74"/>
  <c r="J30" i="74" s="1"/>
  <c r="B26" i="74"/>
  <c r="O7" i="74"/>
  <c r="N7" i="74"/>
  <c r="N8" i="74"/>
  <c r="C7" i="74"/>
  <c r="C11" i="74"/>
  <c r="B8" i="74"/>
  <c r="B9" i="74"/>
  <c r="B6" i="74"/>
  <c r="J67" i="37"/>
  <c r="J66" i="37"/>
  <c r="J65" i="37"/>
  <c r="J64" i="37"/>
  <c r="J63" i="37"/>
  <c r="J62" i="37"/>
  <c r="J61" i="37"/>
  <c r="J60" i="37"/>
  <c r="J57" i="37"/>
  <c r="J53" i="37"/>
  <c r="J52" i="37"/>
  <c r="J51" i="37"/>
  <c r="J50" i="37"/>
  <c r="J49" i="37"/>
  <c r="J37" i="37"/>
  <c r="D36" i="37"/>
  <c r="J36" i="37" s="1"/>
  <c r="D32" i="37"/>
  <c r="J32" i="37" s="1"/>
  <c r="D31" i="37"/>
  <c r="J31" i="37" s="1"/>
  <c r="D30" i="37"/>
  <c r="J30" i="37" s="1"/>
  <c r="B26" i="37"/>
  <c r="O7" i="37"/>
  <c r="N7" i="37"/>
  <c r="N8" i="37" s="1"/>
  <c r="C7" i="37"/>
  <c r="C8" i="37" s="1"/>
  <c r="B8" i="37"/>
  <c r="B9" i="37" s="1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B29" i="53"/>
  <c r="C11" i="53"/>
  <c r="O10" i="53"/>
  <c r="L9" i="53"/>
  <c r="N4" i="53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B30" i="51"/>
  <c r="C11" i="51"/>
  <c r="O10" i="51"/>
  <c r="L9" i="51"/>
  <c r="O7" i="51"/>
  <c r="K29" i="51"/>
  <c r="C7" i="51"/>
  <c r="C8" i="51" s="1"/>
  <c r="C9" i="51" s="1"/>
  <c r="B6" i="51"/>
  <c r="N4" i="51"/>
  <c r="N5" i="51"/>
  <c r="J63" i="55"/>
  <c r="J62" i="55"/>
  <c r="J61" i="55"/>
  <c r="J60" i="55"/>
  <c r="J59" i="55"/>
  <c r="J58" i="55"/>
  <c r="J56" i="55"/>
  <c r="J49" i="55"/>
  <c r="J48" i="55"/>
  <c r="J47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B29" i="55"/>
  <c r="C11" i="55"/>
  <c r="O10" i="55"/>
  <c r="L9" i="55"/>
  <c r="O7" i="55"/>
  <c r="K26" i="55" s="1"/>
  <c r="C7" i="55"/>
  <c r="C8" i="55" s="1"/>
  <c r="C9" i="55" s="1"/>
  <c r="B12" i="55"/>
  <c r="D36" i="55"/>
  <c r="N4" i="55"/>
  <c r="N5" i="55"/>
  <c r="A67" i="7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B27" i="7"/>
  <c r="C11" i="7"/>
  <c r="O10" i="7"/>
  <c r="L9" i="7"/>
  <c r="O7" i="7"/>
  <c r="N4" i="7"/>
  <c r="N5" i="7"/>
  <c r="A66" i="54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B27" i="54"/>
  <c r="C11" i="54"/>
  <c r="O10" i="54"/>
  <c r="L9" i="54"/>
  <c r="O7" i="54"/>
  <c r="K24" i="54"/>
  <c r="C7" i="54"/>
  <c r="C8" i="54" s="1"/>
  <c r="C9" i="54" s="1"/>
  <c r="B12" i="54"/>
  <c r="D34" i="54"/>
  <c r="N4" i="54"/>
  <c r="N5" i="54"/>
  <c r="A65" i="5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5"/>
  <c r="B27" i="71"/>
  <c r="C11" i="5"/>
  <c r="P10" i="5"/>
  <c r="M9" i="5"/>
  <c r="P7" i="5"/>
  <c r="C7" i="5"/>
  <c r="C8" i="5"/>
  <c r="C9" i="5" s="1"/>
  <c r="A65" i="6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C11" i="6"/>
  <c r="P10" i="6"/>
  <c r="M9" i="6"/>
  <c r="B8" i="6"/>
  <c r="B9" i="6"/>
  <c r="P7" i="6"/>
  <c r="C7" i="6"/>
  <c r="C10" i="6"/>
  <c r="B12" i="6"/>
  <c r="D34" i="6"/>
  <c r="A66" i="7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C11" i="71"/>
  <c r="P10" i="71"/>
  <c r="M9" i="71"/>
  <c r="P7" i="71"/>
  <c r="C7" i="71"/>
  <c r="C10" i="71"/>
  <c r="L9" i="71"/>
  <c r="L11" i="71" s="1"/>
  <c r="B12" i="71"/>
  <c r="D34" i="71"/>
  <c r="B6" i="71"/>
  <c r="A67" i="3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C11" i="31"/>
  <c r="P10" i="31"/>
  <c r="M9" i="31"/>
  <c r="C7" i="31"/>
  <c r="C8" i="31" s="1"/>
  <c r="C9" i="31" s="1"/>
  <c r="B8" i="31"/>
  <c r="B9" i="31" s="1"/>
  <c r="A66" i="30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C11" i="30"/>
  <c r="P10" i="30"/>
  <c r="M9" i="30"/>
  <c r="P7" i="30"/>
  <c r="L25" i="30" s="1"/>
  <c r="C7" i="30"/>
  <c r="C10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C11" i="4"/>
  <c r="P10" i="4"/>
  <c r="M9" i="4"/>
  <c r="L26" i="4"/>
  <c r="C7" i="4"/>
  <c r="C10" i="4" s="1"/>
  <c r="B12" i="4"/>
  <c r="D34" i="4"/>
  <c r="A65" i="3"/>
  <c r="K64" i="3"/>
  <c r="K63" i="3"/>
  <c r="K61" i="3"/>
  <c r="K60" i="3"/>
  <c r="K59" i="3"/>
  <c r="K55" i="3"/>
  <c r="K53" i="3"/>
  <c r="K52" i="3"/>
  <c r="K51" i="3"/>
  <c r="D35" i="3"/>
  <c r="K35" i="3" s="1"/>
  <c r="D33" i="3"/>
  <c r="K33" i="3" s="1"/>
  <c r="K43" i="3"/>
  <c r="D32" i="3"/>
  <c r="K32" i="3" s="1"/>
  <c r="D31" i="3"/>
  <c r="K31" i="3" s="1"/>
  <c r="C11" i="3"/>
  <c r="P10" i="3"/>
  <c r="M9" i="3"/>
  <c r="P7" i="3"/>
  <c r="L25" i="3" s="1"/>
  <c r="C7" i="3"/>
  <c r="C10" i="3" s="1"/>
  <c r="B8" i="3"/>
  <c r="B9" i="3"/>
  <c r="S5" i="3"/>
  <c r="J60" i="72"/>
  <c r="D36" i="72"/>
  <c r="J36" i="72" s="1"/>
  <c r="D34" i="72"/>
  <c r="J34" i="72" s="1"/>
  <c r="D33" i="72"/>
  <c r="D32" i="72"/>
  <c r="J32" i="72" s="1"/>
  <c r="O10" i="72"/>
  <c r="C10" i="72"/>
  <c r="L9" i="72"/>
  <c r="K25" i="72"/>
  <c r="C7" i="72"/>
  <c r="C8" i="72" s="1"/>
  <c r="B11" i="72"/>
  <c r="D35" i="72"/>
  <c r="R5" i="72"/>
  <c r="C317" i="77"/>
  <c r="I316" i="77"/>
  <c r="U15" i="77"/>
  <c r="G27" i="72"/>
  <c r="E753" i="1"/>
  <c r="G664" i="1"/>
  <c r="G663" i="1"/>
  <c r="G658" i="1"/>
  <c r="G657" i="1"/>
  <c r="G653" i="1"/>
  <c r="G652" i="1"/>
  <c r="G646" i="1"/>
  <c r="G643" i="1"/>
  <c r="G642" i="1"/>
  <c r="F641" i="1"/>
  <c r="G634" i="1"/>
  <c r="G633" i="1"/>
  <c r="G632" i="1"/>
  <c r="E627" i="1"/>
  <c r="G623" i="1"/>
  <c r="G622" i="1"/>
  <c r="G621" i="1"/>
  <c r="G619" i="1"/>
  <c r="G618" i="1"/>
  <c r="G611" i="1"/>
  <c r="G610" i="1"/>
  <c r="G601" i="1"/>
  <c r="G600" i="1"/>
  <c r="G599" i="1"/>
  <c r="G591" i="1"/>
  <c r="G590" i="1"/>
  <c r="G589" i="1"/>
  <c r="F588" i="1"/>
  <c r="G586" i="1"/>
  <c r="G580" i="1"/>
  <c r="G579" i="1"/>
  <c r="G570" i="1"/>
  <c r="G569" i="1"/>
  <c r="G568" i="1"/>
  <c r="G558" i="1"/>
  <c r="F557" i="1"/>
  <c r="G550" i="1"/>
  <c r="G549" i="1"/>
  <c r="G548" i="1"/>
  <c r="G539" i="1"/>
  <c r="G538" i="1"/>
  <c r="G537" i="1"/>
  <c r="G503" i="1"/>
  <c r="G502" i="1"/>
  <c r="G496" i="1"/>
  <c r="G495" i="1"/>
  <c r="G494" i="1"/>
  <c r="G493" i="1"/>
  <c r="G492" i="1"/>
  <c r="G491" i="1"/>
  <c r="G490" i="1"/>
  <c r="G487" i="1"/>
  <c r="G485" i="1"/>
  <c r="F473" i="1"/>
  <c r="E472" i="1"/>
  <c r="G470" i="1"/>
  <c r="G468" i="1"/>
  <c r="G459" i="1"/>
  <c r="G458" i="1"/>
  <c r="G457" i="1"/>
  <c r="G456" i="1"/>
  <c r="F443" i="1"/>
  <c r="G436" i="1"/>
  <c r="I430" i="1"/>
  <c r="I426" i="1"/>
  <c r="C426" i="1"/>
  <c r="C425" i="1"/>
  <c r="I424" i="1"/>
  <c r="C424" i="1"/>
  <c r="C423" i="1"/>
  <c r="G387" i="1"/>
  <c r="G385" i="1"/>
  <c r="G382" i="1"/>
  <c r="G377" i="1"/>
  <c r="G374" i="1"/>
  <c r="G373" i="1"/>
  <c r="G372" i="1"/>
  <c r="G371" i="1"/>
  <c r="G370" i="1"/>
  <c r="G369" i="1"/>
  <c r="G368" i="1"/>
  <c r="G347" i="1"/>
  <c r="G325" i="1"/>
  <c r="G324" i="1"/>
  <c r="G323" i="1"/>
  <c r="G322" i="1"/>
  <c r="G321" i="1"/>
  <c r="G320" i="1"/>
  <c r="G313" i="1"/>
  <c r="G312" i="1"/>
  <c r="G311" i="1"/>
  <c r="G310" i="1"/>
  <c r="G308" i="1"/>
  <c r="G306" i="1"/>
  <c r="G304" i="1"/>
  <c r="G303" i="1"/>
  <c r="G301" i="1"/>
  <c r="G300" i="1"/>
  <c r="G113" i="1"/>
  <c r="G112" i="1"/>
  <c r="G111" i="1"/>
  <c r="G110" i="1"/>
  <c r="G108" i="1"/>
  <c r="G107" i="1"/>
  <c r="F299" i="1"/>
  <c r="G282" i="1"/>
  <c r="G214" i="1"/>
  <c r="G213" i="1"/>
  <c r="G212" i="1"/>
  <c r="G211" i="1"/>
  <c r="G204" i="1"/>
  <c r="G203" i="1"/>
  <c r="G202" i="1"/>
  <c r="G201" i="1"/>
  <c r="G199" i="1"/>
  <c r="G198" i="1"/>
  <c r="G197" i="1"/>
  <c r="G196" i="1"/>
  <c r="G195" i="1"/>
  <c r="L10" i="1"/>
  <c r="K10" i="1"/>
  <c r="N9" i="1"/>
  <c r="M9" i="1"/>
  <c r="L9" i="1"/>
  <c r="N8" i="1"/>
  <c r="M8" i="1"/>
  <c r="L8" i="1"/>
  <c r="N7" i="1"/>
  <c r="G6" i="1"/>
  <c r="G5" i="1"/>
  <c r="N4" i="1"/>
  <c r="G4" i="1"/>
  <c r="A15" i="78"/>
  <c r="C285" i="40"/>
  <c r="C897" i="40"/>
  <c r="C466" i="40"/>
  <c r="C495" i="40"/>
  <c r="C518" i="40"/>
  <c r="C896" i="40"/>
  <c r="C895" i="40"/>
  <c r="C894" i="40"/>
  <c r="C893" i="40"/>
  <c r="C892" i="40"/>
  <c r="C891" i="40"/>
  <c r="C890" i="40"/>
  <c r="C301" i="40"/>
  <c r="C328" i="40"/>
  <c r="C889" i="40"/>
  <c r="C356" i="40"/>
  <c r="C340" i="40"/>
  <c r="C339" i="40"/>
  <c r="C416" i="40"/>
  <c r="C431" i="40"/>
  <c r="C338" i="40"/>
  <c r="C430" i="40"/>
  <c r="C424" i="40"/>
  <c r="C191" i="40"/>
  <c r="C184" i="40"/>
  <c r="C292" i="40"/>
  <c r="C175" i="40"/>
  <c r="C183" i="40"/>
  <c r="C190" i="40"/>
  <c r="C213" i="40"/>
  <c r="C230" i="40"/>
  <c r="C260" i="40"/>
  <c r="C888" i="40"/>
  <c r="C887" i="40"/>
  <c r="C886" i="40"/>
  <c r="C216" i="40"/>
  <c r="C885" i="40"/>
  <c r="C99" i="40"/>
  <c r="C32" i="40"/>
  <c r="C134" i="40"/>
  <c r="E32" i="85" s="1"/>
  <c r="C884" i="40"/>
  <c r="C883" i="40"/>
  <c r="E34" i="55" s="1"/>
  <c r="F34" i="55" s="1"/>
  <c r="G34" i="55" s="1"/>
  <c r="C53" i="40"/>
  <c r="C33" i="40"/>
  <c r="C882" i="40"/>
  <c r="C72" i="40"/>
  <c r="E30" i="81" s="1"/>
  <c r="C30" i="40"/>
  <c r="C63" i="40"/>
  <c r="C881" i="40"/>
  <c r="C880" i="40"/>
  <c r="C879" i="40"/>
  <c r="C878" i="40"/>
  <c r="C877" i="40"/>
  <c r="C876" i="40"/>
  <c r="C875" i="40"/>
  <c r="C874" i="40"/>
  <c r="C873" i="40"/>
  <c r="C872" i="40"/>
  <c r="C295" i="40"/>
  <c r="C308" i="40"/>
  <c r="C368" i="40"/>
  <c r="C409" i="40"/>
  <c r="C201" i="40"/>
  <c r="C214" i="40"/>
  <c r="C871" i="40"/>
  <c r="C870" i="40"/>
  <c r="C567" i="40"/>
  <c r="C869" i="40"/>
  <c r="C868" i="40"/>
  <c r="C867" i="40"/>
  <c r="C866" i="40"/>
  <c r="C865" i="40"/>
  <c r="C417" i="40"/>
  <c r="C864" i="40"/>
  <c r="C863" i="40"/>
  <c r="C862" i="40"/>
  <c r="C861" i="40"/>
  <c r="C860" i="40"/>
  <c r="C859" i="40"/>
  <c r="C425" i="40"/>
  <c r="C858" i="40"/>
  <c r="C857" i="40"/>
  <c r="C856" i="40"/>
  <c r="C855" i="40"/>
  <c r="C854" i="40"/>
  <c r="D29" i="57" s="1"/>
  <c r="E29" i="57" s="1"/>
  <c r="F29" i="57" s="1"/>
  <c r="C853" i="40"/>
  <c r="C85" i="40"/>
  <c r="D28" i="57" s="1"/>
  <c r="E28" i="57" s="1"/>
  <c r="F28" i="57" s="1"/>
  <c r="C852" i="40"/>
  <c r="C49" i="40"/>
  <c r="D27" i="57" s="1"/>
  <c r="E27" i="57" s="1"/>
  <c r="F27" i="57" s="1"/>
  <c r="C851" i="40"/>
  <c r="C182" i="40"/>
  <c r="C627" i="40"/>
  <c r="C514" i="40"/>
  <c r="D15" i="57" s="1"/>
  <c r="E15" i="57" s="1"/>
  <c r="F15" i="57" s="1"/>
  <c r="C527" i="40"/>
  <c r="C450" i="40"/>
  <c r="D14" i="57" s="1"/>
  <c r="E14" i="57" s="1"/>
  <c r="F14" i="57" s="1"/>
  <c r="C464" i="40"/>
  <c r="C364" i="40"/>
  <c r="D13" i="57" s="1"/>
  <c r="E13" i="57" s="1"/>
  <c r="F13" i="57" s="1"/>
  <c r="C377" i="40"/>
  <c r="C10" i="40"/>
  <c r="E47" i="51" s="1"/>
  <c r="F47" i="51" s="1"/>
  <c r="G47" i="51" s="1"/>
  <c r="C11" i="40"/>
  <c r="C332" i="40"/>
  <c r="C353" i="40"/>
  <c r="C232" i="40"/>
  <c r="C272" i="40"/>
  <c r="C137" i="40"/>
  <c r="C162" i="40"/>
  <c r="C194" i="40"/>
  <c r="C229" i="40"/>
  <c r="C107" i="40"/>
  <c r="C436" i="40"/>
  <c r="C463" i="40"/>
  <c r="C95" i="40"/>
  <c r="C586" i="40"/>
  <c r="C598" i="40"/>
  <c r="C499" i="40"/>
  <c r="C524" i="40"/>
  <c r="C421" i="40"/>
  <c r="C445" i="40"/>
  <c r="C321" i="40"/>
  <c r="C344" i="40"/>
  <c r="C372" i="40"/>
  <c r="C412" i="40"/>
  <c r="C219" i="40"/>
  <c r="C265" i="40"/>
  <c r="C153" i="40"/>
  <c r="C397" i="40"/>
  <c r="C385" i="40"/>
  <c r="C408" i="40"/>
  <c r="C482" i="40"/>
  <c r="E33" i="74" s="1"/>
  <c r="C505" i="40"/>
  <c r="C302" i="40"/>
  <c r="C850" i="40"/>
  <c r="C849" i="40"/>
  <c r="E55" i="72" s="1"/>
  <c r="F55" i="72" s="1"/>
  <c r="G55" i="72" s="1"/>
  <c r="C481" i="40"/>
  <c r="E33" i="37" s="1"/>
  <c r="C504" i="40"/>
  <c r="C101" i="40"/>
  <c r="C69" i="40"/>
  <c r="C100" i="40"/>
  <c r="C114" i="40"/>
  <c r="C145" i="40"/>
  <c r="C77" i="40"/>
  <c r="C38" i="40"/>
  <c r="C342" i="40"/>
  <c r="C360" i="40"/>
  <c r="C44" i="40"/>
  <c r="C58" i="40"/>
  <c r="C127" i="40"/>
  <c r="C133" i="40"/>
  <c r="C152" i="40"/>
  <c r="C264" i="40"/>
  <c r="C263" i="40"/>
  <c r="C268" i="40"/>
  <c r="C96" i="40"/>
  <c r="C675" i="40"/>
  <c r="C330" i="40"/>
  <c r="C418" i="40"/>
  <c r="C848" i="40"/>
  <c r="C7" i="40"/>
  <c r="E43" i="7" s="1"/>
  <c r="F43" i="7" s="1"/>
  <c r="G43" i="7" s="1"/>
  <c r="C462" i="40"/>
  <c r="C503" i="40"/>
  <c r="C271" i="40"/>
  <c r="C847" i="40"/>
  <c r="C227" i="40"/>
  <c r="C267" i="40"/>
  <c r="C215" i="40"/>
  <c r="C170" i="40"/>
  <c r="C537" i="40"/>
  <c r="E47" i="72" s="1"/>
  <c r="F47" i="72" s="1"/>
  <c r="G47" i="72" s="1"/>
  <c r="C550" i="40"/>
  <c r="C496" i="40"/>
  <c r="C480" i="40"/>
  <c r="C522" i="40"/>
  <c r="C846" i="40"/>
  <c r="C572" i="40"/>
  <c r="C172" i="40"/>
  <c r="C171" i="40"/>
  <c r="E46" i="72" s="1"/>
  <c r="F46" i="72" s="1"/>
  <c r="G46" i="72" s="1"/>
  <c r="C224" i="40"/>
  <c r="E45" i="72" s="1"/>
  <c r="F45" i="72" s="1"/>
  <c r="G45" i="72" s="1"/>
  <c r="C500" i="40"/>
  <c r="C545" i="40"/>
  <c r="C48" i="40"/>
  <c r="C479" i="40"/>
  <c r="C168" i="40"/>
  <c r="C212" i="40"/>
  <c r="C615" i="40"/>
  <c r="C544" i="40"/>
  <c r="C659" i="40"/>
  <c r="C491" i="40"/>
  <c r="C533" i="40"/>
  <c r="C316" i="40"/>
  <c r="C315" i="40"/>
  <c r="C128" i="40"/>
  <c r="D37" i="57" s="1"/>
  <c r="E37" i="57" s="1"/>
  <c r="F37" i="57" s="1"/>
  <c r="C144" i="40"/>
  <c r="D36" i="57" s="1"/>
  <c r="E36" i="57" s="1"/>
  <c r="F36" i="57" s="1"/>
  <c r="C211" i="40"/>
  <c r="C262" i="40"/>
  <c r="C290" i="40"/>
  <c r="C50" i="40"/>
  <c r="D34" i="57" s="1"/>
  <c r="E34" i="57" s="1"/>
  <c r="F34" i="57" s="1"/>
  <c r="C65" i="40"/>
  <c r="D33" i="57" s="1"/>
  <c r="E33" i="57" s="1"/>
  <c r="F33" i="57" s="1"/>
  <c r="C93" i="40"/>
  <c r="C367" i="40"/>
  <c r="C366" i="40"/>
  <c r="C386" i="40"/>
  <c r="C365" i="40"/>
  <c r="C383" i="40"/>
  <c r="C845" i="40"/>
  <c r="C54" i="40"/>
  <c r="C126" i="40"/>
  <c r="C37" i="40"/>
  <c r="C92" i="40"/>
  <c r="C82" i="40"/>
  <c r="C26" i="40"/>
  <c r="C52" i="40"/>
  <c r="C47" i="40"/>
  <c r="C12" i="40"/>
  <c r="C617" i="40"/>
  <c r="C581" i="40"/>
  <c r="C594" i="40"/>
  <c r="C540" i="40"/>
  <c r="C565" i="40"/>
  <c r="C444" i="40"/>
  <c r="C477" i="40"/>
  <c r="C347" i="40"/>
  <c r="C422" i="40"/>
  <c r="C443" i="40"/>
  <c r="C327" i="40"/>
  <c r="E50" i="74" s="1"/>
  <c r="F50" i="74" s="1"/>
  <c r="G50" i="74" s="1"/>
  <c r="C359" i="40"/>
  <c r="C259" i="40"/>
  <c r="E50" i="37" s="1"/>
  <c r="F50" i="37" s="1"/>
  <c r="G50" i="37" s="1"/>
  <c r="C298" i="40"/>
  <c r="C143" i="40"/>
  <c r="E48" i="74" s="1"/>
  <c r="F48" i="74" s="1"/>
  <c r="G48" i="74" s="1"/>
  <c r="C180" i="40"/>
  <c r="C654" i="40"/>
  <c r="C630" i="40"/>
  <c r="C640" i="40"/>
  <c r="C601" i="40"/>
  <c r="C620" i="40"/>
  <c r="C546" i="40"/>
  <c r="C563" i="40"/>
  <c r="C441" i="40"/>
  <c r="C676" i="40"/>
  <c r="E66" i="37" s="1"/>
  <c r="F66" i="37" s="1"/>
  <c r="G66" i="37" s="1"/>
  <c r="C674" i="40"/>
  <c r="E63" i="37" s="1"/>
  <c r="F63" i="37" s="1"/>
  <c r="G63" i="37" s="1"/>
  <c r="C608" i="40"/>
  <c r="E67" i="37" s="1"/>
  <c r="F67" i="37" s="1"/>
  <c r="G67" i="37" s="1"/>
  <c r="C556" i="40"/>
  <c r="E64" i="37" s="1"/>
  <c r="F64" i="37" s="1"/>
  <c r="G64" i="37" s="1"/>
  <c r="C584" i="40"/>
  <c r="C520" i="40"/>
  <c r="C547" i="40"/>
  <c r="C471" i="40"/>
  <c r="C91" i="40"/>
  <c r="C651" i="40"/>
  <c r="C621" i="40"/>
  <c r="C634" i="40"/>
  <c r="C596" i="40"/>
  <c r="C613" i="40"/>
  <c r="C529" i="40"/>
  <c r="C555" i="40"/>
  <c r="C432" i="40"/>
  <c r="C178" i="40"/>
  <c r="C164" i="40"/>
  <c r="E30" i="74" s="1"/>
  <c r="C177" i="40"/>
  <c r="E30" i="37" s="1"/>
  <c r="C541" i="40"/>
  <c r="C552" i="40"/>
  <c r="C501" i="40"/>
  <c r="C523" i="40"/>
  <c r="C188" i="40"/>
  <c r="E31" i="54" s="1"/>
  <c r="C844" i="40"/>
  <c r="C843" i="40"/>
  <c r="C842" i="40"/>
  <c r="C336" i="40"/>
  <c r="C335" i="40"/>
  <c r="C841" i="40"/>
  <c r="C334" i="40"/>
  <c r="C283" i="40"/>
  <c r="C840" i="40"/>
  <c r="C839" i="40"/>
  <c r="C208" i="40"/>
  <c r="C222" i="40"/>
  <c r="C838" i="40"/>
  <c r="C221" i="40"/>
  <c r="C176" i="40"/>
  <c r="C837" i="40"/>
  <c r="C836" i="40"/>
  <c r="C148" i="40"/>
  <c r="C147" i="40"/>
  <c r="C835" i="40"/>
  <c r="C146" i="40"/>
  <c r="C117" i="40"/>
  <c r="C834" i="40"/>
  <c r="C833" i="40"/>
  <c r="C98" i="40"/>
  <c r="C104" i="40"/>
  <c r="C832" i="40"/>
  <c r="C103" i="40"/>
  <c r="C78" i="40"/>
  <c r="C831" i="40"/>
  <c r="C830" i="40"/>
  <c r="C61" i="40"/>
  <c r="C60" i="40"/>
  <c r="C829" i="40"/>
  <c r="C59" i="40"/>
  <c r="C46" i="40"/>
  <c r="C828" i="40"/>
  <c r="C827" i="40"/>
  <c r="C826" i="40"/>
  <c r="C825" i="40"/>
  <c r="C824" i="40"/>
  <c r="C823" i="40"/>
  <c r="C822" i="40"/>
  <c r="C819" i="40"/>
  <c r="C818" i="40"/>
  <c r="C817" i="40"/>
  <c r="C816" i="40"/>
  <c r="C815" i="40"/>
  <c r="C814" i="40"/>
  <c r="C813" i="40"/>
  <c r="C278" i="40"/>
  <c r="C306" i="40"/>
  <c r="C228" i="40"/>
  <c r="C266" i="40"/>
  <c r="C105" i="40"/>
  <c r="D23" i="57" s="1"/>
  <c r="E23" i="57" s="1"/>
  <c r="F23" i="57" s="1"/>
  <c r="C210" i="40"/>
  <c r="E55" i="17" s="1"/>
  <c r="F55" i="17" s="1"/>
  <c r="G55" i="17" s="1"/>
  <c r="C470" i="40"/>
  <c r="C486" i="40"/>
  <c r="C396" i="40"/>
  <c r="C384" i="40"/>
  <c r="C407" i="40"/>
  <c r="C433" i="40"/>
  <c r="C633" i="40"/>
  <c r="C606" i="40"/>
  <c r="C442" i="40"/>
  <c r="C343" i="40"/>
  <c r="C22" i="40"/>
  <c r="C25" i="40"/>
  <c r="C812" i="40"/>
  <c r="C811" i="40"/>
  <c r="C810" i="40"/>
  <c r="C809" i="40"/>
  <c r="C808" i="40"/>
  <c r="E31" i="85" s="1"/>
  <c r="C35" i="40"/>
  <c r="E33" i="78" s="1"/>
  <c r="F33" i="78" s="1"/>
  <c r="G33" i="78" s="1"/>
  <c r="C41" i="40"/>
  <c r="E29" i="80" s="1"/>
  <c r="C807" i="40"/>
  <c r="E34" i="51" s="1"/>
  <c r="C40" i="40"/>
  <c r="E33" i="55" s="1"/>
  <c r="C806" i="40"/>
  <c r="E31" i="86" s="1"/>
  <c r="C805" i="40"/>
  <c r="C804" i="40"/>
  <c r="C803" i="40"/>
  <c r="C802" i="40"/>
  <c r="C801" i="40"/>
  <c r="C800" i="40"/>
  <c r="C799" i="40"/>
  <c r="C798" i="40"/>
  <c r="C797" i="40"/>
  <c r="C796" i="40"/>
  <c r="C161" i="40"/>
  <c r="C795" i="40"/>
  <c r="C200" i="40"/>
  <c r="C794" i="40"/>
  <c r="C106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141" i="40"/>
  <c r="C778" i="40"/>
  <c r="C777" i="40"/>
  <c r="C776" i="40"/>
  <c r="C775" i="40"/>
  <c r="C774" i="40"/>
  <c r="C773" i="40"/>
  <c r="C414" i="40"/>
  <c r="C772" i="40"/>
  <c r="C427" i="40"/>
  <c r="C526" i="40"/>
  <c r="C566" i="40"/>
  <c r="C591" i="40"/>
  <c r="C423" i="40"/>
  <c r="C474" i="40"/>
  <c r="C512" i="40"/>
  <c r="C346" i="40"/>
  <c r="C394" i="40"/>
  <c r="C429" i="40"/>
  <c r="C276" i="40"/>
  <c r="C331" i="40"/>
  <c r="C363" i="40"/>
  <c r="C174" i="40"/>
  <c r="C220" i="40"/>
  <c r="C273" i="40"/>
  <c r="C624" i="40"/>
  <c r="C603" i="40"/>
  <c r="C771" i="40"/>
  <c r="C770" i="40"/>
  <c r="C631" i="40"/>
  <c r="C769" i="40"/>
  <c r="C768" i="40"/>
  <c r="C575" i="40"/>
  <c r="C535" i="40"/>
  <c r="C767" i="40"/>
  <c r="C766" i="40"/>
  <c r="C574" i="40"/>
  <c r="C765" i="40"/>
  <c r="C764" i="40"/>
  <c r="C508" i="40"/>
  <c r="C455" i="40"/>
  <c r="C763" i="40"/>
  <c r="C762" i="40"/>
  <c r="C507" i="40"/>
  <c r="C761" i="40"/>
  <c r="C760" i="40"/>
  <c r="C439" i="40"/>
  <c r="C392" i="40"/>
  <c r="C759" i="40"/>
  <c r="C758" i="40"/>
  <c r="C438" i="40"/>
  <c r="C757" i="40"/>
  <c r="C756" i="40"/>
  <c r="C345" i="40"/>
  <c r="C307" i="40"/>
  <c r="C755" i="40"/>
  <c r="C754" i="40"/>
  <c r="C355" i="40"/>
  <c r="C753" i="40"/>
  <c r="C752" i="40"/>
  <c r="C595" i="40"/>
  <c r="C585" i="40"/>
  <c r="C548" i="40"/>
  <c r="C534" i="40"/>
  <c r="C140" i="40"/>
  <c r="E31" i="7" s="1"/>
  <c r="C374" i="40"/>
  <c r="C351" i="40"/>
  <c r="C478" i="40"/>
  <c r="C751" i="40"/>
  <c r="C373" i="40"/>
  <c r="C750" i="40"/>
  <c r="C74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362" i="40"/>
  <c r="C245" i="40"/>
  <c r="C244" i="40"/>
  <c r="C243" i="40"/>
  <c r="C242" i="40"/>
  <c r="C241" i="40"/>
  <c r="C240" i="40"/>
  <c r="C361" i="40"/>
  <c r="C239" i="40"/>
  <c r="C238" i="40"/>
  <c r="C237" i="40"/>
  <c r="C158" i="40"/>
  <c r="C125" i="40"/>
  <c r="C166" i="40"/>
  <c r="C748" i="40"/>
  <c r="C116" i="40"/>
  <c r="C157" i="40"/>
  <c r="C747" i="40"/>
  <c r="C111" i="40"/>
  <c r="C746" i="40"/>
  <c r="C84" i="40"/>
  <c r="C102" i="40"/>
  <c r="C131" i="40"/>
  <c r="C21" i="40"/>
  <c r="E34" i="19" s="1"/>
  <c r="F34" i="19" s="1"/>
  <c r="G34" i="19" s="1"/>
  <c r="C280" i="40"/>
  <c r="C279" i="40"/>
  <c r="C136" i="40"/>
  <c r="C135" i="40"/>
  <c r="C74" i="40"/>
  <c r="C73" i="40"/>
  <c r="C745" i="40"/>
  <c r="C225" i="40"/>
  <c r="C205" i="40"/>
  <c r="C744" i="40"/>
  <c r="C743" i="40"/>
  <c r="C382" i="40"/>
  <c r="C395" i="40"/>
  <c r="C742" i="40"/>
  <c r="C741" i="40"/>
  <c r="C209" i="40"/>
  <c r="C740" i="40"/>
  <c r="C218" i="40"/>
  <c r="C193" i="40"/>
  <c r="C231" i="40"/>
  <c r="C179" i="40"/>
  <c r="C217" i="40"/>
  <c r="C159" i="40"/>
  <c r="C467" i="40"/>
  <c r="C509" i="40"/>
  <c r="C511" i="40"/>
  <c r="C645" i="40"/>
  <c r="C156" i="40"/>
  <c r="C189" i="40"/>
  <c r="C155" i="40"/>
  <c r="C288" i="40"/>
  <c r="C314" i="40"/>
  <c r="C549" i="40"/>
  <c r="C739" i="40"/>
  <c r="C738" i="40"/>
  <c r="C737" i="40"/>
  <c r="C559" i="40"/>
  <c r="C736" i="40"/>
  <c r="C578" i="40"/>
  <c r="C448" i="40"/>
  <c r="C735" i="40"/>
  <c r="C734" i="40"/>
  <c r="C733" i="40"/>
  <c r="C457" i="40"/>
  <c r="C732" i="40"/>
  <c r="C731" i="40"/>
  <c r="C370" i="40"/>
  <c r="C730" i="40"/>
  <c r="C729" i="40"/>
  <c r="C309" i="40"/>
  <c r="C724" i="40"/>
  <c r="C722" i="40"/>
  <c r="C313" i="40"/>
  <c r="C721" i="40"/>
  <c r="C719" i="40"/>
  <c r="C718" i="40"/>
  <c r="C717" i="40"/>
  <c r="C716" i="40"/>
  <c r="C715" i="40"/>
  <c r="C714" i="40"/>
  <c r="C713" i="40"/>
  <c r="C543" i="40"/>
  <c r="C614" i="40"/>
  <c r="C625" i="40"/>
  <c r="C570" i="40"/>
  <c r="C554" i="40"/>
  <c r="C569" i="40"/>
  <c r="C494" i="40"/>
  <c r="C502" i="40"/>
  <c r="C419" i="40"/>
  <c r="C435" i="40"/>
  <c r="C341" i="40"/>
  <c r="C348" i="40"/>
  <c r="C379" i="40"/>
  <c r="C406" i="40"/>
  <c r="C269" i="40"/>
  <c r="C303" i="40"/>
  <c r="C192" i="40"/>
  <c r="C202" i="40"/>
  <c r="C132" i="40"/>
  <c r="C139" i="40"/>
  <c r="C86" i="40"/>
  <c r="C94" i="40"/>
  <c r="C712" i="40"/>
  <c r="C711" i="40"/>
  <c r="E44" i="80" s="1"/>
  <c r="F44" i="80" s="1"/>
  <c r="G44" i="80" s="1"/>
  <c r="C710" i="40"/>
  <c r="C709" i="40"/>
  <c r="C708" i="40"/>
  <c r="E30" i="19" s="1"/>
  <c r="F30" i="19" s="1"/>
  <c r="G30" i="19" s="1"/>
  <c r="C707" i="40"/>
  <c r="C706" i="40"/>
  <c r="C705" i="40"/>
  <c r="C9" i="40"/>
  <c r="C704" i="40"/>
  <c r="E30" i="70" s="1"/>
  <c r="C703" i="40"/>
  <c r="E58" i="8" s="1"/>
  <c r="F58" i="8" s="1"/>
  <c r="G58" i="8" s="1"/>
  <c r="C702" i="40"/>
  <c r="C701" i="40"/>
  <c r="C75" i="40"/>
  <c r="C551" i="40"/>
  <c r="C473" i="40"/>
  <c r="C325" i="40"/>
  <c r="C324" i="40"/>
  <c r="C138" i="40"/>
  <c r="E28" i="58" s="1"/>
  <c r="C672" i="40"/>
  <c r="C669" i="40"/>
  <c r="C647" i="40"/>
  <c r="C655" i="40"/>
  <c r="C622" i="40"/>
  <c r="C628" i="40"/>
  <c r="C589" i="40"/>
  <c r="C597" i="40"/>
  <c r="C525" i="40"/>
  <c r="C538" i="40"/>
  <c r="C485" i="40"/>
  <c r="C465" i="40"/>
  <c r="C447" i="40"/>
  <c r="C484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14" i="40"/>
  <c r="D24" i="57" s="1"/>
  <c r="E24" i="57" s="1"/>
  <c r="F24" i="57" s="1"/>
  <c r="C468" i="40"/>
  <c r="C483" i="40"/>
  <c r="C354" i="40"/>
  <c r="C381" i="40"/>
  <c r="C275" i="40"/>
  <c r="C305" i="40"/>
  <c r="C163" i="40"/>
  <c r="C185" i="40"/>
  <c r="C203" i="40"/>
  <c r="C226" i="40"/>
  <c r="C110" i="40"/>
  <c r="C118" i="40"/>
  <c r="C391" i="40"/>
  <c r="C413" i="40"/>
  <c r="C277" i="40"/>
  <c r="C304" i="40"/>
  <c r="C187" i="40"/>
  <c r="C207" i="40"/>
  <c r="C109" i="40"/>
  <c r="C121" i="40"/>
  <c r="C142" i="40"/>
  <c r="C167" i="40"/>
  <c r="C68" i="40"/>
  <c r="C83" i="40"/>
  <c r="C604" i="40"/>
  <c r="C610" i="40"/>
  <c r="C532" i="40"/>
  <c r="C558" i="40"/>
  <c r="C458" i="40"/>
  <c r="C489" i="40"/>
  <c r="C352" i="40"/>
  <c r="C378" i="40"/>
  <c r="C399" i="40"/>
  <c r="C420" i="40"/>
  <c r="C270" i="40"/>
  <c r="C293" i="40"/>
  <c r="C662" i="40"/>
  <c r="C605" i="40"/>
  <c r="C122" i="40"/>
  <c r="C149" i="40"/>
  <c r="C115" i="40"/>
  <c r="C333" i="40"/>
  <c r="C297" i="40"/>
  <c r="C326" i="40"/>
  <c r="C403" i="40"/>
  <c r="C688" i="40"/>
  <c r="C76" i="40"/>
  <c r="C687" i="40"/>
  <c r="C13" i="40"/>
  <c r="C16" i="40"/>
  <c r="C686" i="40"/>
  <c r="C685" i="40"/>
  <c r="C684" i="40"/>
  <c r="C683" i="40"/>
  <c r="C682" i="40"/>
  <c r="C681" i="40"/>
  <c r="D47" i="57" s="1"/>
  <c r="E47" i="57" s="1"/>
  <c r="F47" i="57" s="1"/>
  <c r="C680" i="40"/>
  <c r="D46" i="57" s="1"/>
  <c r="E46" i="57" s="1"/>
  <c r="F46" i="57" s="1"/>
  <c r="C679" i="40"/>
  <c r="D45" i="57" s="1"/>
  <c r="E45" i="57" s="1"/>
  <c r="F45" i="57" s="1"/>
  <c r="C678" i="40"/>
  <c r="D44" i="57" s="1"/>
  <c r="E44" i="57" s="1"/>
  <c r="F44" i="57" s="1"/>
  <c r="C677" i="40"/>
  <c r="D43" i="57" s="1"/>
  <c r="E43" i="57" s="1"/>
  <c r="F43" i="57" s="1"/>
  <c r="B677" i="40"/>
  <c r="B43" i="57" s="1"/>
  <c r="H54" i="4"/>
  <c r="A54" i="47"/>
  <c r="A58" i="81"/>
  <c r="A58" i="80"/>
  <c r="A13" i="78"/>
  <c r="A13" i="53"/>
  <c r="A61" i="72"/>
  <c r="D31" i="58"/>
  <c r="O8" i="70"/>
  <c r="K24" i="7"/>
  <c r="L26" i="5"/>
  <c r="L25" i="6"/>
  <c r="L26" i="71"/>
  <c r="A65" i="4"/>
  <c r="C8" i="6"/>
  <c r="C9" i="6"/>
  <c r="B12" i="7"/>
  <c r="D34" i="7"/>
  <c r="B8" i="7"/>
  <c r="B9" i="7"/>
  <c r="A68" i="78"/>
  <c r="C8" i="71"/>
  <c r="C9" i="71" s="1"/>
  <c r="B24" i="19"/>
  <c r="B27" i="6"/>
  <c r="B8" i="71"/>
  <c r="B8" i="54"/>
  <c r="B9" i="54"/>
  <c r="B24" i="70"/>
  <c r="B24" i="17"/>
  <c r="B24" i="20"/>
  <c r="B24" i="33"/>
  <c r="B23" i="44"/>
  <c r="B10" i="19"/>
  <c r="B9" i="19"/>
  <c r="B11" i="19"/>
  <c r="D31" i="19"/>
  <c r="L24" i="6"/>
  <c r="L26" i="6"/>
  <c r="K28" i="55"/>
  <c r="B10" i="74"/>
  <c r="D33" i="74"/>
  <c r="J33" i="74" s="1"/>
  <c r="B8" i="72"/>
  <c r="B9" i="46"/>
  <c r="B11" i="46"/>
  <c r="D30" i="46"/>
  <c r="B10" i="46"/>
  <c r="B11" i="34"/>
  <c r="D31" i="34"/>
  <c r="B10" i="34"/>
  <c r="B9" i="34"/>
  <c r="B10" i="37"/>
  <c r="D33" i="37"/>
  <c r="J33" i="37" s="1"/>
  <c r="B8" i="58"/>
  <c r="A57" i="46"/>
  <c r="A60" i="44"/>
  <c r="A61" i="70"/>
  <c r="A64" i="17"/>
  <c r="A63" i="8"/>
  <c r="A71" i="37"/>
  <c r="A70" i="7"/>
  <c r="A68" i="3"/>
  <c r="A62" i="34"/>
  <c r="A67" i="55"/>
  <c r="A62" i="61"/>
  <c r="A62" i="19"/>
  <c r="A69" i="53"/>
  <c r="A68" i="5"/>
  <c r="A70" i="31"/>
  <c r="A64" i="72"/>
  <c r="A61" i="20"/>
  <c r="A69" i="71"/>
  <c r="A62" i="62"/>
  <c r="A59" i="48"/>
  <c r="A62" i="18"/>
  <c r="A62" i="56"/>
  <c r="A71" i="51"/>
  <c r="A68" i="6"/>
  <c r="A69" i="30"/>
  <c r="A69" i="54"/>
  <c r="A61" i="58"/>
  <c r="A61" i="33"/>
  <c r="A63" i="74"/>
  <c r="A68" i="4"/>
  <c r="K26" i="72"/>
  <c r="K27" i="72"/>
  <c r="K27" i="55"/>
  <c r="C9" i="61"/>
  <c r="C10" i="61" s="1"/>
  <c r="C9" i="62"/>
  <c r="C10" i="62" s="1"/>
  <c r="C9" i="46"/>
  <c r="C10" i="46"/>
  <c r="C9" i="34"/>
  <c r="C10" i="34" s="1"/>
  <c r="C9" i="19"/>
  <c r="C10" i="19"/>
  <c r="K27" i="51"/>
  <c r="K28" i="51"/>
  <c r="C10" i="55"/>
  <c r="K25" i="7"/>
  <c r="K26" i="7"/>
  <c r="K26" i="54"/>
  <c r="K25" i="54"/>
  <c r="C10" i="54"/>
  <c r="K13" i="54"/>
  <c r="C10" i="5"/>
  <c r="L13" i="5"/>
  <c r="L25" i="5"/>
  <c r="L24" i="5"/>
  <c r="L25" i="71"/>
  <c r="L24" i="71"/>
  <c r="C8" i="30"/>
  <c r="C9" i="30" s="1"/>
  <c r="L25" i="4"/>
  <c r="L24" i="4"/>
  <c r="B12" i="3"/>
  <c r="D34" i="3"/>
  <c r="K43" i="6"/>
  <c r="J43" i="54"/>
  <c r="K35" i="56"/>
  <c r="B9" i="71"/>
  <c r="B12" i="34"/>
  <c r="B12" i="19"/>
  <c r="B12" i="46"/>
  <c r="B6" i="37"/>
  <c r="B6" i="31"/>
  <c r="B6" i="8"/>
  <c r="B6" i="55"/>
  <c r="B6" i="6"/>
  <c r="B6" i="7"/>
  <c r="B6" i="54"/>
  <c r="B6" i="5"/>
  <c r="B6" i="46"/>
  <c r="B6" i="56"/>
  <c r="K13" i="55"/>
  <c r="K9" i="55"/>
  <c r="K11" i="55" s="1"/>
  <c r="K12" i="55"/>
  <c r="L12" i="55"/>
  <c r="M12" i="55" s="1"/>
  <c r="Q8" i="55"/>
  <c r="K37" i="55"/>
  <c r="L9" i="5"/>
  <c r="L11" i="5"/>
  <c r="O7" i="5" s="1"/>
  <c r="O8" i="5" s="1"/>
  <c r="L13" i="71"/>
  <c r="R8" i="71"/>
  <c r="U8" i="71" s="1"/>
  <c r="B6" i="30"/>
  <c r="B6" i="4"/>
  <c r="B6" i="19"/>
  <c r="B6" i="3"/>
  <c r="S8" i="55"/>
  <c r="Q29" i="55" s="1"/>
  <c r="R29" i="55" s="1"/>
  <c r="R8" i="55"/>
  <c r="T8" i="55"/>
  <c r="Q35" i="55" s="1"/>
  <c r="R35" i="55" s="1"/>
  <c r="Q9" i="55"/>
  <c r="Q10" i="55" s="1"/>
  <c r="Q11" i="55" s="1"/>
  <c r="Q12" i="55" s="1"/>
  <c r="Q13" i="55" s="1"/>
  <c r="Q14" i="55" s="1"/>
  <c r="R9" i="71"/>
  <c r="R10" i="71" s="1"/>
  <c r="R11" i="71" s="1"/>
  <c r="R12" i="71" s="1"/>
  <c r="R13" i="71" s="1"/>
  <c r="R14" i="71" s="1"/>
  <c r="N5" i="5"/>
  <c r="L5" i="5"/>
  <c r="Q30" i="55"/>
  <c r="R19" i="55"/>
  <c r="R9" i="55" s="1"/>
  <c r="Q23" i="55"/>
  <c r="R23" i="55" s="1"/>
  <c r="S23" i="55" s="1"/>
  <c r="L26" i="55" s="1"/>
  <c r="Q31" i="55"/>
  <c r="J64" i="8"/>
  <c r="N64" i="8"/>
  <c r="A64" i="8"/>
  <c r="B8" i="51"/>
  <c r="B12" i="51"/>
  <c r="D38" i="51"/>
  <c r="B10" i="8"/>
  <c r="C13" i="72"/>
  <c r="B11" i="8"/>
  <c r="D32" i="8"/>
  <c r="C9" i="72"/>
  <c r="N12" i="72" s="1"/>
  <c r="O12" i="72" s="1"/>
  <c r="E617" i="1"/>
  <c r="F617" i="1"/>
  <c r="J14" i="1"/>
  <c r="E583" i="1"/>
  <c r="F622" i="1"/>
  <c r="E582" i="1"/>
  <c r="F165" i="1"/>
  <c r="E146" i="1"/>
  <c r="E564" i="1"/>
  <c r="F154" i="1"/>
  <c r="G160" i="1"/>
  <c r="F754" i="1"/>
  <c r="F469" i="1"/>
  <c r="F553" i="1"/>
  <c r="E622" i="1"/>
  <c r="G165" i="1"/>
  <c r="F632" i="1"/>
  <c r="E588" i="1"/>
  <c r="F745" i="1"/>
  <c r="E161" i="1"/>
  <c r="G316" i="1"/>
  <c r="E158" i="1"/>
  <c r="E632" i="1"/>
  <c r="F472" i="1"/>
  <c r="F148" i="1"/>
  <c r="F64" i="1"/>
  <c r="E299" i="1"/>
  <c r="F303" i="1"/>
  <c r="G64" i="1"/>
  <c r="E369" i="1"/>
  <c r="E607" i="1"/>
  <c r="E80" i="1"/>
  <c r="F561" i="1"/>
  <c r="G299" i="1"/>
  <c r="E603" i="1"/>
  <c r="E157" i="1"/>
  <c r="E149" i="1"/>
  <c r="E303" i="1"/>
  <c r="E160" i="1"/>
  <c r="E83" i="1"/>
  <c r="E613" i="1"/>
  <c r="F593" i="1"/>
  <c r="E586" i="1"/>
  <c r="F167" i="1"/>
  <c r="E164" i="1"/>
  <c r="F166" i="1"/>
  <c r="G140" i="1"/>
  <c r="F369" i="1"/>
  <c r="G74" i="1"/>
  <c r="F75" i="1"/>
  <c r="E557" i="1"/>
  <c r="E456" i="1"/>
  <c r="E82" i="1"/>
  <c r="F456" i="1"/>
  <c r="E473" i="1"/>
  <c r="E174" i="1"/>
  <c r="E79" i="1"/>
  <c r="G602" i="1"/>
  <c r="E469" i="1"/>
  <c r="E140" i="1"/>
  <c r="E491" i="1"/>
  <c r="E151" i="1"/>
  <c r="F67" i="1"/>
  <c r="E156" i="1"/>
  <c r="E70" i="1"/>
  <c r="E567" i="1"/>
  <c r="E602" i="1"/>
  <c r="F581" i="1"/>
  <c r="E550" i="1"/>
  <c r="F304" i="1"/>
  <c r="E641" i="1"/>
  <c r="E368" i="1"/>
  <c r="F314" i="1"/>
  <c r="F550" i="1"/>
  <c r="E304" i="1"/>
  <c r="G314" i="1"/>
  <c r="E72" i="1"/>
  <c r="E494" i="1"/>
  <c r="F494" i="1"/>
  <c r="F471" i="1"/>
  <c r="G471" i="1"/>
  <c r="E153" i="1"/>
  <c r="F159" i="1"/>
  <c r="E159" i="1"/>
  <c r="E162" i="1"/>
  <c r="F162" i="1"/>
  <c r="F69" i="1"/>
  <c r="E69" i="1"/>
  <c r="F612" i="1"/>
  <c r="G612" i="1"/>
  <c r="E612" i="1"/>
  <c r="F642" i="1"/>
  <c r="F491" i="1"/>
  <c r="F142" i="1"/>
  <c r="F316" i="1"/>
  <c r="E642" i="1"/>
  <c r="F368" i="1"/>
  <c r="E443" i="1"/>
  <c r="F586" i="1"/>
  <c r="E738" i="1"/>
  <c r="G145" i="1"/>
  <c r="F145" i="1"/>
  <c r="G170" i="1"/>
  <c r="F170" i="1"/>
  <c r="F65" i="1"/>
  <c r="E65" i="1"/>
  <c r="F627" i="1"/>
  <c r="E141" i="1"/>
  <c r="F141" i="1"/>
  <c r="E76" i="1"/>
  <c r="E71" i="1"/>
  <c r="F71" i="1"/>
  <c r="G560" i="1"/>
  <c r="E560" i="1"/>
  <c r="E592" i="1"/>
  <c r="G592" i="1"/>
  <c r="F752" i="1"/>
  <c r="F693" i="1"/>
  <c r="E78" i="1"/>
  <c r="E551" i="1"/>
  <c r="H62" i="54"/>
  <c r="H46" i="5"/>
  <c r="H51" i="61"/>
  <c r="H41" i="56"/>
  <c r="H55" i="33"/>
  <c r="H38" i="20"/>
  <c r="F59" i="77"/>
  <c r="H36" i="3"/>
  <c r="A184" i="39"/>
  <c r="A219" i="39"/>
  <c r="A64" i="57" s="1"/>
  <c r="H45" i="70"/>
  <c r="H31" i="61"/>
  <c r="H39" i="47"/>
  <c r="H49" i="80"/>
  <c r="H43" i="34"/>
  <c r="H38" i="8"/>
  <c r="A193" i="39"/>
  <c r="A1" i="57" s="1"/>
  <c r="A163" i="39"/>
  <c r="H41" i="58"/>
  <c r="H36" i="48"/>
  <c r="H47" i="17"/>
  <c r="H51" i="30"/>
  <c r="A160" i="39"/>
  <c r="C50" i="4"/>
  <c r="H51" i="81"/>
  <c r="H47" i="61"/>
  <c r="H36" i="44"/>
  <c r="H44" i="56"/>
  <c r="H45" i="54"/>
  <c r="H59" i="5"/>
  <c r="H44" i="81"/>
  <c r="H28" i="81"/>
  <c r="H26" i="81"/>
  <c r="H53" i="58"/>
  <c r="H55" i="34"/>
  <c r="H27" i="58"/>
  <c r="H47" i="46"/>
  <c r="H26" i="34"/>
  <c r="H40" i="48"/>
  <c r="H46" i="44"/>
  <c r="H35" i="33"/>
  <c r="H49" i="20"/>
  <c r="H40" i="70"/>
  <c r="H47" i="8"/>
  <c r="H39" i="56"/>
  <c r="H37" i="18"/>
  <c r="H42" i="18"/>
  <c r="H52" i="51"/>
  <c r="H50" i="5"/>
  <c r="H44" i="3"/>
  <c r="H33" i="3"/>
  <c r="H29" i="30"/>
  <c r="H66" i="7"/>
  <c r="H60" i="19"/>
  <c r="G27" i="57"/>
  <c r="H50" i="6"/>
  <c r="H41" i="37"/>
  <c r="H43" i="80"/>
  <c r="H48" i="80"/>
  <c r="H44" i="61"/>
  <c r="H50" i="46"/>
  <c r="H40" i="58"/>
  <c r="H36" i="46"/>
  <c r="H35" i="47"/>
  <c r="H39" i="34"/>
  <c r="H54" i="44"/>
  <c r="H55" i="18"/>
  <c r="H48" i="33"/>
  <c r="H51" i="70"/>
  <c r="H56" i="19"/>
  <c r="H52" i="19"/>
  <c r="H43" i="19"/>
  <c r="H54" i="56"/>
  <c r="H53" i="17"/>
  <c r="H52" i="54"/>
  <c r="H50" i="71"/>
  <c r="H49" i="3"/>
  <c r="H29" i="4"/>
  <c r="H36" i="51"/>
  <c r="H27" i="8"/>
  <c r="H45" i="74"/>
  <c r="H39" i="80"/>
  <c r="H52" i="78"/>
  <c r="H42" i="62"/>
  <c r="H49" i="61"/>
  <c r="H39" i="58"/>
  <c r="H41" i="47"/>
  <c r="H56" i="34"/>
  <c r="H47" i="48"/>
  <c r="H47" i="44"/>
  <c r="H51" i="33"/>
  <c r="H56" i="20"/>
  <c r="H28" i="20"/>
  <c r="H41" i="19"/>
  <c r="H46" i="18"/>
  <c r="H53" i="18"/>
  <c r="H54" i="19"/>
  <c r="H46" i="7"/>
  <c r="H44" i="5"/>
  <c r="H54" i="71"/>
  <c r="H44" i="4"/>
  <c r="H34" i="54"/>
  <c r="H60" i="6"/>
  <c r="H33" i="53"/>
  <c r="L64" i="44"/>
  <c r="A79" i="39"/>
  <c r="A53" i="39"/>
  <c r="C51" i="7"/>
  <c r="A220" i="39"/>
  <c r="M44" i="77" s="1"/>
  <c r="A165" i="39"/>
  <c r="A223" i="39"/>
  <c r="A137" i="39"/>
  <c r="A77" i="77" s="1"/>
  <c r="A63" i="39"/>
  <c r="A195" i="39"/>
  <c r="A11" i="57" s="1"/>
  <c r="A62" i="39"/>
  <c r="A194" i="39"/>
  <c r="A59" i="39"/>
  <c r="A153" i="39"/>
  <c r="A88" i="77" s="1"/>
  <c r="A197" i="39"/>
  <c r="A61" i="37" s="1"/>
  <c r="A142" i="39"/>
  <c r="A82" i="77" s="1"/>
  <c r="A200" i="39"/>
  <c r="A87" i="39"/>
  <c r="A45" i="78" s="1"/>
  <c r="A233" i="39"/>
  <c r="A47" i="72" s="1"/>
  <c r="A171" i="39"/>
  <c r="A51" i="37" s="1"/>
  <c r="A131" i="39"/>
  <c r="A168" i="39"/>
  <c r="A225" i="39"/>
  <c r="H49" i="17"/>
  <c r="A235" i="39"/>
  <c r="A169" i="39"/>
  <c r="A48" i="74" s="1"/>
  <c r="A110" i="39"/>
  <c r="A234" i="39"/>
  <c r="A39" i="72" s="1"/>
  <c r="A143" i="39"/>
  <c r="A83" i="77" s="1"/>
  <c r="A199" i="39"/>
  <c r="A65" i="37" s="1"/>
  <c r="A210" i="39"/>
  <c r="A28" i="80" s="1"/>
  <c r="A174" i="39"/>
  <c r="A185" i="39"/>
  <c r="A126" i="39"/>
  <c r="A64" i="39"/>
  <c r="A10" i="47" s="1"/>
  <c r="A47" i="39"/>
  <c r="A7" i="80" s="1"/>
  <c r="A216" i="39"/>
  <c r="A61" i="57" s="1"/>
  <c r="A146" i="39"/>
  <c r="A44" i="72"/>
  <c r="A24" i="39"/>
  <c r="A7" i="77" s="1"/>
  <c r="A214" i="39"/>
  <c r="H58" i="37"/>
  <c r="H40" i="81"/>
  <c r="H28" i="80"/>
  <c r="H48" i="78"/>
  <c r="H53" i="53"/>
  <c r="H38" i="58"/>
  <c r="H41" i="62"/>
  <c r="H35" i="62"/>
  <c r="H44" i="46"/>
  <c r="H47" i="47"/>
  <c r="H48" i="34"/>
  <c r="H35" i="34"/>
  <c r="H50" i="48"/>
  <c r="H40" i="44"/>
  <c r="H43" i="33"/>
  <c r="H38" i="70"/>
  <c r="H34" i="20"/>
  <c r="H54" i="20"/>
  <c r="H55" i="8"/>
  <c r="H38" i="19"/>
  <c r="H60" i="18"/>
  <c r="H42" i="8"/>
  <c r="H36" i="19"/>
  <c r="H27" i="18"/>
  <c r="H46" i="54"/>
  <c r="H44" i="71"/>
  <c r="H52" i="6"/>
  <c r="H47" i="30"/>
  <c r="A209" i="39"/>
  <c r="A177" i="39"/>
  <c r="A144" i="39"/>
  <c r="A73" i="77" s="1"/>
  <c r="A118" i="39"/>
  <c r="A60" i="39"/>
  <c r="A30" i="39"/>
  <c r="A22" i="77" s="1"/>
  <c r="A238" i="39"/>
  <c r="A32" i="57" s="1"/>
  <c r="A204" i="39"/>
  <c r="A47" i="53" s="1"/>
  <c r="A172" i="39"/>
  <c r="A51" i="74" s="1"/>
  <c r="A105" i="39"/>
  <c r="A57" i="37" s="1"/>
  <c r="A9" i="39"/>
  <c r="A203" i="39"/>
  <c r="A50" i="51" s="1"/>
  <c r="A140" i="39"/>
  <c r="A80" i="77" s="1"/>
  <c r="A108" i="39"/>
  <c r="A54" i="39"/>
  <c r="A149" i="39"/>
  <c r="A192" i="39"/>
  <c r="A113" i="39"/>
  <c r="A31" i="56" s="1"/>
  <c r="A99" i="39"/>
  <c r="E752" i="1"/>
  <c r="H60" i="72"/>
  <c r="H37" i="55"/>
  <c r="H59" i="3"/>
  <c r="H34" i="74"/>
  <c r="H59" i="58"/>
  <c r="H31" i="78"/>
  <c r="F736" i="1"/>
  <c r="E736" i="1"/>
  <c r="A7" i="39"/>
  <c r="A135" i="39"/>
  <c r="A75" i="77" s="1"/>
  <c r="A198" i="39"/>
  <c r="A62" i="37" s="1"/>
  <c r="A5" i="39"/>
  <c r="A133" i="39"/>
  <c r="A11" i="39"/>
  <c r="A61" i="53" s="1"/>
  <c r="A115" i="39"/>
  <c r="A45" i="19" s="1"/>
  <c r="A186" i="39"/>
  <c r="A112" i="39"/>
  <c r="A57" i="34" s="1"/>
  <c r="A167" i="39"/>
  <c r="A187" i="39"/>
  <c r="A211" i="39"/>
  <c r="A237" i="39"/>
  <c r="A46" i="72" s="1"/>
  <c r="A117" i="39"/>
  <c r="A48" i="8" s="1"/>
  <c r="A109" i="39"/>
  <c r="A29" i="8" s="1"/>
  <c r="A28" i="17" s="1"/>
  <c r="A151" i="39"/>
  <c r="A196" i="39"/>
  <c r="A42" i="46" s="1"/>
  <c r="A217" i="39"/>
  <c r="A62" i="57" s="1"/>
  <c r="A2" i="39"/>
  <c r="A48" i="39"/>
  <c r="A8" i="56" s="1"/>
  <c r="A68" i="39"/>
  <c r="A94" i="39"/>
  <c r="A37" i="3" s="1"/>
  <c r="A37" i="7" s="1"/>
  <c r="A114" i="39"/>
  <c r="A44" i="18" s="1"/>
  <c r="A134" i="39"/>
  <c r="A74" i="77" s="1"/>
  <c r="A161" i="39"/>
  <c r="A181" i="39"/>
  <c r="A148" i="39"/>
  <c r="A212" i="39"/>
  <c r="A121" i="39"/>
  <c r="A46" i="46" s="1"/>
  <c r="A42" i="39"/>
  <c r="G7" i="72" s="1"/>
  <c r="A183" i="39"/>
  <c r="A58" i="39"/>
  <c r="B18" i="77" s="1"/>
  <c r="A162" i="39"/>
  <c r="A125" i="39"/>
  <c r="A127" i="39"/>
  <c r="A44" i="39"/>
  <c r="F7" i="80" s="1"/>
  <c r="H52" i="47"/>
  <c r="H44" i="31"/>
  <c r="H38" i="53"/>
  <c r="H34" i="53"/>
  <c r="H66" i="3"/>
  <c r="H31" i="30"/>
  <c r="H65" i="31"/>
  <c r="H50" i="30"/>
  <c r="H49" i="4"/>
  <c r="H55" i="72"/>
  <c r="H29" i="5"/>
  <c r="H62" i="72"/>
  <c r="H28" i="6"/>
  <c r="H39" i="5"/>
  <c r="H34" i="6"/>
  <c r="H61" i="54"/>
  <c r="H56" i="74"/>
  <c r="H68" i="7"/>
  <c r="H27" i="19"/>
  <c r="H26" i="46"/>
  <c r="G14" i="57"/>
  <c r="H40" i="56"/>
  <c r="H52" i="81"/>
  <c r="H26" i="70"/>
  <c r="H46" i="6"/>
  <c r="G81" i="42"/>
  <c r="H28" i="47"/>
  <c r="H48" i="37"/>
  <c r="H37" i="7"/>
  <c r="H60" i="56"/>
  <c r="H36" i="55"/>
  <c r="H49" i="37"/>
  <c r="H28" i="71"/>
  <c r="H50" i="54"/>
  <c r="H28" i="54"/>
  <c r="H31" i="31"/>
  <c r="H36" i="72"/>
  <c r="H31" i="5"/>
  <c r="H62" i="31"/>
  <c r="H37" i="3"/>
  <c r="H31" i="3"/>
  <c r="H56" i="72"/>
  <c r="A246" i="39"/>
  <c r="A13" i="56"/>
  <c r="A69" i="39"/>
  <c r="A16" i="77" s="1"/>
  <c r="A111" i="39"/>
  <c r="A36" i="51" s="1"/>
  <c r="A145" i="39"/>
  <c r="A182" i="39"/>
  <c r="A206" i="39"/>
  <c r="A25" i="39"/>
  <c r="A9" i="77" s="1"/>
  <c r="A141" i="39"/>
  <c r="A81" i="77" s="1"/>
  <c r="A176" i="39"/>
  <c r="F26" i="74"/>
  <c r="A49" i="39"/>
  <c r="A9" i="81" s="1"/>
  <c r="A107" i="39"/>
  <c r="A139" i="39"/>
  <c r="A79" i="77" s="1"/>
  <c r="A4" i="39"/>
  <c r="G27" i="31"/>
  <c r="D3" i="72"/>
  <c r="F744" i="1"/>
  <c r="E744" i="1"/>
  <c r="H58" i="74"/>
  <c r="H44" i="78"/>
  <c r="H32" i="81"/>
  <c r="H45" i="78"/>
  <c r="H36" i="81"/>
  <c r="H57" i="62"/>
  <c r="H28" i="58"/>
  <c r="H56" i="62"/>
  <c r="H40" i="62"/>
  <c r="H50" i="62"/>
  <c r="H40" i="46"/>
  <c r="H42" i="47"/>
  <c r="H31" i="47"/>
  <c r="H51" i="34"/>
  <c r="H48" i="48"/>
  <c r="H32" i="48"/>
  <c r="H25" i="44"/>
  <c r="H26" i="33"/>
  <c r="H39" i="33"/>
  <c r="H52" i="70"/>
  <c r="H42" i="20"/>
  <c r="H35" i="70"/>
  <c r="H46" i="20"/>
  <c r="H47" i="18"/>
  <c r="H50" i="17"/>
  <c r="H57" i="56"/>
  <c r="H25" i="18"/>
  <c r="H48" i="8"/>
  <c r="H36" i="56"/>
  <c r="H56" i="56"/>
  <c r="H53" i="7"/>
  <c r="H27" i="56"/>
  <c r="H47" i="71"/>
  <c r="H47" i="6"/>
  <c r="H44" i="30"/>
  <c r="H47" i="4"/>
  <c r="A224" i="39"/>
  <c r="A205" i="39"/>
  <c r="A48" i="78" s="1"/>
  <c r="A189" i="39"/>
  <c r="A173" i="39"/>
  <c r="A152" i="39"/>
  <c r="A138" i="39"/>
  <c r="A78" i="77" s="1"/>
  <c r="A122" i="39"/>
  <c r="A56" i="39"/>
  <c r="G7" i="6"/>
  <c r="A22" i="39"/>
  <c r="A1" i="77" s="1"/>
  <c r="A227" i="39"/>
  <c r="B6" i="53" s="1"/>
  <c r="A208" i="39"/>
  <c r="A164" i="39"/>
  <c r="A55" i="39"/>
  <c r="A13" i="39"/>
  <c r="A226" i="39"/>
  <c r="A191" i="39"/>
  <c r="A175" i="39"/>
  <c r="A150" i="39"/>
  <c r="A132" i="39"/>
  <c r="K61" i="72" s="1"/>
  <c r="A116" i="39"/>
  <c r="A46" i="62" s="1"/>
  <c r="A50" i="39"/>
  <c r="A10" i="34" s="1"/>
  <c r="A28" i="39"/>
  <c r="A15" i="77" s="1"/>
  <c r="A170" i="39"/>
  <c r="A123" i="39"/>
  <c r="A54" i="8" s="1"/>
  <c r="G8" i="3"/>
  <c r="A3" i="39"/>
  <c r="A51" i="39"/>
  <c r="A11" i="46" s="1"/>
  <c r="A236" i="39"/>
  <c r="A45" i="72" s="1"/>
  <c r="A202" i="39"/>
  <c r="A166" i="39"/>
  <c r="A119" i="39"/>
  <c r="A49" i="56" s="1"/>
  <c r="A61" i="39"/>
  <c r="A44" i="77" s="1"/>
  <c r="H29" i="72"/>
  <c r="H62" i="71"/>
  <c r="H35" i="71"/>
  <c r="H37" i="51"/>
  <c r="H66" i="31"/>
  <c r="H63" i="6"/>
  <c r="H34" i="4"/>
  <c r="H53" i="37"/>
  <c r="H29" i="37"/>
  <c r="H31" i="54"/>
  <c r="H29" i="8"/>
  <c r="H60" i="34"/>
  <c r="H43" i="4"/>
  <c r="H46" i="19"/>
  <c r="H45" i="48"/>
  <c r="C42" i="34"/>
  <c r="C42" i="33"/>
  <c r="H36" i="61"/>
  <c r="H42" i="33"/>
  <c r="H34" i="56"/>
  <c r="H26" i="56"/>
  <c r="H53" i="30"/>
  <c r="H36" i="78"/>
  <c r="H40" i="37"/>
  <c r="G47" i="57"/>
  <c r="H25" i="61"/>
  <c r="H30" i="46"/>
  <c r="H31" i="70"/>
  <c r="H31" i="18"/>
  <c r="H27" i="37"/>
  <c r="H32" i="55"/>
  <c r="H64" i="5"/>
  <c r="H34" i="37"/>
  <c r="H57" i="37"/>
  <c r="H35" i="51"/>
  <c r="H50" i="74"/>
  <c r="H47" i="55"/>
  <c r="H59" i="6"/>
  <c r="H36" i="30"/>
  <c r="H38" i="51"/>
  <c r="H38" i="5"/>
  <c r="H34" i="55"/>
  <c r="H29" i="6"/>
  <c r="H28" i="31"/>
  <c r="H39" i="4"/>
  <c r="H35" i="53"/>
  <c r="H64" i="54"/>
  <c r="H54" i="6"/>
  <c r="H32" i="71"/>
  <c r="H28" i="4"/>
  <c r="H62" i="30"/>
  <c r="H38" i="31"/>
  <c r="H30" i="3"/>
  <c r="H61" i="4"/>
  <c r="H37" i="72"/>
  <c r="H54" i="30"/>
  <c r="H35" i="31"/>
  <c r="H55" i="71"/>
  <c r="H32" i="31"/>
  <c r="H38" i="71"/>
  <c r="H50" i="7"/>
  <c r="H49" i="72"/>
  <c r="H39" i="30"/>
  <c r="H36" i="6"/>
  <c r="H43" i="51"/>
  <c r="H63" i="55"/>
  <c r="H52" i="31"/>
  <c r="H65" i="54"/>
  <c r="H28" i="74"/>
  <c r="H39" i="51"/>
  <c r="H30" i="56"/>
  <c r="H33" i="5"/>
  <c r="H34" i="51"/>
  <c r="H36" i="74"/>
  <c r="H31" i="20"/>
  <c r="H28" i="48"/>
  <c r="H30" i="61"/>
  <c r="H43" i="71"/>
  <c r="H48" i="54"/>
  <c r="H48" i="56"/>
  <c r="H40" i="47"/>
  <c r="F738" i="1"/>
  <c r="H49" i="81"/>
  <c r="H35" i="61"/>
  <c r="H24" i="48"/>
  <c r="H46" i="70"/>
  <c r="H35" i="19"/>
  <c r="H51" i="51"/>
  <c r="H48" i="31"/>
  <c r="H64" i="78"/>
  <c r="H43" i="30"/>
  <c r="G29" i="57"/>
  <c r="H29" i="61"/>
  <c r="H23" i="48"/>
  <c r="H28" i="46"/>
  <c r="H29" i="44"/>
  <c r="H30" i="18"/>
  <c r="H28" i="8"/>
  <c r="H62" i="53"/>
  <c r="H61" i="55"/>
  <c r="H34" i="7"/>
  <c r="H25" i="17"/>
  <c r="H30" i="19"/>
  <c r="H30" i="74"/>
  <c r="H31" i="53"/>
  <c r="H33" i="7"/>
  <c r="H49" i="74"/>
  <c r="H33" i="37"/>
  <c r="H44" i="54"/>
  <c r="H65" i="71"/>
  <c r="H30" i="30"/>
  <c r="H32" i="3"/>
  <c r="H37" i="54"/>
  <c r="H53" i="6"/>
  <c r="H36" i="7"/>
  <c r="H33" i="6"/>
  <c r="H51" i="31"/>
  <c r="H38" i="30"/>
  <c r="H36" i="4"/>
  <c r="H35" i="72"/>
  <c r="H31" i="55"/>
  <c r="H60" i="5"/>
  <c r="H48" i="6"/>
  <c r="H37" i="71"/>
  <c r="H64" i="30"/>
  <c r="H53" i="72"/>
  <c r="H59" i="4"/>
  <c r="H47" i="72"/>
  <c r="H38" i="4"/>
  <c r="H61" i="71"/>
  <c r="H39" i="3"/>
  <c r="H32" i="72"/>
  <c r="A38" i="39"/>
  <c r="A221" i="39"/>
  <c r="G44" i="77" s="1"/>
  <c r="C41" i="46"/>
  <c r="H38" i="80"/>
  <c r="H49" i="78"/>
  <c r="H55" i="58"/>
  <c r="H45" i="62"/>
  <c r="H46" i="62"/>
  <c r="H49" i="46"/>
  <c r="H24" i="47"/>
  <c r="H34" i="34"/>
  <c r="H55" i="44"/>
  <c r="H35" i="44"/>
  <c r="H56" i="33"/>
  <c r="H53" i="20"/>
  <c r="H29" i="20"/>
  <c r="H48" i="20"/>
  <c r="H35" i="18"/>
  <c r="H48" i="17"/>
  <c r="H51" i="56"/>
  <c r="H36" i="17"/>
  <c r="H41" i="18"/>
  <c r="H35" i="8"/>
  <c r="H48" i="18"/>
  <c r="H51" i="17"/>
  <c r="H48" i="7"/>
  <c r="H49" i="54"/>
  <c r="H52" i="7"/>
  <c r="H52" i="71"/>
  <c r="H53" i="71"/>
  <c r="H47" i="5"/>
  <c r="H50" i="3"/>
  <c r="H32" i="30"/>
  <c r="H32" i="4"/>
  <c r="H48" i="72"/>
  <c r="H61" i="78"/>
  <c r="H40" i="78"/>
  <c r="H33" i="78"/>
  <c r="H39" i="78"/>
  <c r="H42" i="54"/>
  <c r="H43" i="7"/>
  <c r="H43" i="31"/>
  <c r="H40" i="74"/>
  <c r="H42" i="6"/>
  <c r="G19" i="57"/>
  <c r="G18" i="57"/>
  <c r="G46" i="57"/>
  <c r="G45" i="57"/>
  <c r="G44" i="57"/>
  <c r="H44" i="37"/>
  <c r="H46" i="81"/>
  <c r="H44" i="58"/>
  <c r="H51" i="62"/>
  <c r="H35" i="46"/>
  <c r="H44" i="34"/>
  <c r="H43" i="48"/>
  <c r="H38" i="44"/>
  <c r="H46" i="33"/>
  <c r="H39" i="20"/>
  <c r="H36" i="70"/>
  <c r="H53" i="8"/>
  <c r="H54" i="18"/>
  <c r="H35" i="17"/>
  <c r="H46" i="8"/>
  <c r="H52" i="17"/>
  <c r="H37" i="56"/>
  <c r="H49" i="51"/>
  <c r="H48" i="51"/>
  <c r="H46" i="31"/>
  <c r="H49" i="71"/>
  <c r="H48" i="30"/>
  <c r="H46" i="4"/>
  <c r="H48" i="4"/>
  <c r="G87" i="77"/>
  <c r="H35" i="78"/>
  <c r="H32" i="78"/>
  <c r="H42" i="7"/>
  <c r="H43" i="54"/>
  <c r="H42" i="4"/>
  <c r="H39" i="37"/>
  <c r="G21" i="57"/>
  <c r="G20" i="57"/>
  <c r="G34" i="57"/>
  <c r="G15" i="57"/>
  <c r="G28" i="57"/>
  <c r="H28" i="61"/>
  <c r="G43" i="57"/>
  <c r="H29" i="62"/>
  <c r="H29" i="46"/>
  <c r="H30" i="44"/>
  <c r="H29" i="48"/>
  <c r="H26" i="61"/>
  <c r="H25" i="46"/>
  <c r="H26" i="48"/>
  <c r="H55" i="46"/>
  <c r="H25" i="33"/>
  <c r="H29" i="33"/>
  <c r="H30" i="70"/>
  <c r="H28" i="17"/>
  <c r="H29" i="19"/>
  <c r="H26" i="17"/>
  <c r="H59" i="20"/>
  <c r="H30" i="8"/>
  <c r="H25" i="56"/>
  <c r="H35" i="74"/>
  <c r="H36" i="37"/>
  <c r="H65" i="53"/>
  <c r="H46" i="53"/>
  <c r="H32" i="53"/>
  <c r="H40" i="51"/>
  <c r="H60" i="55"/>
  <c r="H33" i="55"/>
  <c r="H62" i="7"/>
  <c r="H35" i="7"/>
  <c r="H38" i="54"/>
  <c r="H53" i="78"/>
  <c r="H37" i="61"/>
  <c r="H45" i="46"/>
  <c r="H49" i="34"/>
  <c r="H51" i="44"/>
  <c r="H40" i="33"/>
  <c r="H27" i="20"/>
  <c r="H44" i="20"/>
  <c r="H44" i="19"/>
  <c r="H57" i="19"/>
  <c r="H40" i="8"/>
  <c r="H53" i="56"/>
  <c r="H47" i="51"/>
  <c r="H48" i="5"/>
  <c r="H45" i="6"/>
  <c r="H52" i="4"/>
  <c r="H46" i="3"/>
  <c r="H52" i="72"/>
  <c r="H38" i="78"/>
  <c r="H34" i="78"/>
  <c r="H42" i="30"/>
  <c r="H42" i="31"/>
  <c r="H44" i="72"/>
  <c r="H54" i="53"/>
  <c r="G22" i="57"/>
  <c r="G33" i="57"/>
  <c r="G13" i="57"/>
  <c r="H60" i="61"/>
  <c r="H31" i="62"/>
  <c r="H30" i="62"/>
  <c r="H57" i="48"/>
  <c r="H27" i="46"/>
  <c r="H27" i="44"/>
  <c r="H27" i="47"/>
  <c r="H30" i="34"/>
  <c r="H30" i="33"/>
  <c r="H28" i="33"/>
  <c r="H30" i="17"/>
  <c r="H31" i="19"/>
  <c r="H28" i="19"/>
  <c r="H31" i="17"/>
  <c r="H31" i="56"/>
  <c r="H27" i="74"/>
  <c r="H32" i="37"/>
  <c r="H48" i="53"/>
  <c r="H69" i="51"/>
  <c r="H33" i="51"/>
  <c r="H35" i="55"/>
  <c r="H61" i="7"/>
  <c r="H29" i="7"/>
  <c r="H30" i="54"/>
  <c r="H36" i="5"/>
  <c r="H29" i="18"/>
  <c r="H31" i="74"/>
  <c r="H31" i="37"/>
  <c r="H26" i="8"/>
  <c r="H28" i="56"/>
  <c r="H29" i="74"/>
  <c r="H30" i="37"/>
  <c r="H37" i="53"/>
  <c r="H67" i="51"/>
  <c r="H32" i="51"/>
  <c r="H38" i="7"/>
  <c r="H67" i="54"/>
  <c r="H52" i="74"/>
  <c r="H48" i="74"/>
  <c r="H63" i="37"/>
  <c r="H50" i="37"/>
  <c r="H42" i="51"/>
  <c r="H56" i="7"/>
  <c r="H60" i="54"/>
  <c r="H32" i="5"/>
  <c r="H38" i="6"/>
  <c r="H64" i="71"/>
  <c r="H63" i="31"/>
  <c r="H37" i="30"/>
  <c r="H50" i="4"/>
  <c r="H63" i="3"/>
  <c r="H51" i="3"/>
  <c r="H36" i="53"/>
  <c r="H38" i="55"/>
  <c r="H45" i="72"/>
  <c r="H35" i="3"/>
  <c r="H63" i="4"/>
  <c r="H49" i="31"/>
  <c r="H30" i="72"/>
  <c r="H30" i="4"/>
  <c r="H60" i="4"/>
  <c r="H39" i="31"/>
  <c r="H43" i="3"/>
  <c r="H55" i="3"/>
  <c r="H65" i="30"/>
  <c r="H67" i="71"/>
  <c r="H28" i="3"/>
  <c r="H37" i="4"/>
  <c r="H36" i="31"/>
  <c r="H33" i="71"/>
  <c r="H68" i="31"/>
  <c r="H39" i="71"/>
  <c r="H61" i="6"/>
  <c r="H34" i="5"/>
  <c r="H35" i="54"/>
  <c r="H65" i="7"/>
  <c r="H39" i="55"/>
  <c r="H40" i="53"/>
  <c r="H38" i="72"/>
  <c r="H53" i="3"/>
  <c r="H51" i="4"/>
  <c r="H33" i="30"/>
  <c r="H60" i="30"/>
  <c r="H33" i="31"/>
  <c r="H30" i="71"/>
  <c r="H31" i="6"/>
  <c r="H37" i="6"/>
  <c r="H29" i="54"/>
  <c r="H46" i="55"/>
  <c r="H65" i="51"/>
  <c r="H64" i="6"/>
  <c r="H66" i="5"/>
  <c r="H32" i="7"/>
  <c r="H39" i="53"/>
  <c r="H60" i="3"/>
  <c r="H35" i="4"/>
  <c r="H67" i="30"/>
  <c r="H29" i="71"/>
  <c r="H35" i="6"/>
  <c r="H61" i="5"/>
  <c r="H39" i="7"/>
  <c r="H49" i="55"/>
  <c r="H51" i="37"/>
  <c r="H32" i="74"/>
  <c r="H51" i="74"/>
  <c r="H30" i="7"/>
  <c r="H40" i="55"/>
  <c r="H41" i="51"/>
  <c r="H47" i="53"/>
  <c r="H64" i="37"/>
  <c r="H61" i="74"/>
  <c r="H31" i="8"/>
  <c r="H66" i="37"/>
  <c r="H61" i="8"/>
  <c r="H37" i="5"/>
  <c r="H36" i="54"/>
  <c r="H44" i="7"/>
  <c r="H41" i="55"/>
  <c r="H63" i="51"/>
  <c r="H41" i="53"/>
  <c r="H35" i="37"/>
  <c r="H46" i="74"/>
  <c r="H28" i="18"/>
  <c r="H62" i="17"/>
  <c r="H27" i="17"/>
  <c r="H59" i="70"/>
  <c r="H59" i="33"/>
  <c r="H25" i="47"/>
  <c r="H26" i="62"/>
  <c r="H28" i="44"/>
  <c r="H27" i="62"/>
  <c r="H25" i="62"/>
  <c r="G36" i="57"/>
  <c r="G24" i="57"/>
  <c r="H42" i="3"/>
  <c r="H42" i="71"/>
  <c r="H41" i="78"/>
  <c r="H37" i="78"/>
  <c r="H50" i="72"/>
  <c r="H45" i="3"/>
  <c r="H45" i="31"/>
  <c r="H53" i="51"/>
  <c r="H37" i="17"/>
  <c r="H41" i="8"/>
  <c r="H35" i="56"/>
  <c r="H57" i="18"/>
  <c r="H47" i="20"/>
  <c r="H27" i="33"/>
  <c r="H42" i="34"/>
  <c r="H39" i="62"/>
  <c r="H42" i="61"/>
  <c r="H47" i="80"/>
  <c r="H46" i="72"/>
  <c r="H38" i="3"/>
  <c r="H34" i="30"/>
  <c r="H55" i="31"/>
  <c r="H34" i="72"/>
  <c r="H31" i="4"/>
  <c r="H49" i="30"/>
  <c r="H61" i="31"/>
  <c r="H34" i="3"/>
  <c r="H64" i="3"/>
  <c r="H54" i="31"/>
  <c r="H31" i="72"/>
  <c r="H29" i="3"/>
  <c r="H64" i="4"/>
  <c r="H37" i="31"/>
  <c r="H36" i="71"/>
  <c r="H34" i="71"/>
  <c r="H51" i="71"/>
  <c r="H28" i="5"/>
  <c r="H35" i="5"/>
  <c r="H39" i="54"/>
  <c r="H30" i="55"/>
  <c r="H65" i="55"/>
  <c r="H33" i="72"/>
  <c r="H54" i="72"/>
  <c r="H33" i="4"/>
  <c r="H28" i="30"/>
  <c r="H35" i="30"/>
  <c r="H61" i="30"/>
  <c r="H50" i="31"/>
  <c r="H60" i="71"/>
  <c r="H32" i="6"/>
  <c r="H66" i="6"/>
  <c r="H51" i="54"/>
  <c r="H48" i="55"/>
  <c r="H45" i="53"/>
  <c r="H30" i="5"/>
  <c r="H33" i="54"/>
  <c r="H54" i="55"/>
  <c r="H39" i="72"/>
  <c r="H61" i="3"/>
  <c r="H66" i="4"/>
  <c r="H34" i="31"/>
  <c r="H31" i="71"/>
  <c r="H39" i="6"/>
  <c r="H32" i="54"/>
  <c r="H51" i="7"/>
  <c r="H28" i="37"/>
  <c r="H52" i="37"/>
  <c r="H33" i="74"/>
  <c r="H32" i="8"/>
  <c r="H31" i="7"/>
  <c r="H31" i="51"/>
  <c r="H30" i="53"/>
  <c r="H67" i="53"/>
  <c r="H69" i="37"/>
  <c r="H29" i="56"/>
  <c r="H25" i="19"/>
  <c r="H67" i="37"/>
  <c r="H26" i="19"/>
  <c r="H63" i="5"/>
  <c r="H28" i="7"/>
  <c r="H63" i="7"/>
  <c r="H59" i="55"/>
  <c r="H64" i="51"/>
  <c r="H49" i="53"/>
  <c r="H47" i="37"/>
  <c r="H47" i="74"/>
  <c r="H30" i="20"/>
  <c r="H31" i="33"/>
  <c r="H29" i="17"/>
  <c r="H24" i="44"/>
  <c r="H58" i="44"/>
  <c r="H26" i="47"/>
  <c r="H27" i="48"/>
  <c r="H31" i="34"/>
  <c r="H28" i="62"/>
  <c r="H27" i="61"/>
  <c r="G37" i="57"/>
  <c r="G23" i="57"/>
  <c r="H43" i="72"/>
  <c r="H43" i="6"/>
  <c r="H39" i="74"/>
  <c r="H66" i="78"/>
  <c r="H30" i="78"/>
  <c r="H52" i="3"/>
  <c r="H30" i="31"/>
  <c r="H46" i="71"/>
  <c r="H46" i="51"/>
  <c r="H44" i="18"/>
  <c r="H45" i="18"/>
  <c r="H50" i="18"/>
  <c r="H41" i="70"/>
  <c r="H34" i="70"/>
  <c r="H50" i="44"/>
  <c r="H32" i="47"/>
  <c r="H43" i="62"/>
  <c r="A248" i="39"/>
  <c r="A159" i="39"/>
  <c r="A222" i="39"/>
  <c r="K50" i="77" s="1"/>
  <c r="A215" i="39"/>
  <c r="E754" i="1"/>
  <c r="C50" i="5"/>
  <c r="H43" i="81"/>
  <c r="H42" i="80"/>
  <c r="H45" i="81"/>
  <c r="H46" i="80"/>
  <c r="H50" i="78"/>
  <c r="H48" i="62"/>
  <c r="H30" i="58"/>
  <c r="H57" i="61"/>
  <c r="H25" i="58"/>
  <c r="H36" i="62"/>
  <c r="H47" i="58"/>
  <c r="H51" i="58"/>
  <c r="H43" i="46"/>
  <c r="H34" i="46"/>
  <c r="H23" i="47"/>
  <c r="H37" i="47"/>
  <c r="H27" i="34"/>
  <c r="H29" i="34"/>
  <c r="H41" i="34"/>
  <c r="H53" i="48"/>
  <c r="H38" i="48"/>
  <c r="H54" i="48"/>
  <c r="H49" i="44"/>
  <c r="H42" i="44"/>
  <c r="H33" i="44"/>
  <c r="H53" i="33"/>
  <c r="H37" i="33"/>
  <c r="H54" i="33"/>
  <c r="H49" i="6"/>
  <c r="H27" i="70"/>
  <c r="H45" i="20"/>
  <c r="H37" i="20"/>
  <c r="H47" i="70"/>
  <c r="H25" i="20"/>
  <c r="H25" i="70"/>
  <c r="H53" i="70"/>
  <c r="H53" i="19"/>
  <c r="H51" i="18"/>
  <c r="H49" i="8"/>
  <c r="H42" i="56"/>
  <c r="H44" i="17"/>
  <c r="H42" i="19"/>
  <c r="H40" i="18"/>
  <c r="H47" i="56"/>
  <c r="H57" i="17"/>
  <c r="H26" i="18"/>
  <c r="H51" i="19"/>
  <c r="H56" i="18"/>
  <c r="H54" i="8"/>
  <c r="H44" i="8"/>
  <c r="H39" i="8"/>
  <c r="H50" i="56"/>
  <c r="H54" i="17"/>
  <c r="H40" i="19"/>
  <c r="H38" i="18"/>
  <c r="H49" i="56"/>
  <c r="H56" i="17"/>
  <c r="H38" i="17"/>
  <c r="H55" i="7"/>
  <c r="H47" i="7"/>
  <c r="H51" i="55"/>
  <c r="H53" i="54"/>
  <c r="H50" i="55"/>
  <c r="H55" i="54"/>
  <c r="H54" i="54"/>
  <c r="H51" i="6"/>
  <c r="H29" i="31"/>
  <c r="H48" i="71"/>
  <c r="H46" i="37"/>
  <c r="H41" i="81"/>
  <c r="H40" i="80"/>
  <c r="H29" i="81"/>
  <c r="H47" i="78"/>
  <c r="H51" i="80"/>
  <c r="H55" i="62"/>
  <c r="H44" i="62"/>
  <c r="H29" i="58"/>
  <c r="H41" i="61"/>
  <c r="H50" i="61"/>
  <c r="H60" i="62"/>
  <c r="H35" i="58"/>
  <c r="H47" i="62"/>
  <c r="H41" i="46"/>
  <c r="H51" i="46"/>
  <c r="H49" i="47"/>
  <c r="H36" i="47"/>
  <c r="H52" i="34"/>
  <c r="H53" i="34"/>
  <c r="H40" i="34"/>
  <c r="H51" i="48"/>
  <c r="H37" i="48"/>
  <c r="H46" i="48"/>
  <c r="H26" i="44"/>
  <c r="H41" i="44"/>
  <c r="H56" i="8"/>
  <c r="H45" i="33"/>
  <c r="H36" i="33"/>
  <c r="H52" i="33"/>
  <c r="H44" i="70"/>
  <c r="H26" i="20"/>
  <c r="H43" i="20"/>
  <c r="H35" i="20"/>
  <c r="H43" i="70"/>
  <c r="H54" i="70"/>
  <c r="H52" i="20"/>
  <c r="H49" i="70"/>
  <c r="H49" i="19"/>
  <c r="H39" i="18"/>
  <c r="H45" i="8"/>
  <c r="H38" i="56"/>
  <c r="H42" i="17"/>
  <c r="H34" i="19"/>
  <c r="H36" i="18"/>
  <c r="H43" i="56"/>
  <c r="H43" i="17"/>
  <c r="H40" i="17"/>
  <c r="H47" i="19"/>
  <c r="H49" i="18"/>
  <c r="H52" i="8"/>
  <c r="H43" i="8"/>
  <c r="H37" i="8"/>
  <c r="H46" i="56"/>
  <c r="H46" i="17"/>
  <c r="H52" i="18"/>
  <c r="H34" i="18"/>
  <c r="H45" i="56"/>
  <c r="H45" i="17"/>
  <c r="H34" i="17"/>
  <c r="H54" i="7"/>
  <c r="H45" i="7"/>
  <c r="H45" i="55"/>
  <c r="H47" i="54"/>
  <c r="H44" i="55"/>
  <c r="H49" i="5"/>
  <c r="H53" i="5"/>
  <c r="H44" i="6"/>
  <c r="H54" i="5"/>
  <c r="H47" i="31"/>
  <c r="H30" i="6"/>
  <c r="H45" i="71"/>
  <c r="H52" i="5"/>
  <c r="H52" i="30"/>
  <c r="H48" i="3"/>
  <c r="H53" i="4"/>
  <c r="H46" i="30"/>
  <c r="H47" i="3"/>
  <c r="H51" i="72"/>
  <c r="A247" i="39"/>
  <c r="A245" i="39"/>
  <c r="A14" i="5"/>
  <c r="A46" i="39"/>
  <c r="B5" i="62" s="1"/>
  <c r="H54" i="3"/>
  <c r="H45" i="30"/>
  <c r="H45" i="4"/>
  <c r="H43" i="5"/>
  <c r="H56" i="31"/>
  <c r="H42" i="5"/>
  <c r="H45" i="5"/>
  <c r="H51" i="5"/>
  <c r="H57" i="51"/>
  <c r="H50" i="51"/>
  <c r="H49" i="7"/>
  <c r="H41" i="17"/>
  <c r="H58" i="8"/>
  <c r="H50" i="19"/>
  <c r="H36" i="8"/>
  <c r="H50" i="8"/>
  <c r="H39" i="19"/>
  <c r="H39" i="17"/>
  <c r="H57" i="8"/>
  <c r="H48" i="19"/>
  <c r="H52" i="56"/>
  <c r="H37" i="19"/>
  <c r="H50" i="20"/>
  <c r="H39" i="70"/>
  <c r="H40" i="20"/>
  <c r="H42" i="70"/>
  <c r="H34" i="33"/>
  <c r="H55" i="56"/>
  <c r="H52" i="44"/>
  <c r="H35" i="48"/>
  <c r="H36" i="34"/>
  <c r="H50" i="34"/>
  <c r="H45" i="47"/>
  <c r="H38" i="46"/>
  <c r="H54" i="62"/>
  <c r="H46" i="61"/>
  <c r="H37" i="58"/>
  <c r="H52" i="61"/>
  <c r="H26" i="80"/>
  <c r="H31" i="80"/>
  <c r="H57" i="74"/>
  <c r="E729" i="1"/>
  <c r="F729" i="1"/>
  <c r="F755" i="1"/>
  <c r="E755" i="1"/>
  <c r="F737" i="1"/>
  <c r="E737" i="1"/>
  <c r="J13" i="1"/>
  <c r="C45" i="4"/>
  <c r="H43" i="74"/>
  <c r="H42" i="81"/>
  <c r="H56" i="80"/>
  <c r="H27" i="80"/>
  <c r="H27" i="81"/>
  <c r="H37" i="80"/>
  <c r="H47" i="81"/>
  <c r="H54" i="78"/>
  <c r="H51" i="53"/>
  <c r="H34" i="61"/>
  <c r="H48" i="58"/>
  <c r="H54" i="58"/>
  <c r="H45" i="61"/>
  <c r="H37" i="62"/>
  <c r="H43" i="61"/>
  <c r="H36" i="58"/>
  <c r="H43" i="58"/>
  <c r="H50" i="58"/>
  <c r="H46" i="46"/>
  <c r="H39" i="46"/>
  <c r="H33" i="46"/>
  <c r="H44" i="47"/>
  <c r="H43" i="47"/>
  <c r="H34" i="47"/>
  <c r="H54" i="34"/>
  <c r="H28" i="34"/>
  <c r="H47" i="34"/>
  <c r="H37" i="34"/>
  <c r="H44" i="48"/>
  <c r="H41" i="48"/>
  <c r="H33" i="48"/>
  <c r="H42" i="48"/>
  <c r="H45" i="44"/>
  <c r="H44" i="44"/>
  <c r="H37" i="44"/>
  <c r="H55" i="17"/>
  <c r="H47" i="33"/>
  <c r="H38" i="33"/>
  <c r="H44" i="33"/>
  <c r="H50" i="33"/>
  <c r="H48" i="70"/>
  <c r="H29" i="70"/>
  <c r="H51" i="20"/>
  <c r="H41" i="20"/>
  <c r="H36" i="20"/>
  <c r="H56" i="70"/>
  <c r="H28" i="70"/>
  <c r="H50" i="70"/>
  <c r="H55" i="20"/>
  <c r="H55" i="70"/>
  <c r="H37" i="70"/>
  <c r="H45" i="19"/>
  <c r="H43" i="18"/>
  <c r="H51" i="8"/>
  <c r="C39" i="8"/>
  <c r="C59" i="5"/>
  <c r="C60" i="71"/>
  <c r="C61" i="31"/>
  <c r="C59" i="3"/>
  <c r="C61" i="7"/>
  <c r="C60" i="30"/>
  <c r="H42" i="37"/>
  <c r="H41" i="74"/>
  <c r="H52" i="80"/>
  <c r="H44" i="80"/>
  <c r="H30" i="80"/>
  <c r="H30" i="81"/>
  <c r="H50" i="81"/>
  <c r="H35" i="80"/>
  <c r="H32" i="80"/>
  <c r="H36" i="80"/>
  <c r="H52" i="53"/>
  <c r="H38" i="61"/>
  <c r="H38" i="62"/>
  <c r="H34" i="58"/>
  <c r="H49" i="58"/>
  <c r="H56" i="61"/>
  <c r="H49" i="62"/>
  <c r="H54" i="61"/>
  <c r="H39" i="61"/>
  <c r="H52" i="58"/>
  <c r="H56" i="58"/>
  <c r="H55" i="61"/>
  <c r="H46" i="58"/>
  <c r="H48" i="46"/>
  <c r="H42" i="46"/>
  <c r="H37" i="46"/>
  <c r="H52" i="46"/>
  <c r="H46" i="47"/>
  <c r="H48" i="47"/>
  <c r="H38" i="47"/>
  <c r="H33" i="47"/>
  <c r="H57" i="34"/>
  <c r="H46" i="34"/>
  <c r="H25" i="34"/>
  <c r="H45" i="34"/>
  <c r="H38" i="34"/>
  <c r="H25" i="48"/>
  <c r="H49" i="48"/>
  <c r="H39" i="48"/>
  <c r="H34" i="48"/>
  <c r="H52" i="48"/>
  <c r="H53" i="44"/>
  <c r="H43" i="44"/>
  <c r="H48" i="44"/>
  <c r="H39" i="44"/>
  <c r="H34" i="44"/>
  <c r="H55" i="19"/>
  <c r="H49" i="33"/>
  <c r="H41" i="33"/>
  <c r="H53" i="31"/>
  <c r="H42" i="74"/>
  <c r="H43" i="37"/>
  <c r="H45" i="37"/>
  <c r="H35" i="81"/>
  <c r="H46" i="78"/>
  <c r="H41" i="80"/>
  <c r="H29" i="80"/>
  <c r="H31" i="81"/>
  <c r="H56" i="81"/>
  <c r="H50" i="80"/>
  <c r="H51" i="78"/>
  <c r="H37" i="81"/>
  <c r="H38" i="81"/>
  <c r="H44" i="53"/>
  <c r="H50" i="53"/>
  <c r="H48" i="61"/>
  <c r="H52" i="62"/>
  <c r="H34" i="62"/>
  <c r="H42" i="58"/>
  <c r="H26" i="58"/>
  <c r="H40" i="61"/>
  <c r="H53" i="61"/>
  <c r="H53" i="62"/>
  <c r="H45" i="58"/>
  <c r="C46" i="3"/>
  <c r="C39" i="19"/>
  <c r="C39" i="47"/>
  <c r="C50" i="6"/>
  <c r="E745" i="1"/>
  <c r="A249" i="39"/>
  <c r="A243" i="39"/>
  <c r="A3" i="17" s="1"/>
  <c r="C45" i="5"/>
  <c r="K31" i="4"/>
  <c r="C42" i="58"/>
  <c r="C40" i="48"/>
  <c r="F728" i="1"/>
  <c r="G262" i="1"/>
  <c r="G307" i="1"/>
  <c r="G375" i="1"/>
  <c r="G378" i="1"/>
  <c r="G384" i="1"/>
  <c r="G624" i="1"/>
  <c r="G150" i="1"/>
  <c r="F150" i="1"/>
  <c r="G105" i="1"/>
  <c r="G302" i="1"/>
  <c r="G305" i="1"/>
  <c r="G376" i="1"/>
  <c r="G559" i="1"/>
  <c r="G608" i="1"/>
  <c r="G106" i="1"/>
  <c r="G309" i="1"/>
  <c r="G383" i="1"/>
  <c r="G386" i="1"/>
  <c r="G571" i="1"/>
  <c r="E566" i="1"/>
  <c r="G581" i="1"/>
  <c r="E552" i="1"/>
  <c r="E77" i="1"/>
  <c r="E172" i="1"/>
  <c r="F168" i="1"/>
  <c r="B12" i="53"/>
  <c r="D36" i="53"/>
  <c r="B10" i="80"/>
  <c r="B11" i="80"/>
  <c r="D32" i="80"/>
  <c r="B9" i="80"/>
  <c r="B11" i="62"/>
  <c r="B10" i="62"/>
  <c r="D31" i="62"/>
  <c r="B9" i="62"/>
  <c r="A12" i="62"/>
  <c r="B9" i="55"/>
  <c r="Q24" i="55"/>
  <c r="R24" i="55" s="1"/>
  <c r="T24" i="55" s="1"/>
  <c r="L27" i="55" s="1"/>
  <c r="Q26" i="55"/>
  <c r="Q33" i="55"/>
  <c r="S19" i="55"/>
  <c r="S9" i="55" s="1"/>
  <c r="Q27" i="55"/>
  <c r="Q34" i="55"/>
  <c r="R8" i="5"/>
  <c r="S8" i="5" s="1"/>
  <c r="B8" i="5"/>
  <c r="B9" i="5"/>
  <c r="L12" i="5"/>
  <c r="M12" i="5" s="1"/>
  <c r="S8" i="71"/>
  <c r="T8" i="71"/>
  <c r="L12" i="71"/>
  <c r="M12" i="71" s="1"/>
  <c r="B12" i="30"/>
  <c r="D34" i="30"/>
  <c r="C8" i="4"/>
  <c r="C9" i="4" s="1"/>
  <c r="J33" i="4"/>
  <c r="Q8" i="72"/>
  <c r="K9" i="72"/>
  <c r="K11" i="72" s="1"/>
  <c r="K12" i="72"/>
  <c r="L12" i="72" s="1"/>
  <c r="K13" i="72"/>
  <c r="B9" i="51"/>
  <c r="C10" i="51"/>
  <c r="K13" i="51" s="1"/>
  <c r="R26" i="55"/>
  <c r="C13" i="6"/>
  <c r="D57" i="6"/>
  <c r="F315" i="1"/>
  <c r="E315" i="1"/>
  <c r="G315" i="1"/>
  <c r="C46" i="6"/>
  <c r="C38" i="19"/>
  <c r="E651" i="1"/>
  <c r="E144" i="1"/>
  <c r="F155" i="1"/>
  <c r="E155" i="1"/>
  <c r="E73" i="1"/>
  <c r="E163" i="1"/>
  <c r="F169" i="1"/>
  <c r="F171" i="1"/>
  <c r="F173" i="1"/>
  <c r="G79" i="1"/>
  <c r="F81" i="1"/>
  <c r="F143" i="1"/>
  <c r="F147" i="1"/>
  <c r="E74" i="1"/>
  <c r="E68" i="1"/>
  <c r="E66" i="1"/>
  <c r="E150" i="1"/>
  <c r="F152" i="1"/>
  <c r="F597" i="1"/>
  <c r="C51" i="53"/>
  <c r="C45" i="6"/>
  <c r="C37" i="34"/>
  <c r="H45" i="80"/>
  <c r="H39" i="81"/>
  <c r="H48" i="81"/>
  <c r="H44" i="74"/>
  <c r="H59" i="37"/>
  <c r="H31" i="58"/>
  <c r="C35" i="48"/>
  <c r="C8" i="74"/>
  <c r="C9" i="74"/>
  <c r="B12" i="17"/>
  <c r="B8" i="17"/>
  <c r="C9" i="17"/>
  <c r="C10" i="17" s="1"/>
  <c r="Q8" i="54"/>
  <c r="T8" i="54" s="1"/>
  <c r="K12" i="54"/>
  <c r="L12" i="54" s="1"/>
  <c r="K9" i="54"/>
  <c r="K11" i="54" s="1"/>
  <c r="K33" i="71"/>
  <c r="C10" i="78"/>
  <c r="K13" i="78" s="1"/>
  <c r="B8" i="78"/>
  <c r="B9" i="78"/>
  <c r="F76" i="57"/>
  <c r="K9" i="78"/>
  <c r="K11" i="78" s="1"/>
  <c r="C10" i="31"/>
  <c r="R8" i="31" s="1"/>
  <c r="C8" i="53"/>
  <c r="C9" i="53" s="1"/>
  <c r="D59" i="53" s="1"/>
  <c r="A8" i="8"/>
  <c r="A8" i="19" s="1"/>
  <c r="A43" i="6"/>
  <c r="A53" i="7"/>
  <c r="L66" i="8"/>
  <c r="L61" i="62"/>
  <c r="K66" i="55"/>
  <c r="L63" i="34"/>
  <c r="L61" i="61"/>
  <c r="L72" i="4"/>
  <c r="L64" i="70"/>
  <c r="L67" i="30"/>
  <c r="L62" i="19"/>
  <c r="K68" i="54"/>
  <c r="C57" i="6"/>
  <c r="G27" i="5"/>
  <c r="G27" i="30"/>
  <c r="G28" i="72"/>
  <c r="A41" i="78"/>
  <c r="K68" i="53"/>
  <c r="L64" i="33"/>
  <c r="A52" i="4"/>
  <c r="A39" i="7"/>
  <c r="C27" i="30"/>
  <c r="A39" i="4"/>
  <c r="C57" i="5"/>
  <c r="C59" i="7"/>
  <c r="C54" i="74"/>
  <c r="C59" i="31"/>
  <c r="A53" i="54"/>
  <c r="A41" i="53"/>
  <c r="A39" i="5"/>
  <c r="C27" i="31"/>
  <c r="C58" i="71"/>
  <c r="C57" i="3"/>
  <c r="C57" i="4"/>
  <c r="A52" i="6"/>
  <c r="C57" i="55"/>
  <c r="C55" i="37"/>
  <c r="A41" i="55"/>
  <c r="F7" i="53"/>
  <c r="C58" i="30"/>
  <c r="G8" i="4"/>
  <c r="F8" i="37"/>
  <c r="F7" i="78"/>
  <c r="F7" i="74"/>
  <c r="G8" i="72"/>
  <c r="F8" i="78"/>
  <c r="C28" i="72"/>
  <c r="A11" i="80"/>
  <c r="F8" i="54"/>
  <c r="F29" i="53"/>
  <c r="A62" i="71"/>
  <c r="A43" i="7"/>
  <c r="A42" i="8"/>
  <c r="F27" i="31"/>
  <c r="F27" i="7"/>
  <c r="F8" i="53"/>
  <c r="F7" i="7"/>
  <c r="G8" i="6"/>
  <c r="F7" i="51"/>
  <c r="G8" i="5"/>
  <c r="G7" i="5"/>
  <c r="F7" i="37"/>
  <c r="G7" i="31"/>
  <c r="G8" i="71"/>
  <c r="A61" i="6"/>
  <c r="E3" i="72"/>
  <c r="F22" i="47"/>
  <c r="G8" i="30"/>
  <c r="G7" i="3"/>
  <c r="F8" i="7"/>
  <c r="F7" i="54"/>
  <c r="F8" i="74"/>
  <c r="G7" i="4"/>
  <c r="G7" i="30"/>
  <c r="F30" i="51"/>
  <c r="F8" i="55"/>
  <c r="G7" i="71"/>
  <c r="F8" i="51"/>
  <c r="F7" i="55"/>
  <c r="G8" i="31"/>
  <c r="A38" i="72"/>
  <c r="E74" i="42"/>
  <c r="F29" i="78"/>
  <c r="E3" i="57"/>
  <c r="F24" i="58"/>
  <c r="F27" i="5"/>
  <c r="F27" i="6" s="1"/>
  <c r="F24" i="56"/>
  <c r="F24" i="61"/>
  <c r="F25" i="80"/>
  <c r="F25" i="8"/>
  <c r="F24" i="19" s="1"/>
  <c r="F24" i="62"/>
  <c r="F29" i="55"/>
  <c r="F26" i="37"/>
  <c r="F24" i="46"/>
  <c r="F27" i="30"/>
  <c r="F25" i="81"/>
  <c r="D3" i="5"/>
  <c r="F24" i="34"/>
  <c r="F27" i="4"/>
  <c r="F27" i="54"/>
  <c r="F28" i="72"/>
  <c r="E3" i="81"/>
  <c r="E3" i="78"/>
  <c r="E3" i="80"/>
  <c r="E3" i="7"/>
  <c r="E3" i="74"/>
  <c r="E3" i="47"/>
  <c r="E3" i="58"/>
  <c r="E3" i="54"/>
  <c r="E3" i="71"/>
  <c r="E3" i="51"/>
  <c r="E3" i="8"/>
  <c r="E3" i="18" s="1"/>
  <c r="E3" i="37"/>
  <c r="E3" i="6"/>
  <c r="E3" i="56"/>
  <c r="E3" i="62"/>
  <c r="E3" i="4"/>
  <c r="E3" i="31"/>
  <c r="E3" i="30"/>
  <c r="E3" i="5"/>
  <c r="E3" i="53"/>
  <c r="E3" i="46"/>
  <c r="E3" i="55"/>
  <c r="E3" i="34"/>
  <c r="E3" i="61"/>
  <c r="I629" i="1"/>
  <c r="I552" i="1"/>
  <c r="I124" i="1"/>
  <c r="I120" i="1"/>
  <c r="I32" i="1"/>
  <c r="I75" i="1"/>
  <c r="I160" i="1"/>
  <c r="I386" i="1"/>
  <c r="C223" i="1"/>
  <c r="L72" i="31"/>
  <c r="I472" i="1"/>
  <c r="I221" i="1"/>
  <c r="I655" i="1"/>
  <c r="I225" i="1"/>
  <c r="I223" i="1"/>
  <c r="I613" i="1"/>
  <c r="I603" i="1"/>
  <c r="I593" i="1"/>
  <c r="I564" i="1"/>
  <c r="I796" i="1"/>
  <c r="I29" i="1"/>
  <c r="I33" i="1"/>
  <c r="I78" i="1"/>
  <c r="I162" i="1"/>
  <c r="I648" i="1"/>
  <c r="I541" i="1"/>
  <c r="I323" i="1"/>
  <c r="I224" i="1"/>
  <c r="C224" i="1"/>
  <c r="I582" i="1"/>
  <c r="I802" i="1"/>
  <c r="I121" i="1"/>
  <c r="I122" i="1"/>
  <c r="I77" i="1"/>
  <c r="I76" i="1"/>
  <c r="I161" i="1"/>
  <c r="I222" i="1"/>
  <c r="L67" i="17"/>
  <c r="I387" i="1"/>
  <c r="I461" i="1"/>
  <c r="C222" i="1"/>
  <c r="I123" i="1"/>
  <c r="I74" i="1"/>
  <c r="I671" i="1"/>
  <c r="C655" i="1"/>
  <c r="I324" i="1"/>
  <c r="I164" i="1"/>
  <c r="I325" i="1"/>
  <c r="I30" i="1"/>
  <c r="I385" i="1"/>
  <c r="I572" i="1"/>
  <c r="C225" i="1"/>
  <c r="I31" i="1"/>
  <c r="I163" i="1"/>
  <c r="C221" i="1"/>
  <c r="I638" i="1"/>
  <c r="K12" i="78"/>
  <c r="L12" i="78" s="1"/>
  <c r="U8" i="5"/>
  <c r="U17" i="5" s="1"/>
  <c r="U9" i="5" s="1"/>
  <c r="T8" i="5"/>
  <c r="R22" i="5" s="1"/>
  <c r="S22" i="5" s="1"/>
  <c r="U22" i="5" s="1"/>
  <c r="M25" i="5" s="1"/>
  <c r="R29" i="71"/>
  <c r="S29" i="71"/>
  <c r="T29" i="71"/>
  <c r="S17" i="71"/>
  <c r="S9" i="71" s="1"/>
  <c r="R21" i="71"/>
  <c r="S21" i="71"/>
  <c r="T21" i="71"/>
  <c r="R24" i="71"/>
  <c r="S24" i="71" s="1"/>
  <c r="R30" i="71"/>
  <c r="S30" i="71"/>
  <c r="R25" i="71"/>
  <c r="S25" i="71"/>
  <c r="U25" i="71"/>
  <c r="T17" i="71"/>
  <c r="T9" i="71" s="1"/>
  <c r="R22" i="71"/>
  <c r="S22" i="71"/>
  <c r="U22" i="71"/>
  <c r="M25" i="71" s="1"/>
  <c r="R31" i="71"/>
  <c r="S31" i="71"/>
  <c r="U31" i="71"/>
  <c r="T8" i="72"/>
  <c r="Q9" i="72"/>
  <c r="Q10" i="72" s="1"/>
  <c r="Q11" i="72" s="1"/>
  <c r="Q12" i="72" s="1"/>
  <c r="Q13" i="72" s="1"/>
  <c r="Q14" i="72" s="1"/>
  <c r="R8" i="72"/>
  <c r="S8" i="72"/>
  <c r="K38" i="51"/>
  <c r="Q8" i="51"/>
  <c r="R8" i="51" s="1"/>
  <c r="S26" i="55"/>
  <c r="R27" i="55"/>
  <c r="T26" i="55"/>
  <c r="C12" i="74"/>
  <c r="L14" i="55"/>
  <c r="L19" i="55" s="1"/>
  <c r="D54" i="74"/>
  <c r="B10" i="17"/>
  <c r="B9" i="17"/>
  <c r="B11" i="17"/>
  <c r="D31" i="17"/>
  <c r="K37" i="78"/>
  <c r="Q8" i="78"/>
  <c r="S8" i="78" s="1"/>
  <c r="A40" i="37"/>
  <c r="A43" i="5"/>
  <c r="A47" i="51"/>
  <c r="A43" i="31"/>
  <c r="A43" i="54"/>
  <c r="A43" i="30"/>
  <c r="A43" i="4"/>
  <c r="A45" i="55"/>
  <c r="A40" i="74"/>
  <c r="G29" i="53"/>
  <c r="G26" i="37"/>
  <c r="A43" i="71"/>
  <c r="G24" i="62"/>
  <c r="G24" i="61"/>
  <c r="G24" i="58"/>
  <c r="G29" i="55"/>
  <c r="G22" i="47"/>
  <c r="G25" i="80"/>
  <c r="G25" i="8"/>
  <c r="G29" i="78"/>
  <c r="G27" i="54"/>
  <c r="G24" i="46"/>
  <c r="G30" i="51"/>
  <c r="G25" i="81"/>
  <c r="G27" i="7"/>
  <c r="G24" i="34"/>
  <c r="G26" i="74"/>
  <c r="G27" i="4"/>
  <c r="G24" i="56"/>
  <c r="D3" i="4"/>
  <c r="D3" i="61"/>
  <c r="D3" i="54"/>
  <c r="A40" i="78"/>
  <c r="A40" i="53"/>
  <c r="A38" i="30"/>
  <c r="A38" i="54"/>
  <c r="D3" i="58"/>
  <c r="D3" i="31"/>
  <c r="D3" i="7"/>
  <c r="D3" i="78"/>
  <c r="D3" i="55"/>
  <c r="D3" i="53"/>
  <c r="D3" i="6"/>
  <c r="D3" i="30"/>
  <c r="D3" i="62"/>
  <c r="D3" i="80"/>
  <c r="D3" i="34"/>
  <c r="D3" i="47"/>
  <c r="D3" i="46"/>
  <c r="D3" i="51"/>
  <c r="D3" i="37"/>
  <c r="D3" i="56"/>
  <c r="D3" i="74"/>
  <c r="D3" i="81"/>
  <c r="D3" i="71"/>
  <c r="D3" i="8"/>
  <c r="R28" i="5"/>
  <c r="S28" i="5" s="1"/>
  <c r="V28" i="5" s="1"/>
  <c r="U30" i="71"/>
  <c r="T30" i="71"/>
  <c r="T15" i="72"/>
  <c r="T9" i="72" s="1"/>
  <c r="Q29" i="72"/>
  <c r="Q24" i="72"/>
  <c r="R24" i="72"/>
  <c r="U24" i="72" s="1"/>
  <c r="L27" i="72" s="1"/>
  <c r="Q32" i="72"/>
  <c r="Q28" i="72"/>
  <c r="S15" i="72"/>
  <c r="S9" i="72" s="1"/>
  <c r="Q23" i="72"/>
  <c r="R23" i="72"/>
  <c r="T23" i="72" s="1"/>
  <c r="L26" i="72" s="1"/>
  <c r="Q26" i="72"/>
  <c r="R26" i="72" s="1"/>
  <c r="T26" i="72" s="1"/>
  <c r="Q27" i="72"/>
  <c r="Q21" i="72"/>
  <c r="R21" i="72" s="1"/>
  <c r="S21" i="72" s="1"/>
  <c r="L25" i="72" s="1"/>
  <c r="Q30" i="72"/>
  <c r="Q31" i="72"/>
  <c r="R15" i="72"/>
  <c r="R9" i="72" s="1"/>
  <c r="Q25" i="72"/>
  <c r="R25" i="72" s="1"/>
  <c r="Q33" i="72"/>
  <c r="T8" i="51"/>
  <c r="Q26" i="51" s="1"/>
  <c r="R26" i="51" s="1"/>
  <c r="U26" i="51" s="1"/>
  <c r="L29" i="51" s="1"/>
  <c r="T27" i="55"/>
  <c r="R27" i="72"/>
  <c r="S27" i="72" s="1"/>
  <c r="M24" i="71"/>
  <c r="T20" i="51"/>
  <c r="U27" i="72"/>
  <c r="R29" i="72"/>
  <c r="U29" i="72" s="1"/>
  <c r="R28" i="72"/>
  <c r="U28" i="72" s="1"/>
  <c r="R30" i="55"/>
  <c r="U30" i="55" s="1"/>
  <c r="M29" i="71"/>
  <c r="M30" i="71" s="1"/>
  <c r="R31" i="55"/>
  <c r="S31" i="55" s="1"/>
  <c r="R30" i="72"/>
  <c r="R33" i="55"/>
  <c r="S33" i="55" s="1"/>
  <c r="R34" i="55"/>
  <c r="T34" i="55"/>
  <c r="S30" i="72"/>
  <c r="R31" i="72"/>
  <c r="T31" i="72" s="1"/>
  <c r="R32" i="72"/>
  <c r="T32" i="72" s="1"/>
  <c r="R33" i="72"/>
  <c r="S33" i="72" s="1"/>
  <c r="C3" i="40"/>
  <c r="E44" i="54" s="1"/>
  <c r="F44" i="54" s="1"/>
  <c r="G44" i="54" s="1"/>
  <c r="A49" i="4" l="1"/>
  <c r="A9" i="48"/>
  <c r="A9" i="20"/>
  <c r="A9" i="34"/>
  <c r="F3" i="34"/>
  <c r="F3" i="88"/>
  <c r="F3" i="70"/>
  <c r="F3" i="56"/>
  <c r="F3" i="48"/>
  <c r="F3" i="5"/>
  <c r="F3" i="31"/>
  <c r="F3" i="17"/>
  <c r="F3" i="44"/>
  <c r="F3" i="6"/>
  <c r="F3" i="71"/>
  <c r="F3" i="30"/>
  <c r="F3" i="18"/>
  <c r="F3" i="87"/>
  <c r="F3" i="33"/>
  <c r="F3" i="20"/>
  <c r="F3" i="19"/>
  <c r="F3" i="8"/>
  <c r="K29" i="18"/>
  <c r="G11" i="71"/>
  <c r="L64" i="18"/>
  <c r="L64" i="20"/>
  <c r="L67" i="6"/>
  <c r="A46" i="61"/>
  <c r="A25" i="47"/>
  <c r="L66" i="3"/>
  <c r="L67" i="5"/>
  <c r="K57" i="81"/>
  <c r="L60" i="58"/>
  <c r="K67" i="78"/>
  <c r="K70" i="51"/>
  <c r="E29" i="19"/>
  <c r="F10" i="55"/>
  <c r="F3" i="4"/>
  <c r="F3" i="85"/>
  <c r="F3" i="72"/>
  <c r="F3" i="86"/>
  <c r="F3" i="3"/>
  <c r="A9" i="80"/>
  <c r="A9" i="70"/>
  <c r="E227" i="1"/>
  <c r="A11" i="17"/>
  <c r="A28" i="70"/>
  <c r="A27" i="46"/>
  <c r="H61" i="85"/>
  <c r="H31" i="85"/>
  <c r="A8" i="53"/>
  <c r="A38" i="81"/>
  <c r="A8" i="47"/>
  <c r="A49" i="51"/>
  <c r="A8" i="81"/>
  <c r="A45" i="62"/>
  <c r="A38" i="80"/>
  <c r="A47" i="78"/>
  <c r="A28" i="33"/>
  <c r="A8" i="74"/>
  <c r="E43" i="85"/>
  <c r="F43" i="85" s="1"/>
  <c r="G43" i="85" s="1"/>
  <c r="H60" i="85"/>
  <c r="H37" i="85"/>
  <c r="K27" i="53"/>
  <c r="K22" i="80"/>
  <c r="K24" i="80"/>
  <c r="C29" i="70"/>
  <c r="C35" i="56"/>
  <c r="C43" i="85"/>
  <c r="C32" i="85"/>
  <c r="L25" i="86"/>
  <c r="H48" i="85"/>
  <c r="H50" i="86"/>
  <c r="E98" i="1"/>
  <c r="A8" i="3"/>
  <c r="A8" i="51" s="1"/>
  <c r="A8" i="5"/>
  <c r="A8" i="71"/>
  <c r="A8" i="55"/>
  <c r="A8" i="86"/>
  <c r="A8" i="30"/>
  <c r="A8" i="85"/>
  <c r="A8" i="54"/>
  <c r="A8" i="31"/>
  <c r="A8" i="6"/>
  <c r="A8" i="7"/>
  <c r="A8" i="4"/>
  <c r="A41" i="19"/>
  <c r="C50" i="78"/>
  <c r="G11" i="6"/>
  <c r="F98" i="1"/>
  <c r="A41" i="56"/>
  <c r="A8" i="34"/>
  <c r="A8" i="87"/>
  <c r="A8" i="88"/>
  <c r="A41" i="18"/>
  <c r="G11" i="3"/>
  <c r="A41" i="17"/>
  <c r="A58" i="72"/>
  <c r="A10" i="3"/>
  <c r="A10" i="51" s="1"/>
  <c r="A10" i="88"/>
  <c r="A10" i="7"/>
  <c r="A10" i="5"/>
  <c r="A10" i="31"/>
  <c r="A10" i="87"/>
  <c r="A10" i="71"/>
  <c r="A10" i="6"/>
  <c r="A10" i="55"/>
  <c r="A10" i="30"/>
  <c r="A10" i="85"/>
  <c r="A10" i="4"/>
  <c r="A10" i="54"/>
  <c r="A10" i="86"/>
  <c r="H33" i="85"/>
  <c r="A41" i="34"/>
  <c r="G8" i="58"/>
  <c r="H63" i="85"/>
  <c r="A45" i="48"/>
  <c r="B5" i="78"/>
  <c r="G11" i="31"/>
  <c r="C36" i="18"/>
  <c r="E32" i="3"/>
  <c r="F32" i="3" s="1"/>
  <c r="G32" i="3" s="1"/>
  <c r="H39" i="86"/>
  <c r="A41" i="20"/>
  <c r="A40" i="46"/>
  <c r="A41" i="61"/>
  <c r="A41" i="62"/>
  <c r="A41" i="58"/>
  <c r="F10" i="54"/>
  <c r="A32" i="8"/>
  <c r="A30" i="46" s="1"/>
  <c r="A38" i="47"/>
  <c r="H36" i="85"/>
  <c r="A49" i="5"/>
  <c r="A41" i="70"/>
  <c r="G11" i="72"/>
  <c r="A41" i="33"/>
  <c r="C44" i="3"/>
  <c r="A40" i="44"/>
  <c r="G11" i="30"/>
  <c r="A39" i="48"/>
  <c r="F10" i="7"/>
  <c r="A53" i="72"/>
  <c r="A44" i="70"/>
  <c r="G11" i="4"/>
  <c r="A8" i="37"/>
  <c r="B8" i="61"/>
  <c r="B37" i="71"/>
  <c r="I37" i="71" s="1"/>
  <c r="E39" i="71"/>
  <c r="E37" i="71"/>
  <c r="N30" i="71"/>
  <c r="N29" i="71"/>
  <c r="D36" i="71" s="1"/>
  <c r="K36" i="71" s="1"/>
  <c r="L26" i="31"/>
  <c r="L25" i="31"/>
  <c r="N10" i="72"/>
  <c r="N11" i="72" s="1"/>
  <c r="N7" i="72"/>
  <c r="N8" i="72" s="1"/>
  <c r="M12" i="72"/>
  <c r="L14" i="72"/>
  <c r="L15" i="72" s="1"/>
  <c r="T25" i="72"/>
  <c r="S25" i="72"/>
  <c r="L28" i="72"/>
  <c r="L30" i="72"/>
  <c r="S31" i="72"/>
  <c r="T28" i="72"/>
  <c r="U33" i="72"/>
  <c r="A38" i="4"/>
  <c r="A38" i="7"/>
  <c r="A8" i="48"/>
  <c r="A40" i="55"/>
  <c r="A8" i="62"/>
  <c r="A42" i="51"/>
  <c r="A10" i="78"/>
  <c r="A49" i="37"/>
  <c r="C54" i="72"/>
  <c r="A38" i="6"/>
  <c r="A8" i="44"/>
  <c r="A35" i="37"/>
  <c r="C42" i="18"/>
  <c r="C50" i="3"/>
  <c r="C42" i="19"/>
  <c r="A35" i="74"/>
  <c r="A9" i="72"/>
  <c r="A38" i="5"/>
  <c r="A38" i="31"/>
  <c r="A50" i="74"/>
  <c r="A39" i="6"/>
  <c r="A8" i="80"/>
  <c r="C42" i="17"/>
  <c r="A38" i="71"/>
  <c r="A10" i="53"/>
  <c r="A56" i="6"/>
  <c r="C37" i="44"/>
  <c r="A11" i="37"/>
  <c r="A11" i="74"/>
  <c r="A11" i="34"/>
  <c r="A43" i="46"/>
  <c r="A44" i="48"/>
  <c r="A43" i="48"/>
  <c r="C26" i="47"/>
  <c r="C29" i="18"/>
  <c r="A11" i="61"/>
  <c r="F671" i="1"/>
  <c r="A46" i="17"/>
  <c r="A11" i="56"/>
  <c r="H30" i="85"/>
  <c r="H64" i="85"/>
  <c r="A9" i="47"/>
  <c r="A7" i="56"/>
  <c r="A10" i="8"/>
  <c r="A10" i="18" s="1"/>
  <c r="A43" i="44"/>
  <c r="A44" i="58"/>
  <c r="A11" i="81"/>
  <c r="A44" i="20"/>
  <c r="A49" i="18"/>
  <c r="A45" i="20"/>
  <c r="A45" i="18"/>
  <c r="C27" i="46"/>
  <c r="C28" i="18"/>
  <c r="E802" i="1"/>
  <c r="C30" i="18"/>
  <c r="C9" i="18"/>
  <c r="C10" i="18" s="1"/>
  <c r="B11" i="18"/>
  <c r="D31" i="18" s="1"/>
  <c r="B10" i="18"/>
  <c r="B9" i="18"/>
  <c r="E53" i="51"/>
  <c r="F53" i="51" s="1"/>
  <c r="G53" i="51" s="1"/>
  <c r="D58" i="30"/>
  <c r="C13" i="30"/>
  <c r="L13" i="30"/>
  <c r="R8" i="30"/>
  <c r="L9" i="30"/>
  <c r="L11" i="30" s="1"/>
  <c r="O10" i="30" s="1"/>
  <c r="O11" i="30" s="1"/>
  <c r="L12" i="30"/>
  <c r="M12" i="30" s="1"/>
  <c r="L26" i="30"/>
  <c r="L24" i="30"/>
  <c r="S19" i="78"/>
  <c r="S9" i="78" s="1"/>
  <c r="Q27" i="78"/>
  <c r="R27" i="78" s="1"/>
  <c r="T27" i="78" s="1"/>
  <c r="Q24" i="78"/>
  <c r="R24" i="78" s="1"/>
  <c r="T24" i="78" s="1"/>
  <c r="L27" i="78" s="1"/>
  <c r="Q34" i="78"/>
  <c r="R34" i="78" s="1"/>
  <c r="T34" i="78" s="1"/>
  <c r="N7" i="78"/>
  <c r="N8" i="78" s="1"/>
  <c r="N10" i="78"/>
  <c r="N11" i="78" s="1"/>
  <c r="L18" i="78"/>
  <c r="L19" i="78" s="1"/>
  <c r="M12" i="78"/>
  <c r="Q9" i="78"/>
  <c r="Q10" i="78" s="1"/>
  <c r="Q11" i="78" s="1"/>
  <c r="Q12" i="78" s="1"/>
  <c r="Q13" i="78" s="1"/>
  <c r="Q18" i="78" s="1"/>
  <c r="R8" i="78"/>
  <c r="T8" i="78"/>
  <c r="K26" i="53"/>
  <c r="K12" i="53"/>
  <c r="L12" i="53" s="1"/>
  <c r="K37" i="53"/>
  <c r="Q8" i="53"/>
  <c r="K9" i="53"/>
  <c r="K11" i="53" s="1"/>
  <c r="K13" i="53"/>
  <c r="C8" i="81"/>
  <c r="K9" i="81"/>
  <c r="K11" i="81" s="1"/>
  <c r="Q8" i="81"/>
  <c r="K12" i="81"/>
  <c r="L12" i="81" s="1"/>
  <c r="K13" i="81"/>
  <c r="K33" i="81"/>
  <c r="C9" i="80"/>
  <c r="C10" i="80" s="1"/>
  <c r="K9" i="80" s="1"/>
  <c r="K11" i="80" s="1"/>
  <c r="Q14" i="80"/>
  <c r="K12" i="80"/>
  <c r="L12" i="80" s="1"/>
  <c r="Q8" i="80"/>
  <c r="B12" i="18"/>
  <c r="B12" i="8"/>
  <c r="C9" i="8"/>
  <c r="C10" i="8" s="1"/>
  <c r="Q29" i="51"/>
  <c r="R29" i="51" s="1"/>
  <c r="Q32" i="51"/>
  <c r="R32" i="51" s="1"/>
  <c r="S32" i="51" s="1"/>
  <c r="R20" i="51"/>
  <c r="R9" i="51" s="1"/>
  <c r="Q24" i="51"/>
  <c r="R24" i="51" s="1"/>
  <c r="S24" i="51" s="1"/>
  <c r="L27" i="51" s="1"/>
  <c r="Q36" i="51"/>
  <c r="R36" i="51" s="1"/>
  <c r="C13" i="51"/>
  <c r="D61" i="51"/>
  <c r="K12" i="51"/>
  <c r="L12" i="51" s="1"/>
  <c r="Q31" i="51"/>
  <c r="R31" i="51" s="1"/>
  <c r="U31" i="51" s="1"/>
  <c r="K9" i="51"/>
  <c r="K11" i="51" s="1"/>
  <c r="S8" i="51"/>
  <c r="Q9" i="51"/>
  <c r="Q10" i="51" s="1"/>
  <c r="Q11" i="51" s="1"/>
  <c r="Q12" i="51" s="1"/>
  <c r="Q13" i="51" s="1"/>
  <c r="Q14" i="51" s="1"/>
  <c r="T9" i="51"/>
  <c r="L31" i="55"/>
  <c r="C13" i="55"/>
  <c r="A56" i="55" s="1"/>
  <c r="D57" i="55"/>
  <c r="U35" i="55"/>
  <c r="S35" i="55"/>
  <c r="U29" i="55"/>
  <c r="T29" i="55"/>
  <c r="L13" i="55"/>
  <c r="M13" i="55" s="1"/>
  <c r="M14" i="55"/>
  <c r="N10" i="55"/>
  <c r="N11" i="55" s="1"/>
  <c r="N7" i="55"/>
  <c r="N8" i="55" s="1"/>
  <c r="T33" i="55"/>
  <c r="Q28" i="55"/>
  <c r="R28" i="55" s="1"/>
  <c r="Q25" i="55"/>
  <c r="R25" i="55" s="1"/>
  <c r="U25" i="55" s="1"/>
  <c r="L28" i="55" s="1"/>
  <c r="L29" i="55" s="1"/>
  <c r="T19" i="55"/>
  <c r="T9" i="55" s="1"/>
  <c r="D59" i="7"/>
  <c r="C13" i="7"/>
  <c r="A58" i="7" s="1"/>
  <c r="C10" i="7"/>
  <c r="C13" i="54"/>
  <c r="A57" i="54" s="1"/>
  <c r="D58" i="54"/>
  <c r="N7" i="54"/>
  <c r="N8" i="54" s="1"/>
  <c r="N10" i="54"/>
  <c r="N11" i="54" s="1"/>
  <c r="M12" i="54"/>
  <c r="L14" i="54"/>
  <c r="L17" i="54" s="1"/>
  <c r="Q23" i="54"/>
  <c r="R23" i="54" s="1"/>
  <c r="U23" i="54" s="1"/>
  <c r="L26" i="54" s="1"/>
  <c r="Q28" i="54"/>
  <c r="R28" i="54" s="1"/>
  <c r="U28" i="54" s="1"/>
  <c r="T17" i="54"/>
  <c r="T9" i="54" s="1"/>
  <c r="Q9" i="54"/>
  <c r="Q10" i="54" s="1"/>
  <c r="Q11" i="54" s="1"/>
  <c r="Q12" i="54" s="1"/>
  <c r="Q13" i="54" s="1"/>
  <c r="Q14" i="54" s="1"/>
  <c r="S8" i="54"/>
  <c r="R8" i="54"/>
  <c r="R26" i="5"/>
  <c r="S26" i="5" s="1"/>
  <c r="R32" i="5"/>
  <c r="S32" i="5" s="1"/>
  <c r="R24" i="5"/>
  <c r="S24" i="5" s="1"/>
  <c r="S17" i="5"/>
  <c r="S9" i="5" s="1"/>
  <c r="R29" i="5"/>
  <c r="S29" i="5" s="1"/>
  <c r="T29" i="5" s="1"/>
  <c r="R30" i="5"/>
  <c r="S30" i="5" s="1"/>
  <c r="R21" i="5"/>
  <c r="S21" i="5" s="1"/>
  <c r="T21" i="5" s="1"/>
  <c r="M24" i="5" s="1"/>
  <c r="D57" i="5"/>
  <c r="C13" i="5"/>
  <c r="A56" i="5" s="1"/>
  <c r="N12" i="5"/>
  <c r="M14" i="5"/>
  <c r="M17" i="5" s="1"/>
  <c r="T17" i="5"/>
  <c r="T9" i="5" s="1"/>
  <c r="R23" i="5"/>
  <c r="S23" i="5" s="1"/>
  <c r="V23" i="5" s="1"/>
  <c r="M26" i="5" s="1"/>
  <c r="R27" i="5"/>
  <c r="S27" i="5" s="1"/>
  <c r="R9" i="5"/>
  <c r="R10" i="5" s="1"/>
  <c r="R11" i="5" s="1"/>
  <c r="R12" i="5" s="1"/>
  <c r="R13" i="5" s="1"/>
  <c r="R14" i="5" s="1"/>
  <c r="O10" i="5"/>
  <c r="O11" i="5" s="1"/>
  <c r="R25" i="5"/>
  <c r="S25" i="5" s="1"/>
  <c r="U25" i="5" s="1"/>
  <c r="R31" i="5"/>
  <c r="S31" i="5" s="1"/>
  <c r="U31" i="5" s="1"/>
  <c r="L9" i="6"/>
  <c r="L11" i="6" s="1"/>
  <c r="L13" i="6"/>
  <c r="L12" i="6"/>
  <c r="M12" i="6" s="1"/>
  <c r="R8" i="6"/>
  <c r="O7" i="71"/>
  <c r="O8" i="71" s="1"/>
  <c r="O10" i="71"/>
  <c r="O11" i="71" s="1"/>
  <c r="T24" i="71"/>
  <c r="U24" i="71"/>
  <c r="R23" i="71"/>
  <c r="S23" i="71" s="1"/>
  <c r="V23" i="71" s="1"/>
  <c r="M26" i="71" s="1"/>
  <c r="M27" i="71" s="1"/>
  <c r="R32" i="71"/>
  <c r="S32" i="71" s="1"/>
  <c r="U17" i="71"/>
  <c r="U9" i="71" s="1"/>
  <c r="R28" i="71"/>
  <c r="S28" i="71" s="1"/>
  <c r="V28" i="71" s="1"/>
  <c r="R27" i="71"/>
  <c r="S27" i="71" s="1"/>
  <c r="R26" i="71"/>
  <c r="S26" i="71" s="1"/>
  <c r="M14" i="71"/>
  <c r="M17" i="71" s="1"/>
  <c r="N12" i="71"/>
  <c r="C13" i="71"/>
  <c r="D58" i="71"/>
  <c r="B39" i="71"/>
  <c r="I39" i="71" s="1"/>
  <c r="D38" i="71"/>
  <c r="K38" i="71" s="1"/>
  <c r="C10" i="85"/>
  <c r="R8" i="85" s="1"/>
  <c r="R8" i="86"/>
  <c r="L12" i="86"/>
  <c r="M12" i="86" s="1"/>
  <c r="L13" i="86"/>
  <c r="C8" i="86"/>
  <c r="C9" i="86" s="1"/>
  <c r="L24" i="86"/>
  <c r="L26" i="3"/>
  <c r="L24" i="3"/>
  <c r="C8" i="3"/>
  <c r="C9" i="3" s="1"/>
  <c r="D57" i="3" s="1"/>
  <c r="N12" i="30"/>
  <c r="M14" i="30"/>
  <c r="M17" i="30" s="1"/>
  <c r="L12" i="4"/>
  <c r="M12" i="4" s="1"/>
  <c r="R8" i="4"/>
  <c r="L9" i="4"/>
  <c r="L11" i="4" s="1"/>
  <c r="L13" i="4"/>
  <c r="C13" i="4"/>
  <c r="A56" i="4" s="1"/>
  <c r="D57" i="4"/>
  <c r="J32" i="4"/>
  <c r="C13" i="85"/>
  <c r="D57" i="85"/>
  <c r="T8" i="85"/>
  <c r="U8" i="85"/>
  <c r="S8" i="85"/>
  <c r="R9" i="85"/>
  <c r="R10" i="85" s="1"/>
  <c r="R11" i="85" s="1"/>
  <c r="R12" i="85" s="1"/>
  <c r="R13" i="85" s="1"/>
  <c r="R14" i="85" s="1"/>
  <c r="L13" i="85"/>
  <c r="L9" i="85"/>
  <c r="L11" i="85" s="1"/>
  <c r="L12" i="85"/>
  <c r="M12" i="85" s="1"/>
  <c r="T8" i="86"/>
  <c r="R9" i="86"/>
  <c r="R10" i="86" s="1"/>
  <c r="R11" i="86" s="1"/>
  <c r="R12" i="86" s="1"/>
  <c r="R13" i="86" s="1"/>
  <c r="R14" i="86" s="1"/>
  <c r="S8" i="86"/>
  <c r="U8" i="86"/>
  <c r="D59" i="86"/>
  <c r="C13" i="86"/>
  <c r="L9" i="86"/>
  <c r="L11" i="86" s="1"/>
  <c r="L12" i="3"/>
  <c r="M12" i="3" s="1"/>
  <c r="N12" i="3" s="1"/>
  <c r="L13" i="3"/>
  <c r="L9" i="3"/>
  <c r="L11" i="3" s="1"/>
  <c r="O7" i="3" s="1"/>
  <c r="O8" i="3" s="1"/>
  <c r="O12" i="3"/>
  <c r="P12" i="3" s="1"/>
  <c r="R8" i="3"/>
  <c r="R9" i="3" s="1"/>
  <c r="R10" i="3" s="1"/>
  <c r="R11" i="3" s="1"/>
  <c r="R12" i="3" s="1"/>
  <c r="R13" i="3" s="1"/>
  <c r="R14" i="3" s="1"/>
  <c r="C13" i="3"/>
  <c r="A56" i="3" s="1"/>
  <c r="B12" i="56"/>
  <c r="B9" i="56"/>
  <c r="B11" i="56"/>
  <c r="D31" i="56" s="1"/>
  <c r="B10" i="56"/>
  <c r="A53" i="56"/>
  <c r="F23" i="44"/>
  <c r="B5" i="7"/>
  <c r="A53" i="58"/>
  <c r="A44" i="19"/>
  <c r="A45" i="8"/>
  <c r="A44" i="34"/>
  <c r="A49" i="55"/>
  <c r="A52" i="44"/>
  <c r="B5" i="46"/>
  <c r="A53" i="34"/>
  <c r="B5" i="61"/>
  <c r="A44" i="33"/>
  <c r="A44" i="17"/>
  <c r="A53" i="61"/>
  <c r="A28" i="20"/>
  <c r="A26" i="48"/>
  <c r="A45" i="61"/>
  <c r="A44" i="44"/>
  <c r="E43" i="1"/>
  <c r="B5" i="55"/>
  <c r="A53" i="62"/>
  <c r="A42" i="48"/>
  <c r="A28" i="34"/>
  <c r="A28" i="56"/>
  <c r="A27" i="44"/>
  <c r="A46" i="8"/>
  <c r="J33" i="30"/>
  <c r="B5" i="81"/>
  <c r="A53" i="19"/>
  <c r="A48" i="55"/>
  <c r="A55" i="44"/>
  <c r="A8" i="78"/>
  <c r="A8" i="46"/>
  <c r="E712" i="1"/>
  <c r="H32" i="86"/>
  <c r="F405" i="1"/>
  <c r="B5" i="51"/>
  <c r="B5" i="54"/>
  <c r="B5" i="53"/>
  <c r="A28" i="19"/>
  <c r="A45" i="34"/>
  <c r="A45" i="33"/>
  <c r="E281" i="1"/>
  <c r="E43" i="20"/>
  <c r="F43" i="20" s="1"/>
  <c r="G43" i="20" s="1"/>
  <c r="E48" i="30"/>
  <c r="F48" i="30" s="1"/>
  <c r="G48" i="30" s="1"/>
  <c r="E41" i="17"/>
  <c r="F41" i="17" s="1"/>
  <c r="G41" i="17" s="1"/>
  <c r="E48" i="6"/>
  <c r="F48" i="6" s="1"/>
  <c r="G48" i="6" s="1"/>
  <c r="E65" i="51"/>
  <c r="F65" i="51" s="1"/>
  <c r="G65" i="51" s="1"/>
  <c r="E46" i="37"/>
  <c r="F46" i="37" s="1"/>
  <c r="G46" i="37" s="1"/>
  <c r="E49" i="4"/>
  <c r="F49" i="4" s="1"/>
  <c r="G49" i="4" s="1"/>
  <c r="E41" i="18"/>
  <c r="F41" i="18" s="1"/>
  <c r="G41" i="18" s="1"/>
  <c r="E51" i="72"/>
  <c r="F51" i="72" s="1"/>
  <c r="G51" i="72" s="1"/>
  <c r="E49" i="7"/>
  <c r="F49" i="7" s="1"/>
  <c r="G49" i="7" s="1"/>
  <c r="E41" i="34"/>
  <c r="F41" i="34" s="1"/>
  <c r="G41" i="34" s="1"/>
  <c r="E50" i="7"/>
  <c r="F50" i="7" s="1"/>
  <c r="G50" i="7" s="1"/>
  <c r="E38" i="48"/>
  <c r="F38" i="48" s="1"/>
  <c r="G38" i="48" s="1"/>
  <c r="E43" i="19"/>
  <c r="F43" i="19" s="1"/>
  <c r="G43" i="19" s="1"/>
  <c r="E61" i="3"/>
  <c r="F61" i="3" s="1"/>
  <c r="G61" i="3" s="1"/>
  <c r="E62" i="30"/>
  <c r="F62" i="30" s="1"/>
  <c r="G62" i="30" s="1"/>
  <c r="E42" i="54"/>
  <c r="F42" i="54" s="1"/>
  <c r="G42" i="54" s="1"/>
  <c r="E38" i="19"/>
  <c r="F38" i="19" s="1"/>
  <c r="G38" i="19" s="1"/>
  <c r="E28" i="48"/>
  <c r="F28" i="48" s="1"/>
  <c r="G28" i="48" s="1"/>
  <c r="E37" i="46"/>
  <c r="F37" i="46" s="1"/>
  <c r="G37" i="46" s="1"/>
  <c r="E35" i="8"/>
  <c r="F35" i="8" s="1"/>
  <c r="G35" i="8" s="1"/>
  <c r="E47" i="54"/>
  <c r="F47" i="54" s="1"/>
  <c r="G47" i="54" s="1"/>
  <c r="E28" i="80"/>
  <c r="F28" i="80" s="1"/>
  <c r="G28" i="80" s="1"/>
  <c r="E38" i="18"/>
  <c r="F38" i="18" s="1"/>
  <c r="G38" i="18" s="1"/>
  <c r="E46" i="30"/>
  <c r="F46" i="30" s="1"/>
  <c r="G46" i="30" s="1"/>
  <c r="E43" i="74"/>
  <c r="F43" i="74" s="1"/>
  <c r="G43" i="74" s="1"/>
  <c r="E32" i="78"/>
  <c r="F32" i="78" s="1"/>
  <c r="G32" i="78" s="1"/>
  <c r="E62" i="53"/>
  <c r="F62" i="53" s="1"/>
  <c r="G62" i="53" s="1"/>
  <c r="E50" i="72"/>
  <c r="F50" i="72" s="1"/>
  <c r="G50" i="72" s="1"/>
  <c r="E42" i="31"/>
  <c r="F42" i="31" s="1"/>
  <c r="G42" i="31" s="1"/>
  <c r="E34" i="58"/>
  <c r="F34" i="58" s="1"/>
  <c r="G34" i="58" s="1"/>
  <c r="E64" i="3"/>
  <c r="F64" i="3" s="1"/>
  <c r="G64" i="3" s="1"/>
  <c r="E60" i="30"/>
  <c r="F60" i="30" s="1"/>
  <c r="G60" i="30" s="1"/>
  <c r="E62" i="7"/>
  <c r="F62" i="7" s="1"/>
  <c r="G62" i="7" s="1"/>
  <c r="E39" i="17"/>
  <c r="F39" i="17" s="1"/>
  <c r="G39" i="17" s="1"/>
  <c r="E35" i="31"/>
  <c r="F35" i="31" s="1"/>
  <c r="G35" i="31" s="1"/>
  <c r="E39" i="19"/>
  <c r="F39" i="19" s="1"/>
  <c r="G39" i="19" s="1"/>
  <c r="E53" i="5"/>
  <c r="F53" i="5" s="1"/>
  <c r="G53" i="5" s="1"/>
  <c r="E45" i="78"/>
  <c r="F45" i="78" s="1"/>
  <c r="G45" i="78" s="1"/>
  <c r="E64" i="5"/>
  <c r="F64" i="5" s="1"/>
  <c r="G64" i="5" s="1"/>
  <c r="E65" i="30"/>
  <c r="F65" i="30" s="1"/>
  <c r="G65" i="30" s="1"/>
  <c r="E65" i="53"/>
  <c r="F65" i="53" s="1"/>
  <c r="G65" i="53" s="1"/>
  <c r="E67" i="51"/>
  <c r="F67" i="51" s="1"/>
  <c r="G67" i="51" s="1"/>
  <c r="E53" i="4"/>
  <c r="F53" i="4" s="1"/>
  <c r="G53" i="4" s="1"/>
  <c r="E41" i="48"/>
  <c r="F41" i="48" s="1"/>
  <c r="G41" i="48" s="1"/>
  <c r="E37" i="48"/>
  <c r="F37" i="48" s="1"/>
  <c r="G37" i="48" s="1"/>
  <c r="E54" i="55"/>
  <c r="F54" i="55" s="1"/>
  <c r="G54" i="55" s="1"/>
  <c r="E42" i="18"/>
  <c r="F42" i="18" s="1"/>
  <c r="G42" i="18" s="1"/>
  <c r="E43" i="17"/>
  <c r="F43" i="17" s="1"/>
  <c r="G43" i="17" s="1"/>
  <c r="E37" i="44"/>
  <c r="F37" i="44" s="1"/>
  <c r="G37" i="44" s="1"/>
  <c r="E44" i="55"/>
  <c r="F44" i="55" s="1"/>
  <c r="G44" i="55" s="1"/>
  <c r="E43" i="72"/>
  <c r="F43" i="72" s="1"/>
  <c r="G43" i="72" s="1"/>
  <c r="E35" i="71"/>
  <c r="F35" i="71" s="1"/>
  <c r="G35" i="71" s="1"/>
  <c r="E47" i="5"/>
  <c r="F47" i="5" s="1"/>
  <c r="G47" i="5" s="1"/>
  <c r="E38" i="56"/>
  <c r="F38" i="56" s="1"/>
  <c r="G38" i="56" s="1"/>
  <c r="E35" i="5"/>
  <c r="F35" i="5" s="1"/>
  <c r="G35" i="5" s="1"/>
  <c r="E35" i="30"/>
  <c r="F35" i="30" s="1"/>
  <c r="G35" i="30" s="1"/>
  <c r="E36" i="47"/>
  <c r="F36" i="47" s="1"/>
  <c r="G36" i="47" s="1"/>
  <c r="E38" i="62"/>
  <c r="F38" i="62" s="1"/>
  <c r="G38" i="62" s="1"/>
  <c r="E42" i="62"/>
  <c r="F42" i="62" s="1"/>
  <c r="G42" i="62" s="1"/>
  <c r="E46" i="3"/>
  <c r="F46" i="3" s="1"/>
  <c r="G46" i="3" s="1"/>
  <c r="E42" i="4"/>
  <c r="F42" i="4" s="1"/>
  <c r="G42" i="4" s="1"/>
  <c r="E50" i="54"/>
  <c r="F50" i="54" s="1"/>
  <c r="G50" i="54" s="1"/>
  <c r="E38" i="34"/>
  <c r="F38" i="34" s="1"/>
  <c r="G38" i="34" s="1"/>
  <c r="E29" i="62"/>
  <c r="F29" i="62" s="1"/>
  <c r="G29" i="62" s="1"/>
  <c r="E51" i="7"/>
  <c r="F51" i="7" s="1"/>
  <c r="G51" i="7" s="1"/>
  <c r="E56" i="72"/>
  <c r="F56" i="72" s="1"/>
  <c r="G56" i="72" s="1"/>
  <c r="E64" i="4"/>
  <c r="F64" i="4" s="1"/>
  <c r="G64" i="4" s="1"/>
  <c r="E40" i="48"/>
  <c r="F40" i="48" s="1"/>
  <c r="G40" i="48" s="1"/>
  <c r="E39" i="56"/>
  <c r="F39" i="56" s="1"/>
  <c r="G39" i="56" s="1"/>
  <c r="E40" i="8"/>
  <c r="F40" i="8" s="1"/>
  <c r="G40" i="8" s="1"/>
  <c r="E54" i="6"/>
  <c r="F54" i="6" s="1"/>
  <c r="G54" i="6" s="1"/>
  <c r="E61" i="7"/>
  <c r="F61" i="7" s="1"/>
  <c r="G61" i="7" s="1"/>
  <c r="E42" i="58"/>
  <c r="F42" i="58" s="1"/>
  <c r="G42" i="58" s="1"/>
  <c r="E56" i="61"/>
  <c r="F56" i="61" s="1"/>
  <c r="G56" i="61" s="1"/>
  <c r="E44" i="8"/>
  <c r="F44" i="8" s="1"/>
  <c r="G44" i="8" s="1"/>
  <c r="E64" i="51"/>
  <c r="F64" i="51" s="1"/>
  <c r="G64" i="51" s="1"/>
  <c r="E41" i="20"/>
  <c r="F41" i="20" s="1"/>
  <c r="G41" i="20" s="1"/>
  <c r="E36" i="62"/>
  <c r="F36" i="62" s="1"/>
  <c r="G36" i="62" s="1"/>
  <c r="E53" i="72"/>
  <c r="F53" i="72" s="1"/>
  <c r="G53" i="72" s="1"/>
  <c r="E40" i="61"/>
  <c r="F40" i="61" s="1"/>
  <c r="G40" i="61" s="1"/>
  <c r="E63" i="31"/>
  <c r="F63" i="31" s="1"/>
  <c r="G63" i="31" s="1"/>
  <c r="E62" i="31"/>
  <c r="F62" i="31" s="1"/>
  <c r="G62" i="31" s="1"/>
  <c r="E43" i="34"/>
  <c r="F43" i="34" s="1"/>
  <c r="G43" i="34" s="1"/>
  <c r="E52" i="81"/>
  <c r="F52" i="81" s="1"/>
  <c r="G52" i="81" s="1"/>
  <c r="E42" i="46"/>
  <c r="F42" i="46" s="1"/>
  <c r="G42" i="46" s="1"/>
  <c r="E61" i="30"/>
  <c r="F61" i="30" s="1"/>
  <c r="G61" i="30" s="1"/>
  <c r="E61" i="71"/>
  <c r="F61" i="71" s="1"/>
  <c r="G61" i="71" s="1"/>
  <c r="E40" i="46"/>
  <c r="F40" i="46" s="1"/>
  <c r="G40" i="46" s="1"/>
  <c r="E42" i="44"/>
  <c r="F42" i="44" s="1"/>
  <c r="G42" i="44" s="1"/>
  <c r="E54" i="44"/>
  <c r="F54" i="44" s="1"/>
  <c r="G54" i="44" s="1"/>
  <c r="E42" i="8"/>
  <c r="F42" i="8" s="1"/>
  <c r="G42" i="8" s="1"/>
  <c r="E37" i="47"/>
  <c r="F37" i="47" s="1"/>
  <c r="G37" i="47" s="1"/>
  <c r="E40" i="47"/>
  <c r="F40" i="47" s="1"/>
  <c r="G40" i="47" s="1"/>
  <c r="E49" i="53"/>
  <c r="F49" i="53" s="1"/>
  <c r="G49" i="53" s="1"/>
  <c r="E61" i="54"/>
  <c r="F61" i="54" s="1"/>
  <c r="G61" i="54" s="1"/>
  <c r="E50" i="71"/>
  <c r="F50" i="71" s="1"/>
  <c r="G50" i="71" s="1"/>
  <c r="E39" i="48"/>
  <c r="F39" i="48" s="1"/>
  <c r="G39" i="48" s="1"/>
  <c r="E62" i="71"/>
  <c r="F62" i="71" s="1"/>
  <c r="G62" i="71" s="1"/>
  <c r="E35" i="51"/>
  <c r="F35" i="51" s="1"/>
  <c r="G35" i="51" s="1"/>
  <c r="E43" i="62"/>
  <c r="F43" i="62" s="1"/>
  <c r="G43" i="62" s="1"/>
  <c r="E43" i="33"/>
  <c r="F43" i="33" s="1"/>
  <c r="G43" i="33" s="1"/>
  <c r="D6" i="57"/>
  <c r="E6" i="57" s="1"/>
  <c r="F6" i="57" s="1"/>
  <c r="E60" i="4"/>
  <c r="F60" i="4" s="1"/>
  <c r="G60" i="4" s="1"/>
  <c r="E48" i="7"/>
  <c r="F48" i="7" s="1"/>
  <c r="G48" i="7" s="1"/>
  <c r="E47" i="4"/>
  <c r="F47" i="4" s="1"/>
  <c r="G47" i="4" s="1"/>
  <c r="E47" i="3"/>
  <c r="F47" i="3" s="1"/>
  <c r="G47" i="3" s="1"/>
  <c r="E38" i="44"/>
  <c r="F38" i="44" s="1"/>
  <c r="G38" i="44" s="1"/>
  <c r="E39" i="70"/>
  <c r="F39" i="70" s="1"/>
  <c r="G39" i="70" s="1"/>
  <c r="E39" i="18"/>
  <c r="F39" i="18" s="1"/>
  <c r="G39" i="18" s="1"/>
  <c r="E42" i="80"/>
  <c r="F42" i="80" s="1"/>
  <c r="G42" i="80" s="1"/>
  <c r="E47" i="71"/>
  <c r="F47" i="71" s="1"/>
  <c r="G47" i="71" s="1"/>
  <c r="E47" i="6"/>
  <c r="F47" i="6" s="1"/>
  <c r="G47" i="6" s="1"/>
  <c r="E60" i="6"/>
  <c r="F60" i="6" s="1"/>
  <c r="G60" i="6" s="1"/>
  <c r="E39" i="62"/>
  <c r="F39" i="62" s="1"/>
  <c r="G39" i="62" s="1"/>
  <c r="E38" i="46"/>
  <c r="F38" i="46" s="1"/>
  <c r="G38" i="46" s="1"/>
  <c r="E39" i="33"/>
  <c r="F39" i="33" s="1"/>
  <c r="G39" i="33" s="1"/>
  <c r="E60" i="72"/>
  <c r="F60" i="72" s="1"/>
  <c r="G60" i="72" s="1"/>
  <c r="E58" i="74"/>
  <c r="F58" i="74" s="1"/>
  <c r="G58" i="74" s="1"/>
  <c r="E60" i="55"/>
  <c r="F60" i="55" s="1"/>
  <c r="G60" i="55" s="1"/>
  <c r="E60" i="3"/>
  <c r="F60" i="3" s="1"/>
  <c r="G60" i="3" s="1"/>
  <c r="E30" i="17"/>
  <c r="F30" i="17" s="1"/>
  <c r="G30" i="17" s="1"/>
  <c r="E42" i="81"/>
  <c r="F42" i="81" s="1"/>
  <c r="G42" i="81" s="1"/>
  <c r="E47" i="30"/>
  <c r="F47" i="30" s="1"/>
  <c r="G47" i="30" s="1"/>
  <c r="E39" i="20"/>
  <c r="F39" i="20" s="1"/>
  <c r="G39" i="20" s="1"/>
  <c r="E52" i="53"/>
  <c r="F52" i="53" s="1"/>
  <c r="G52" i="53" s="1"/>
  <c r="E39" i="58"/>
  <c r="F39" i="58" s="1"/>
  <c r="G39" i="58" s="1"/>
  <c r="E44" i="74"/>
  <c r="F44" i="74" s="1"/>
  <c r="G44" i="74" s="1"/>
  <c r="E52" i="78"/>
  <c r="F52" i="78" s="1"/>
  <c r="G52" i="78" s="1"/>
  <c r="E44" i="37"/>
  <c r="F44" i="37" s="1"/>
  <c r="G44" i="37" s="1"/>
  <c r="E39" i="34"/>
  <c r="F39" i="34" s="1"/>
  <c r="G39" i="34" s="1"/>
  <c r="E48" i="54"/>
  <c r="F48" i="54" s="1"/>
  <c r="G48" i="54" s="1"/>
  <c r="E58" i="37"/>
  <c r="F58" i="37" s="1"/>
  <c r="G58" i="37" s="1"/>
  <c r="E55" i="31"/>
  <c r="F55" i="31" s="1"/>
  <c r="G55" i="31" s="1"/>
  <c r="E42" i="17"/>
  <c r="F42" i="17" s="1"/>
  <c r="G42" i="17" s="1"/>
  <c r="E50" i="78"/>
  <c r="F50" i="78" s="1"/>
  <c r="G50" i="78" s="1"/>
  <c r="E42" i="61"/>
  <c r="F42" i="61" s="1"/>
  <c r="G42" i="61" s="1"/>
  <c r="E44" i="31"/>
  <c r="F44" i="31" s="1"/>
  <c r="G44" i="31" s="1"/>
  <c r="E36" i="34"/>
  <c r="F36" i="34" s="1"/>
  <c r="G36" i="34" s="1"/>
  <c r="E51" i="54"/>
  <c r="F51" i="54" s="1"/>
  <c r="G51" i="54" s="1"/>
  <c r="E50" i="3"/>
  <c r="F50" i="3" s="1"/>
  <c r="G50" i="3" s="1"/>
  <c r="E50" i="5"/>
  <c r="F50" i="5" s="1"/>
  <c r="G50" i="5" s="1"/>
  <c r="E48" i="37"/>
  <c r="F48" i="37" s="1"/>
  <c r="G48" i="37" s="1"/>
  <c r="E36" i="20"/>
  <c r="F36" i="20" s="1"/>
  <c r="G36" i="20" s="1"/>
  <c r="E42" i="70"/>
  <c r="F42" i="70" s="1"/>
  <c r="G42" i="70" s="1"/>
  <c r="E42" i="56"/>
  <c r="F42" i="56" s="1"/>
  <c r="G42" i="56" s="1"/>
  <c r="E48" i="72"/>
  <c r="F48" i="72" s="1"/>
  <c r="G48" i="72" s="1"/>
  <c r="E56" i="34"/>
  <c r="F56" i="34" s="1"/>
  <c r="G56" i="34" s="1"/>
  <c r="E54" i="54"/>
  <c r="F54" i="54" s="1"/>
  <c r="G54" i="54" s="1"/>
  <c r="E56" i="56"/>
  <c r="F56" i="56" s="1"/>
  <c r="G56" i="56" s="1"/>
  <c r="E56" i="18"/>
  <c r="F56" i="18" s="1"/>
  <c r="G56" i="18" s="1"/>
  <c r="E29" i="34"/>
  <c r="F29" i="34" s="1"/>
  <c r="G29" i="34" s="1"/>
  <c r="E35" i="80"/>
  <c r="F35" i="80" s="1"/>
  <c r="G35" i="80" s="1"/>
  <c r="E57" i="51"/>
  <c r="F57" i="51" s="1"/>
  <c r="G57" i="51" s="1"/>
  <c r="E55" i="54"/>
  <c r="F55" i="54" s="1"/>
  <c r="G55" i="54" s="1"/>
  <c r="E54" i="5"/>
  <c r="F54" i="5" s="1"/>
  <c r="G54" i="5" s="1"/>
  <c r="E36" i="72"/>
  <c r="F36" i="72" s="1"/>
  <c r="G36" i="72" s="1"/>
  <c r="E35" i="20"/>
  <c r="F35" i="20" s="1"/>
  <c r="G35" i="20" s="1"/>
  <c r="E35" i="4"/>
  <c r="F35" i="4" s="1"/>
  <c r="G35" i="4" s="1"/>
  <c r="E43" i="4"/>
  <c r="F43" i="4" s="1"/>
  <c r="G43" i="4" s="1"/>
  <c r="E39" i="51"/>
  <c r="F39" i="51" s="1"/>
  <c r="G39" i="51" s="1"/>
  <c r="E53" i="37"/>
  <c r="F53" i="37" s="1"/>
  <c r="G53" i="37" s="1"/>
  <c r="E43" i="58"/>
  <c r="F43" i="58" s="1"/>
  <c r="G43" i="58" s="1"/>
  <c r="E43" i="61"/>
  <c r="F43" i="61" s="1"/>
  <c r="G43" i="61" s="1"/>
  <c r="E43" i="56"/>
  <c r="F43" i="56" s="1"/>
  <c r="G43" i="56" s="1"/>
  <c r="A10" i="44"/>
  <c r="J35" i="4"/>
  <c r="A11" i="8"/>
  <c r="A11" i="18"/>
  <c r="A51" i="48"/>
  <c r="A53" i="33"/>
  <c r="A11" i="62"/>
  <c r="A53" i="17"/>
  <c r="A11" i="58"/>
  <c r="A49" i="80"/>
  <c r="A51" i="51"/>
  <c r="A57" i="56"/>
  <c r="E40" i="81"/>
  <c r="F40" i="81" s="1"/>
  <c r="G40" i="81" s="1"/>
  <c r="E36" i="18"/>
  <c r="F36" i="18" s="1"/>
  <c r="G36" i="18" s="1"/>
  <c r="E44" i="30"/>
  <c r="F44" i="30" s="1"/>
  <c r="G44" i="30" s="1"/>
  <c r="E60" i="54"/>
  <c r="F60" i="54" s="1"/>
  <c r="G60" i="54" s="1"/>
  <c r="E37" i="53"/>
  <c r="F37" i="53" s="1"/>
  <c r="G37" i="53" s="1"/>
  <c r="F350" i="1"/>
  <c r="F32" i="85"/>
  <c r="G32" i="85" s="1"/>
  <c r="A57" i="30"/>
  <c r="H35" i="85"/>
  <c r="H29" i="86"/>
  <c r="A43" i="58"/>
  <c r="B10" i="48"/>
  <c r="A57" i="62"/>
  <c r="E32" i="7"/>
  <c r="F32" i="7" s="1"/>
  <c r="G32" i="7" s="1"/>
  <c r="A9" i="33"/>
  <c r="A53" i="20"/>
  <c r="A47" i="55"/>
  <c r="A40" i="47"/>
  <c r="E45" i="54"/>
  <c r="F45" i="54" s="1"/>
  <c r="G45" i="54" s="1"/>
  <c r="E37" i="78"/>
  <c r="F37" i="78" s="1"/>
  <c r="G37" i="78" s="1"/>
  <c r="E64" i="6"/>
  <c r="F64" i="6" s="1"/>
  <c r="G64" i="6" s="1"/>
  <c r="F29" i="19"/>
  <c r="G29" i="19" s="1"/>
  <c r="E576" i="1"/>
  <c r="A10" i="33"/>
  <c r="A10" i="20"/>
  <c r="A49" i="47"/>
  <c r="A46" i="47"/>
  <c r="A56" i="58"/>
  <c r="N24" i="77"/>
  <c r="A43" i="34"/>
  <c r="E32" i="4"/>
  <c r="F32" i="4" s="1"/>
  <c r="G32" i="4" s="1"/>
  <c r="A3" i="20"/>
  <c r="A11" i="19"/>
  <c r="A49" i="81"/>
  <c r="A54" i="48"/>
  <c r="A49" i="48"/>
  <c r="A9" i="44"/>
  <c r="A52" i="46"/>
  <c r="A10" i="70"/>
  <c r="A44" i="8"/>
  <c r="E36" i="61"/>
  <c r="F36" i="61" s="1"/>
  <c r="G36" i="61" s="1"/>
  <c r="E32" i="30"/>
  <c r="F32" i="30" s="1"/>
  <c r="G32" i="30" s="1"/>
  <c r="F510" i="1"/>
  <c r="H42" i="85"/>
  <c r="H52" i="85"/>
  <c r="C9" i="56"/>
  <c r="C10" i="56" s="1"/>
  <c r="E3" i="33"/>
  <c r="A3" i="6"/>
  <c r="A10" i="81"/>
  <c r="A3" i="44"/>
  <c r="A52" i="37"/>
  <c r="A3" i="46"/>
  <c r="A3" i="5"/>
  <c r="F105" i="1"/>
  <c r="E219" i="1"/>
  <c r="E778" i="1"/>
  <c r="E795" i="1"/>
  <c r="C33" i="4"/>
  <c r="E571" i="1"/>
  <c r="C46" i="31"/>
  <c r="C38" i="17"/>
  <c r="C43" i="74"/>
  <c r="C38" i="33"/>
  <c r="C35" i="47"/>
  <c r="C37" i="46"/>
  <c r="C47" i="54"/>
  <c r="C50" i="46"/>
  <c r="E136" i="1"/>
  <c r="C46" i="71"/>
  <c r="F434" i="1"/>
  <c r="C38" i="61"/>
  <c r="C38" i="34"/>
  <c r="E742" i="1"/>
  <c r="C38" i="58"/>
  <c r="C43" i="37"/>
  <c r="C46" i="4"/>
  <c r="E308" i="1"/>
  <c r="C46" i="30"/>
  <c r="C51" i="37"/>
  <c r="C38" i="56"/>
  <c r="E629" i="1"/>
  <c r="C38" i="18"/>
  <c r="C36" i="48"/>
  <c r="F695" i="1"/>
  <c r="F590" i="1"/>
  <c r="C45" i="55"/>
  <c r="C29" i="58"/>
  <c r="F27" i="1"/>
  <c r="C63" i="51"/>
  <c r="C26" i="48"/>
  <c r="E264" i="1"/>
  <c r="F16" i="1"/>
  <c r="C60" i="54"/>
  <c r="C59" i="6"/>
  <c r="F710" i="1"/>
  <c r="C29" i="62"/>
  <c r="F427" i="1"/>
  <c r="E618" i="1"/>
  <c r="E589" i="1"/>
  <c r="F52" i="1"/>
  <c r="F261" i="1"/>
  <c r="C59" i="4"/>
  <c r="E234" i="1"/>
  <c r="F213" i="1"/>
  <c r="E35" i="1"/>
  <c r="F282" i="1"/>
  <c r="F722" i="1"/>
  <c r="E230" i="1"/>
  <c r="C27" i="48"/>
  <c r="E434" i="1"/>
  <c r="E323" i="1"/>
  <c r="C32" i="72"/>
  <c r="F628" i="1"/>
  <c r="F687" i="1"/>
  <c r="E646" i="1"/>
  <c r="F699" i="1"/>
  <c r="F743" i="1"/>
  <c r="E610" i="1"/>
  <c r="E608" i="1"/>
  <c r="F526" i="1"/>
  <c r="C59" i="55"/>
  <c r="C29" i="33"/>
  <c r="F490" i="1"/>
  <c r="E682" i="1"/>
  <c r="E313" i="1"/>
  <c r="E109" i="1"/>
  <c r="F773" i="1"/>
  <c r="E648" i="1"/>
  <c r="E653" i="1"/>
  <c r="E129" i="1"/>
  <c r="E33" i="1"/>
  <c r="C29" i="61"/>
  <c r="C34" i="56"/>
  <c r="F265" i="1"/>
  <c r="C35" i="55"/>
  <c r="E283" i="1"/>
  <c r="C54" i="30"/>
  <c r="C62" i="71"/>
  <c r="E445" i="1"/>
  <c r="E477" i="1"/>
  <c r="C42" i="6"/>
  <c r="F793" i="1"/>
  <c r="C34" i="61"/>
  <c r="E779" i="1"/>
  <c r="C34" i="62"/>
  <c r="F480" i="1"/>
  <c r="E766" i="1"/>
  <c r="E45" i="88"/>
  <c r="F45" i="88" s="1"/>
  <c r="G45" i="88" s="1"/>
  <c r="E45" i="30"/>
  <c r="F45" i="30" s="1"/>
  <c r="G45" i="30" s="1"/>
  <c r="E46" i="54"/>
  <c r="F46" i="54" s="1"/>
  <c r="G46" i="54" s="1"/>
  <c r="E45" i="4"/>
  <c r="F45" i="4" s="1"/>
  <c r="G45" i="4" s="1"/>
  <c r="E46" i="7"/>
  <c r="F46" i="7" s="1"/>
  <c r="G46" i="7" s="1"/>
  <c r="E45" i="31"/>
  <c r="F45" i="31" s="1"/>
  <c r="G45" i="31" s="1"/>
  <c r="C58" i="37"/>
  <c r="C57" i="74"/>
  <c r="G24" i="19"/>
  <c r="G24" i="33"/>
  <c r="A50" i="8"/>
  <c r="A49" i="62"/>
  <c r="G27" i="71"/>
  <c r="G27" i="6"/>
  <c r="E65" i="87"/>
  <c r="F65" i="87" s="1"/>
  <c r="G65" i="87" s="1"/>
  <c r="E65" i="7"/>
  <c r="F65" i="7" s="1"/>
  <c r="G65" i="7" s="1"/>
  <c r="E63" i="4"/>
  <c r="F63" i="4" s="1"/>
  <c r="G63" i="4" s="1"/>
  <c r="D3" i="44"/>
  <c r="D3" i="20"/>
  <c r="A48" i="44"/>
  <c r="A47" i="48"/>
  <c r="E52" i="51"/>
  <c r="F52" i="51" s="1"/>
  <c r="G52" i="51" s="1"/>
  <c r="E45" i="3"/>
  <c r="F45" i="3" s="1"/>
  <c r="G45" i="3" s="1"/>
  <c r="E37" i="18"/>
  <c r="F37" i="18" s="1"/>
  <c r="G37" i="18" s="1"/>
  <c r="E37" i="56"/>
  <c r="F37" i="56" s="1"/>
  <c r="G37" i="56" s="1"/>
  <c r="E65" i="31"/>
  <c r="F65" i="31" s="1"/>
  <c r="G65" i="31" s="1"/>
  <c r="E34" i="78"/>
  <c r="E34" i="53"/>
  <c r="F34" i="53" s="1"/>
  <c r="G34" i="53" s="1"/>
  <c r="E42" i="74"/>
  <c r="F42" i="74" s="1"/>
  <c r="G42" i="74" s="1"/>
  <c r="A49" i="17"/>
  <c r="A45" i="81"/>
  <c r="A44" i="46"/>
  <c r="A49" i="33"/>
  <c r="E41" i="81"/>
  <c r="F41" i="81" s="1"/>
  <c r="G41" i="81" s="1"/>
  <c r="E43" i="46"/>
  <c r="F43" i="46" s="1"/>
  <c r="G43" i="46" s="1"/>
  <c r="E36" i="44"/>
  <c r="F36" i="44" s="1"/>
  <c r="G36" i="44" s="1"/>
  <c r="E37" i="19"/>
  <c r="F37" i="19" s="1"/>
  <c r="G37" i="19" s="1"/>
  <c r="D4" i="57"/>
  <c r="E4" i="57" s="1"/>
  <c r="F4" i="57" s="1"/>
  <c r="A9" i="56"/>
  <c r="A9" i="8"/>
  <c r="A9" i="62" s="1"/>
  <c r="A9" i="46"/>
  <c r="E540" i="1"/>
  <c r="B5" i="80"/>
  <c r="A53" i="70"/>
  <c r="A56" i="70"/>
  <c r="A41" i="47"/>
  <c r="A57" i="71"/>
  <c r="F10" i="74"/>
  <c r="A51" i="19"/>
  <c r="A28" i="18"/>
  <c r="A57" i="17"/>
  <c r="A39" i="71"/>
  <c r="A39" i="54"/>
  <c r="A45" i="70"/>
  <c r="A43" i="18"/>
  <c r="A44" i="47"/>
  <c r="A45" i="58"/>
  <c r="E36" i="81"/>
  <c r="F36" i="81" s="1"/>
  <c r="G36" i="81" s="1"/>
  <c r="C40" i="8"/>
  <c r="G11" i="5"/>
  <c r="F661" i="1"/>
  <c r="E193" i="1"/>
  <c r="H49" i="85"/>
  <c r="A27" i="39"/>
  <c r="A13" i="77" s="1"/>
  <c r="A45" i="39"/>
  <c r="A82" i="39"/>
  <c r="A89" i="39"/>
  <c r="A30" i="56" s="1"/>
  <c r="A66" i="39"/>
  <c r="A98" i="39"/>
  <c r="A50" i="85" s="1"/>
  <c r="A90" i="39"/>
  <c r="A15" i="39"/>
  <c r="D66" i="85" s="1"/>
  <c r="B5" i="58"/>
  <c r="A53" i="18"/>
  <c r="A60" i="51"/>
  <c r="A48" i="46"/>
  <c r="A10" i="56"/>
  <c r="B5" i="47"/>
  <c r="F10" i="37"/>
  <c r="E31" i="31"/>
  <c r="F31" i="31" s="1"/>
  <c r="G31" i="31" s="1"/>
  <c r="F40" i="1"/>
  <c r="C36" i="47"/>
  <c r="E702" i="1"/>
  <c r="C50" i="7"/>
  <c r="E722" i="1"/>
  <c r="A23" i="39"/>
  <c r="A5" i="77" s="1"/>
  <c r="A41" i="39"/>
  <c r="G9" i="87" s="1"/>
  <c r="A78" i="39"/>
  <c r="C14" i="87" s="1"/>
  <c r="A88" i="39"/>
  <c r="A179" i="39"/>
  <c r="A102" i="39"/>
  <c r="A59" i="3" s="1"/>
  <c r="A190" i="39"/>
  <c r="H38" i="85"/>
  <c r="H43" i="85"/>
  <c r="H66" i="85"/>
  <c r="A34" i="39"/>
  <c r="B3" i="88" s="1"/>
  <c r="H30" i="86"/>
  <c r="A91" i="39"/>
  <c r="H55" i="86"/>
  <c r="G23" i="44"/>
  <c r="E32" i="48"/>
  <c r="F32" i="48" s="1"/>
  <c r="G32" i="48" s="1"/>
  <c r="E30" i="33"/>
  <c r="F30" i="33" s="1"/>
  <c r="G30" i="33" s="1"/>
  <c r="F120" i="1"/>
  <c r="A44" i="62"/>
  <c r="A44" i="61"/>
  <c r="A44" i="56"/>
  <c r="A30" i="8"/>
  <c r="A29" i="56"/>
  <c r="E713" i="1"/>
  <c r="F353" i="1"/>
  <c r="A60" i="78"/>
  <c r="A59" i="53"/>
  <c r="E33" i="71"/>
  <c r="F33" i="71" s="1"/>
  <c r="G33" i="71" s="1"/>
  <c r="E33" i="6"/>
  <c r="F33" i="6" s="1"/>
  <c r="G33" i="6" s="1"/>
  <c r="E37" i="51"/>
  <c r="F37" i="51" s="1"/>
  <c r="G37" i="51" s="1"/>
  <c r="E28" i="34"/>
  <c r="F28" i="34" s="1"/>
  <c r="G28" i="34" s="1"/>
  <c r="E28" i="33"/>
  <c r="F28" i="33" s="1"/>
  <c r="G28" i="33" s="1"/>
  <c r="E311" i="1"/>
  <c r="F311" i="1"/>
  <c r="E225" i="1"/>
  <c r="F225" i="1"/>
  <c r="F231" i="1"/>
  <c r="E231" i="1"/>
  <c r="F522" i="1"/>
  <c r="E522" i="1"/>
  <c r="E6" i="1"/>
  <c r="F725" i="1"/>
  <c r="E5" i="1"/>
  <c r="F5" i="1"/>
  <c r="E689" i="1"/>
  <c r="F689" i="1"/>
  <c r="E266" i="1"/>
  <c r="F266" i="1"/>
  <c r="E30" i="1"/>
  <c r="F30" i="1"/>
  <c r="E48" i="88"/>
  <c r="F48" i="88" s="1"/>
  <c r="G48" i="88" s="1"/>
  <c r="E52" i="72"/>
  <c r="F52" i="72" s="1"/>
  <c r="G52" i="72" s="1"/>
  <c r="E40" i="19"/>
  <c r="F40" i="19" s="1"/>
  <c r="G40" i="19" s="1"/>
  <c r="E40" i="20"/>
  <c r="F40" i="20" s="1"/>
  <c r="G40" i="20" s="1"/>
  <c r="E48" i="31"/>
  <c r="F48" i="31" s="1"/>
  <c r="G48" i="31" s="1"/>
  <c r="E53" i="78"/>
  <c r="F53" i="78" s="1"/>
  <c r="G53" i="78" s="1"/>
  <c r="E40" i="70"/>
  <c r="F40" i="70" s="1"/>
  <c r="G40" i="70" s="1"/>
  <c r="E39" i="46"/>
  <c r="F39" i="46" s="1"/>
  <c r="G39" i="46" s="1"/>
  <c r="E45" i="37"/>
  <c r="F45" i="37" s="1"/>
  <c r="G45" i="37" s="1"/>
  <c r="E61" i="6"/>
  <c r="F61" i="6" s="1"/>
  <c r="G61" i="6" s="1"/>
  <c r="E62" i="54"/>
  <c r="F62" i="54" s="1"/>
  <c r="G62" i="54" s="1"/>
  <c r="E61" i="4"/>
  <c r="F61" i="4" s="1"/>
  <c r="G61" i="4" s="1"/>
  <c r="E61" i="55"/>
  <c r="F61" i="55" s="1"/>
  <c r="G61" i="55" s="1"/>
  <c r="E63" i="7"/>
  <c r="F63" i="7" s="1"/>
  <c r="G63" i="7" s="1"/>
  <c r="A10" i="61"/>
  <c r="E29" i="70"/>
  <c r="F29" i="70" s="1"/>
  <c r="G29" i="70" s="1"/>
  <c r="E537" i="1"/>
  <c r="E29" i="20"/>
  <c r="F29" i="20" s="1"/>
  <c r="G29" i="20" s="1"/>
  <c r="E27" i="48"/>
  <c r="F27" i="48" s="1"/>
  <c r="G27" i="48" s="1"/>
  <c r="E28" i="44"/>
  <c r="F28" i="44" s="1"/>
  <c r="G28" i="44" s="1"/>
  <c r="E29" i="17"/>
  <c r="F29" i="17" s="1"/>
  <c r="G29" i="17" s="1"/>
  <c r="E29" i="61"/>
  <c r="F29" i="61" s="1"/>
  <c r="G29" i="61" s="1"/>
  <c r="E30" i="58"/>
  <c r="F30" i="58" s="1"/>
  <c r="G30" i="58" s="1"/>
  <c r="E30" i="20"/>
  <c r="F30" i="20" s="1"/>
  <c r="G30" i="20" s="1"/>
  <c r="E30" i="34"/>
  <c r="F30" i="34" s="1"/>
  <c r="G30" i="34" s="1"/>
  <c r="E30" i="62"/>
  <c r="F30" i="62" s="1"/>
  <c r="G30" i="62" s="1"/>
  <c r="E34" i="70"/>
  <c r="F34" i="70" s="1"/>
  <c r="G34" i="70" s="1"/>
  <c r="E34" i="56"/>
  <c r="F34" i="56" s="1"/>
  <c r="G34" i="56" s="1"/>
  <c r="E34" i="62"/>
  <c r="F34" i="62" s="1"/>
  <c r="G34" i="62" s="1"/>
  <c r="E34" i="61"/>
  <c r="F34" i="61" s="1"/>
  <c r="G34" i="61" s="1"/>
  <c r="E34" i="20"/>
  <c r="F34" i="20" s="1"/>
  <c r="G34" i="20" s="1"/>
  <c r="E34" i="33"/>
  <c r="F34" i="33" s="1"/>
  <c r="G34" i="33" s="1"/>
  <c r="E42" i="71"/>
  <c r="F42" i="71" s="1"/>
  <c r="G42" i="71" s="1"/>
  <c r="E44" i="53"/>
  <c r="F44" i="53" s="1"/>
  <c r="G44" i="53" s="1"/>
  <c r="E33" i="44"/>
  <c r="F33" i="44" s="1"/>
  <c r="G33" i="44" s="1"/>
  <c r="E42" i="3"/>
  <c r="F42" i="3" s="1"/>
  <c r="G42" i="3" s="1"/>
  <c r="E34" i="44"/>
  <c r="F34" i="44" s="1"/>
  <c r="G34" i="44" s="1"/>
  <c r="E43" i="6"/>
  <c r="F43" i="6" s="1"/>
  <c r="G43" i="6" s="1"/>
  <c r="E34" i="46"/>
  <c r="F34" i="46" s="1"/>
  <c r="G34" i="46" s="1"/>
  <c r="E378" i="1"/>
  <c r="F378" i="1"/>
  <c r="C55" i="56"/>
  <c r="C51" i="81"/>
  <c r="E50" i="88"/>
  <c r="F50" i="88" s="1"/>
  <c r="G50" i="88" s="1"/>
  <c r="E50" i="31"/>
  <c r="F50" i="31" s="1"/>
  <c r="G50" i="31" s="1"/>
  <c r="E41" i="58"/>
  <c r="F41" i="58" s="1"/>
  <c r="G41" i="58" s="1"/>
  <c r="E49" i="5"/>
  <c r="F49" i="5" s="1"/>
  <c r="G49" i="5" s="1"/>
  <c r="E49" i="30"/>
  <c r="F49" i="30" s="1"/>
  <c r="G49" i="30" s="1"/>
  <c r="E41" i="62"/>
  <c r="F41" i="62" s="1"/>
  <c r="G41" i="62" s="1"/>
  <c r="E41" i="33"/>
  <c r="F41" i="33" s="1"/>
  <c r="G41" i="33" s="1"/>
  <c r="E49" i="3"/>
  <c r="F49" i="3" s="1"/>
  <c r="G49" i="3" s="1"/>
  <c r="E38" i="47"/>
  <c r="F38" i="47" s="1"/>
  <c r="G38" i="47" s="1"/>
  <c r="E49" i="6"/>
  <c r="F49" i="6" s="1"/>
  <c r="G49" i="6" s="1"/>
  <c r="G24" i="17"/>
  <c r="E31" i="47"/>
  <c r="F31" i="47" s="1"/>
  <c r="G31" i="47" s="1"/>
  <c r="E33" i="46"/>
  <c r="F33" i="46" s="1"/>
  <c r="G33" i="46" s="1"/>
  <c r="E26" i="47"/>
  <c r="F26" i="47" s="1"/>
  <c r="G26" i="47" s="1"/>
  <c r="E30" i="18"/>
  <c r="F30" i="18" s="1"/>
  <c r="G30" i="18" s="1"/>
  <c r="A27" i="8"/>
  <c r="A26" i="56"/>
  <c r="E55" i="18"/>
  <c r="F55" i="18" s="1"/>
  <c r="G55" i="18" s="1"/>
  <c r="E55" i="61"/>
  <c r="F55" i="61" s="1"/>
  <c r="G55" i="61" s="1"/>
  <c r="E50" i="46"/>
  <c r="F50" i="46" s="1"/>
  <c r="G50" i="46" s="1"/>
  <c r="E51" i="74"/>
  <c r="F51" i="74" s="1"/>
  <c r="G51" i="74" s="1"/>
  <c r="E52" i="37"/>
  <c r="F52" i="37" s="1"/>
  <c r="G52" i="37" s="1"/>
  <c r="E49" i="47"/>
  <c r="F49" i="47" s="1"/>
  <c r="G49" i="47" s="1"/>
  <c r="E54" i="30"/>
  <c r="F54" i="30" s="1"/>
  <c r="G54" i="30" s="1"/>
  <c r="E55" i="3"/>
  <c r="F55" i="3" s="1"/>
  <c r="G55" i="3" s="1"/>
  <c r="E56" i="7"/>
  <c r="F56" i="7" s="1"/>
  <c r="G56" i="7" s="1"/>
  <c r="G24" i="20"/>
  <c r="E34" i="17"/>
  <c r="F34" i="17" s="1"/>
  <c r="G34" i="17" s="1"/>
  <c r="E34" i="18"/>
  <c r="F34" i="18" s="1"/>
  <c r="G34" i="18" s="1"/>
  <c r="E42" i="5"/>
  <c r="F42" i="5" s="1"/>
  <c r="G42" i="5" s="1"/>
  <c r="E29" i="58"/>
  <c r="F29" i="58" s="1"/>
  <c r="G29" i="58" s="1"/>
  <c r="E324" i="1"/>
  <c r="F14" i="1"/>
  <c r="A49" i="58"/>
  <c r="A49" i="20"/>
  <c r="A45" i="80"/>
  <c r="A49" i="34"/>
  <c r="A42" i="47"/>
  <c r="A49" i="19"/>
  <c r="A49" i="61"/>
  <c r="A49" i="70"/>
  <c r="A43" i="19"/>
  <c r="A43" i="62"/>
  <c r="A43" i="17"/>
  <c r="A43" i="70"/>
  <c r="A42" i="44"/>
  <c r="A43" i="61"/>
  <c r="A43" i="56"/>
  <c r="A41" i="48"/>
  <c r="A57" i="18"/>
  <c r="A56" i="20"/>
  <c r="A56" i="33"/>
  <c r="A58" i="8"/>
  <c r="A57" i="19"/>
  <c r="E529" i="1"/>
  <c r="A58" i="78"/>
  <c r="E46" i="51"/>
  <c r="F46" i="51" s="1"/>
  <c r="G46" i="51" s="1"/>
  <c r="E29" i="18"/>
  <c r="F29" i="18" s="1"/>
  <c r="G29" i="18" s="1"/>
  <c r="E42" i="7"/>
  <c r="F42" i="7" s="1"/>
  <c r="G42" i="7" s="1"/>
  <c r="E320" i="1"/>
  <c r="C29" i="19"/>
  <c r="F117" i="1"/>
  <c r="F262" i="1"/>
  <c r="F373" i="1"/>
  <c r="F196" i="1"/>
  <c r="F111" i="1"/>
  <c r="F416" i="1"/>
  <c r="E218" i="1"/>
  <c r="F94" i="1"/>
  <c r="H29" i="85"/>
  <c r="H32" i="85"/>
  <c r="A128" i="39"/>
  <c r="A35" i="39"/>
  <c r="C3" i="33" s="1"/>
  <c r="A129" i="39"/>
  <c r="L71" i="4" s="1"/>
  <c r="A77" i="39"/>
  <c r="A17" i="39"/>
  <c r="D27" i="30" s="1"/>
  <c r="A84" i="39"/>
  <c r="A31" i="4" s="1"/>
  <c r="A231" i="39"/>
  <c r="A47" i="86" s="1"/>
  <c r="A100" i="39"/>
  <c r="A12" i="39"/>
  <c r="F202" i="1"/>
  <c r="C64" i="3"/>
  <c r="E743" i="1"/>
  <c r="F638" i="1"/>
  <c r="E376" i="1"/>
  <c r="E362" i="1"/>
  <c r="A75" i="39"/>
  <c r="A29" i="39"/>
  <c r="A85" i="39"/>
  <c r="A33" i="72" s="1"/>
  <c r="A93" i="39"/>
  <c r="A229" i="39"/>
  <c r="A232" i="39"/>
  <c r="A240" i="39"/>
  <c r="A54" i="85" s="1"/>
  <c r="E43" i="18"/>
  <c r="F43" i="18" s="1"/>
  <c r="G43" i="18" s="1"/>
  <c r="A8" i="58"/>
  <c r="E663" i="1"/>
  <c r="C28" i="44"/>
  <c r="F123" i="1"/>
  <c r="F499" i="1"/>
  <c r="F125" i="1"/>
  <c r="A71" i="39"/>
  <c r="A76" i="39"/>
  <c r="H34" i="85"/>
  <c r="H53" i="85"/>
  <c r="A70" i="39"/>
  <c r="A21" i="39"/>
  <c r="A81" i="39"/>
  <c r="H37" i="86"/>
  <c r="H42" i="86"/>
  <c r="A92" i="39"/>
  <c r="A35" i="3" s="1"/>
  <c r="A244" i="39"/>
  <c r="A65" i="87" s="1"/>
  <c r="F768" i="1"/>
  <c r="F634" i="1"/>
  <c r="C45" i="31"/>
  <c r="C45" i="71"/>
  <c r="C37" i="62"/>
  <c r="C37" i="18"/>
  <c r="C32" i="5"/>
  <c r="C32" i="6"/>
  <c r="C46" i="7"/>
  <c r="C37" i="61"/>
  <c r="C37" i="19"/>
  <c r="C32" i="4"/>
  <c r="C32" i="30"/>
  <c r="C37" i="17"/>
  <c r="C36" i="44"/>
  <c r="C37" i="70"/>
  <c r="C32" i="54"/>
  <c r="C32" i="3"/>
  <c r="C37" i="20"/>
  <c r="C37" i="56"/>
  <c r="C34" i="47"/>
  <c r="F135" i="1"/>
  <c r="E461" i="1"/>
  <c r="C41" i="80"/>
  <c r="C42" i="37"/>
  <c r="C37" i="58"/>
  <c r="C38" i="8"/>
  <c r="C51" i="78"/>
  <c r="C37" i="33"/>
  <c r="C36" i="46"/>
  <c r="C42" i="74"/>
  <c r="C46" i="54"/>
  <c r="C48" i="71"/>
  <c r="C32" i="71"/>
  <c r="C31" i="37"/>
  <c r="C49" i="72"/>
  <c r="C45" i="30"/>
  <c r="C41" i="81"/>
  <c r="C45" i="3"/>
  <c r="C32" i="7"/>
  <c r="F756" i="1"/>
  <c r="E756" i="1"/>
  <c r="C41" i="8"/>
  <c r="C40" i="33"/>
  <c r="E349" i="1"/>
  <c r="C56" i="56"/>
  <c r="C53" i="53"/>
  <c r="E321" i="1"/>
  <c r="C55" i="58"/>
  <c r="C51" i="46"/>
  <c r="C39" i="46"/>
  <c r="C40" i="58"/>
  <c r="C54" i="7"/>
  <c r="C53" i="6"/>
  <c r="E107" i="1"/>
  <c r="E89" i="1"/>
  <c r="C46" i="86"/>
  <c r="C57" i="8"/>
  <c r="F513" i="1"/>
  <c r="C40" i="70"/>
  <c r="C54" i="3"/>
  <c r="C53" i="78"/>
  <c r="C48" i="5"/>
  <c r="C40" i="17"/>
  <c r="C53" i="48"/>
  <c r="C56" i="17"/>
  <c r="C31" i="81"/>
  <c r="E440" i="1"/>
  <c r="E624" i="1"/>
  <c r="E138" i="1"/>
  <c r="C33" i="6"/>
  <c r="B23" i="57"/>
  <c r="F121" i="1"/>
  <c r="F53" i="1"/>
  <c r="E467" i="1"/>
  <c r="C49" i="54"/>
  <c r="C52" i="72"/>
  <c r="C53" i="5"/>
  <c r="C48" i="31"/>
  <c r="C56" i="61"/>
  <c r="C54" i="44"/>
  <c r="F795" i="1"/>
  <c r="F31" i="1"/>
  <c r="C40" i="20"/>
  <c r="E619" i="1"/>
  <c r="C33" i="5"/>
  <c r="C33" i="7"/>
  <c r="F325" i="1"/>
  <c r="C49" i="78"/>
  <c r="C66" i="31"/>
  <c r="E419" i="1"/>
  <c r="E826" i="1"/>
  <c r="C40" i="19"/>
  <c r="C37" i="47"/>
  <c r="C54" i="54"/>
  <c r="C54" i="4"/>
  <c r="C56" i="62"/>
  <c r="E794" i="1"/>
  <c r="F34" i="1"/>
  <c r="C37" i="78"/>
  <c r="C37" i="51"/>
  <c r="E793" i="1"/>
  <c r="C40" i="61"/>
  <c r="E546" i="1"/>
  <c r="C40" i="34"/>
  <c r="C49" i="7"/>
  <c r="F796" i="1"/>
  <c r="C55" i="33"/>
  <c r="C40" i="56"/>
  <c r="C55" i="20"/>
  <c r="E115" i="1"/>
  <c r="C35" i="78"/>
  <c r="C48" i="6"/>
  <c r="F539" i="1"/>
  <c r="C32" i="74"/>
  <c r="E45" i="1"/>
  <c r="F788" i="1"/>
  <c r="F694" i="1"/>
  <c r="F669" i="1"/>
  <c r="E574" i="1"/>
  <c r="C40" i="62"/>
  <c r="C43" i="80"/>
  <c r="C48" i="3"/>
  <c r="F794" i="1"/>
  <c r="C48" i="47"/>
  <c r="C39" i="44"/>
  <c r="C56" i="34"/>
  <c r="C43" i="81"/>
  <c r="C31" i="80"/>
  <c r="C33" i="30"/>
  <c r="C48" i="30"/>
  <c r="C45" i="74"/>
  <c r="C41" i="47"/>
  <c r="C52" i="80"/>
  <c r="C38" i="48"/>
  <c r="C56" i="18"/>
  <c r="C43" i="46"/>
  <c r="E531" i="1"/>
  <c r="E395" i="1"/>
  <c r="C36" i="80"/>
  <c r="E44" i="1"/>
  <c r="E775" i="1"/>
  <c r="C36" i="81"/>
  <c r="C44" i="46"/>
  <c r="F110" i="1"/>
  <c r="E578" i="1"/>
  <c r="E21" i="1"/>
  <c r="E640" i="1"/>
  <c r="E330" i="1"/>
  <c r="C59" i="85"/>
  <c r="C43" i="70"/>
  <c r="C64" i="6"/>
  <c r="F779" i="1"/>
  <c r="E139" i="1"/>
  <c r="F116" i="1"/>
  <c r="F647" i="1"/>
  <c r="E9" i="1"/>
  <c r="F298" i="1"/>
  <c r="C45" i="78"/>
  <c r="E524" i="1"/>
  <c r="F425" i="1"/>
  <c r="C35" i="17"/>
  <c r="E394" i="1"/>
  <c r="E652" i="1"/>
  <c r="E660" i="1"/>
  <c r="C36" i="51"/>
  <c r="F201" i="1"/>
  <c r="E604" i="1"/>
  <c r="F799" i="1"/>
  <c r="E801" i="1"/>
  <c r="C55" i="18"/>
  <c r="E124" i="1"/>
  <c r="E568" i="1"/>
  <c r="C52" i="78"/>
  <c r="F785" i="1"/>
  <c r="F771" i="1"/>
  <c r="C31" i="5"/>
  <c r="C47" i="51"/>
  <c r="E457" i="1"/>
  <c r="E759" i="1"/>
  <c r="F126" i="1"/>
  <c r="E90" i="1"/>
  <c r="C48" i="51"/>
  <c r="E22" i="1"/>
  <c r="C37" i="55"/>
  <c r="C62" i="31"/>
  <c r="C35" i="20"/>
  <c r="C53" i="37"/>
  <c r="E38" i="1"/>
  <c r="E114" i="1"/>
  <c r="E495" i="1"/>
  <c r="C65" i="31"/>
  <c r="C32" i="53"/>
  <c r="F211" i="1"/>
  <c r="C36" i="37"/>
  <c r="E714" i="1"/>
  <c r="E189" i="1"/>
  <c r="E305" i="1"/>
  <c r="C60" i="5"/>
  <c r="C34" i="46"/>
  <c r="F429" i="1"/>
  <c r="F721" i="1"/>
  <c r="E776" i="1"/>
  <c r="E492" i="1"/>
  <c r="C64" i="30"/>
  <c r="F421" i="1"/>
  <c r="F186" i="1"/>
  <c r="C35" i="33"/>
  <c r="F29" i="1"/>
  <c r="C28" i="80"/>
  <c r="C35" i="54"/>
  <c r="F468" i="1"/>
  <c r="C48" i="74"/>
  <c r="C51" i="80"/>
  <c r="C33" i="48"/>
  <c r="F707" i="1"/>
  <c r="C52" i="74"/>
  <c r="C61" i="30"/>
  <c r="C60" i="3"/>
  <c r="C28" i="81"/>
  <c r="C44" i="72"/>
  <c r="C40" i="74"/>
  <c r="C35" i="34"/>
  <c r="F383" i="1"/>
  <c r="C43" i="54"/>
  <c r="C55" i="17"/>
  <c r="F128" i="1"/>
  <c r="F423" i="1"/>
  <c r="F223" i="1"/>
  <c r="C36" i="74"/>
  <c r="C35" i="7"/>
  <c r="C55" i="54"/>
  <c r="E599" i="1"/>
  <c r="E508" i="1"/>
  <c r="C35" i="51"/>
  <c r="E763" i="1"/>
  <c r="F549" i="1"/>
  <c r="E423" i="1"/>
  <c r="C36" i="61"/>
  <c r="E709" i="1"/>
  <c r="F516" i="1"/>
  <c r="F257" i="1"/>
  <c r="C43" i="30"/>
  <c r="C56" i="8"/>
  <c r="C51" i="55"/>
  <c r="C36" i="72"/>
  <c r="C62" i="54"/>
  <c r="E390" i="1"/>
  <c r="C43" i="4"/>
  <c r="F18" i="1"/>
  <c r="C55" i="3"/>
  <c r="E665" i="1"/>
  <c r="C44" i="5"/>
  <c r="C54" i="5"/>
  <c r="C45" i="7"/>
  <c r="C43" i="71"/>
  <c r="C43" i="5"/>
  <c r="E685" i="1"/>
  <c r="C35" i="18"/>
  <c r="E37" i="1"/>
  <c r="F222" i="1"/>
  <c r="C35" i="61"/>
  <c r="E122" i="1"/>
  <c r="E437" i="1"/>
  <c r="C54" i="6"/>
  <c r="F637" i="1"/>
  <c r="F388" i="1"/>
  <c r="F332" i="1"/>
  <c r="C56" i="7"/>
  <c r="C55" i="31"/>
  <c r="F278" i="1"/>
  <c r="F458" i="1"/>
  <c r="E530" i="1"/>
  <c r="C63" i="4"/>
  <c r="E668" i="1"/>
  <c r="E306" i="1"/>
  <c r="E819" i="1"/>
  <c r="C36" i="56"/>
  <c r="C36" i="17"/>
  <c r="C43" i="6"/>
  <c r="C36" i="8"/>
  <c r="C43" i="7"/>
  <c r="E309" i="1"/>
  <c r="C46" i="46"/>
  <c r="F20" i="1"/>
  <c r="C55" i="71"/>
  <c r="E782" i="1"/>
  <c r="F698" i="1"/>
  <c r="F720" i="1"/>
  <c r="C65" i="7"/>
  <c r="E534" i="1"/>
  <c r="C35" i="19"/>
  <c r="C32" i="47"/>
  <c r="C35" i="70"/>
  <c r="C55" i="62"/>
  <c r="F696" i="1"/>
  <c r="C55" i="34"/>
  <c r="C53" i="30"/>
  <c r="C55" i="61"/>
  <c r="C54" i="55"/>
  <c r="C39" i="51"/>
  <c r="C61" i="6"/>
  <c r="C50" i="53"/>
  <c r="E769" i="1"/>
  <c r="F356" i="1"/>
  <c r="E364" i="1"/>
  <c r="E424" i="1"/>
  <c r="F742" i="1"/>
  <c r="E217" i="1"/>
  <c r="E108" i="1"/>
  <c r="E505" i="1"/>
  <c r="F132" i="1"/>
  <c r="C35" i="6"/>
  <c r="C32" i="78"/>
  <c r="C34" i="44"/>
  <c r="C35" i="58"/>
  <c r="C43" i="31"/>
  <c r="F351" i="1"/>
  <c r="C53" i="3"/>
  <c r="C61" i="5"/>
  <c r="C48" i="72"/>
  <c r="F658" i="1"/>
  <c r="F285" i="1"/>
  <c r="F481" i="1"/>
  <c r="E196" i="1"/>
  <c r="E502" i="1"/>
  <c r="E387" i="1"/>
  <c r="F659" i="1"/>
  <c r="C33" i="51"/>
  <c r="E427" i="1"/>
  <c r="C34" i="48"/>
  <c r="E438" i="1"/>
  <c r="C29" i="17"/>
  <c r="E591" i="1"/>
  <c r="E42" i="1"/>
  <c r="F277" i="1"/>
  <c r="E366" i="1"/>
  <c r="C49" i="86"/>
  <c r="C37" i="81"/>
  <c r="C46" i="55"/>
  <c r="C46" i="53"/>
  <c r="C43" i="20"/>
  <c r="E372" i="1"/>
  <c r="C43" i="72"/>
  <c r="C33" i="46"/>
  <c r="F798" i="1"/>
  <c r="C28" i="48"/>
  <c r="E17" i="1"/>
  <c r="E119" i="1"/>
  <c r="C43" i="58"/>
  <c r="C42" i="30"/>
  <c r="E704" i="1"/>
  <c r="F36" i="1"/>
  <c r="F137" i="1"/>
  <c r="E787" i="1"/>
  <c r="E517" i="1"/>
  <c r="F463" i="1"/>
  <c r="F430" i="1"/>
  <c r="E570" i="1"/>
  <c r="C42" i="71"/>
  <c r="F548" i="1"/>
  <c r="C42" i="31"/>
  <c r="E798" i="1"/>
  <c r="F801" i="1"/>
  <c r="F212" i="1"/>
  <c r="F762" i="1"/>
  <c r="C41" i="48"/>
  <c r="C43" i="62"/>
  <c r="C32" i="48"/>
  <c r="C34" i="70"/>
  <c r="F375" i="1"/>
  <c r="E134" i="1"/>
  <c r="F800" i="1"/>
  <c r="B22" i="57"/>
  <c r="F446" i="1"/>
  <c r="E377" i="1"/>
  <c r="E767" i="1"/>
  <c r="C30" i="34"/>
  <c r="E718" i="1"/>
  <c r="F611" i="1"/>
  <c r="C42" i="54"/>
  <c r="E226" i="1"/>
  <c r="F307" i="1"/>
  <c r="E542" i="1"/>
  <c r="F200" i="1"/>
  <c r="E177" i="1"/>
  <c r="E547" i="1"/>
  <c r="E252" i="1"/>
  <c r="E715" i="1"/>
  <c r="E780" i="1"/>
  <c r="E433" i="1"/>
  <c r="E426" i="1"/>
  <c r="C43" i="17"/>
  <c r="C30" i="80"/>
  <c r="F802" i="1"/>
  <c r="F674" i="1"/>
  <c r="F295" i="1"/>
  <c r="F433" i="1"/>
  <c r="E382" i="1"/>
  <c r="C30" i="62"/>
  <c r="F397" i="1"/>
  <c r="E420" i="1"/>
  <c r="C31" i="47"/>
  <c r="C40" i="46"/>
  <c r="C41" i="58"/>
  <c r="E224" i="1"/>
  <c r="E93" i="1"/>
  <c r="C43" i="34"/>
  <c r="C30" i="58"/>
  <c r="C43" i="56"/>
  <c r="F460" i="1"/>
  <c r="C42" i="44"/>
  <c r="C41" i="34"/>
  <c r="F503" i="1"/>
  <c r="F267" i="1"/>
  <c r="E439" i="1"/>
  <c r="C43" i="33"/>
  <c r="E691" i="1"/>
  <c r="C30" i="20"/>
  <c r="C40" i="47"/>
  <c r="F28" i="1"/>
  <c r="C41" i="56"/>
  <c r="C40" i="44"/>
  <c r="E10" i="1"/>
  <c r="C43" i="19"/>
  <c r="F666" i="1"/>
  <c r="C44" i="8"/>
  <c r="F355" i="1"/>
  <c r="C42" i="8"/>
  <c r="E203" i="1"/>
  <c r="C27" i="47"/>
  <c r="C34" i="33"/>
  <c r="F300" i="1"/>
  <c r="F545" i="1"/>
  <c r="E274" i="1"/>
  <c r="E441" i="1"/>
  <c r="F441" i="1"/>
  <c r="F374" i="1"/>
  <c r="E374" i="1"/>
  <c r="F333" i="1"/>
  <c r="E333" i="1"/>
  <c r="F13" i="1"/>
  <c r="E13" i="1"/>
  <c r="F25" i="1"/>
  <c r="E25" i="1"/>
  <c r="E791" i="1"/>
  <c r="F792" i="1"/>
  <c r="C56" i="33"/>
  <c r="C57" i="62"/>
  <c r="C56" i="58"/>
  <c r="C57" i="56"/>
  <c r="C57" i="18"/>
  <c r="C55" i="44"/>
  <c r="E263" i="1"/>
  <c r="F263" i="1"/>
  <c r="F807" i="1"/>
  <c r="F803" i="1"/>
  <c r="E250" i="1"/>
  <c r="E259" i="1"/>
  <c r="E344" i="1"/>
  <c r="F344" i="1"/>
  <c r="F521" i="1"/>
  <c r="E521" i="1"/>
  <c r="E246" i="1"/>
  <c r="F256" i="1"/>
  <c r="C47" i="86"/>
  <c r="C47" i="4"/>
  <c r="C39" i="62"/>
  <c r="C47" i="3"/>
  <c r="C42" i="81"/>
  <c r="C44" i="74"/>
  <c r="C47" i="5"/>
  <c r="C38" i="44"/>
  <c r="C47" i="71"/>
  <c r="C42" i="80"/>
  <c r="C44" i="37"/>
  <c r="C39" i="18"/>
  <c r="C39" i="17"/>
  <c r="C48" i="54"/>
  <c r="C47" i="31"/>
  <c r="C39" i="58"/>
  <c r="F506" i="1"/>
  <c r="E506" i="1"/>
  <c r="B18" i="57"/>
  <c r="E783" i="1"/>
  <c r="F236" i="1"/>
  <c r="E236" i="1"/>
  <c r="C52" i="53"/>
  <c r="F19" i="1"/>
  <c r="C37" i="48"/>
  <c r="E656" i="1"/>
  <c r="E415" i="1"/>
  <c r="E538" i="1"/>
  <c r="E328" i="1"/>
  <c r="F328" i="1"/>
  <c r="F672" i="1"/>
  <c r="E672" i="1"/>
  <c r="C28" i="17"/>
  <c r="C29" i="8"/>
  <c r="C25" i="47"/>
  <c r="C28" i="34"/>
  <c r="C28" i="20"/>
  <c r="C28" i="19"/>
  <c r="C27" i="44"/>
  <c r="C28" i="33"/>
  <c r="C28" i="70"/>
  <c r="C28" i="56"/>
  <c r="F774" i="1"/>
  <c r="E774" i="1"/>
  <c r="C57" i="17"/>
  <c r="E7" i="1"/>
  <c r="C58" i="8"/>
  <c r="C57" i="19"/>
  <c r="C39" i="34"/>
  <c r="E621" i="1"/>
  <c r="E803" i="1"/>
  <c r="C39" i="20"/>
  <c r="C39" i="56"/>
  <c r="F302" i="1"/>
  <c r="F131" i="1"/>
  <c r="E131" i="1"/>
  <c r="F757" i="1"/>
  <c r="E757" i="1"/>
  <c r="C30" i="17"/>
  <c r="E799" i="1"/>
  <c r="C30" i="19"/>
  <c r="C30" i="33"/>
  <c r="E800" i="1"/>
  <c r="C30" i="61"/>
  <c r="B24" i="57"/>
  <c r="E789" i="1"/>
  <c r="C43" i="18"/>
  <c r="C43" i="61"/>
  <c r="C42" i="46"/>
  <c r="C45" i="46"/>
  <c r="C43" i="47"/>
  <c r="F828" i="1"/>
  <c r="E185" i="1"/>
  <c r="C48" i="87"/>
  <c r="C48" i="4"/>
  <c r="C40" i="18"/>
  <c r="C56" i="86"/>
  <c r="C56" i="19"/>
  <c r="C55" i="70"/>
  <c r="E209" i="1"/>
  <c r="F251" i="1"/>
  <c r="E384" i="1"/>
  <c r="C56" i="70"/>
  <c r="E726" i="1"/>
  <c r="F514" i="1"/>
  <c r="F711" i="1"/>
  <c r="F7" i="1"/>
  <c r="E559" i="1"/>
  <c r="F559" i="1"/>
  <c r="F462" i="1"/>
  <c r="E462" i="1"/>
  <c r="E385" i="1"/>
  <c r="F385" i="1"/>
  <c r="F310" i="1"/>
  <c r="E310" i="1"/>
  <c r="F46" i="1"/>
  <c r="E46" i="1"/>
  <c r="F205" i="1"/>
  <c r="E205" i="1"/>
  <c r="F216" i="1"/>
  <c r="E216" i="1"/>
  <c r="F4" i="1"/>
  <c r="E4" i="1"/>
  <c r="F723" i="1"/>
  <c r="E723" i="1"/>
  <c r="F301" i="1"/>
  <c r="E301" i="1"/>
  <c r="C61" i="78"/>
  <c r="C62" i="53"/>
  <c r="F686" i="1"/>
  <c r="E686" i="1"/>
  <c r="F623" i="1"/>
  <c r="E623" i="1"/>
  <c r="E600" i="1"/>
  <c r="F600" i="1"/>
  <c r="F290" i="1"/>
  <c r="E290" i="1"/>
  <c r="C43" i="86"/>
  <c r="C43" i="3"/>
  <c r="C40" i="37"/>
  <c r="C35" i="62"/>
  <c r="C54" i="88"/>
  <c r="C56" i="72"/>
  <c r="C54" i="31"/>
  <c r="C35" i="31"/>
  <c r="C53" i="4"/>
  <c r="C55" i="7"/>
  <c r="C35" i="30"/>
  <c r="C57" i="51"/>
  <c r="C35" i="3"/>
  <c r="C35" i="71"/>
  <c r="C35" i="4"/>
  <c r="C62" i="86"/>
  <c r="C60" i="6"/>
  <c r="C60" i="55"/>
  <c r="C61" i="71"/>
  <c r="C61" i="54"/>
  <c r="C64" i="51"/>
  <c r="C60" i="4"/>
  <c r="C65" i="86"/>
  <c r="C63" i="6"/>
  <c r="C64" i="54"/>
  <c r="C63" i="3"/>
  <c r="C64" i="71"/>
  <c r="B4" i="57"/>
  <c r="E208" i="1"/>
  <c r="E253" i="1"/>
  <c r="F253" i="1"/>
  <c r="C33" i="78"/>
  <c r="C33" i="53"/>
  <c r="F705" i="1"/>
  <c r="E705" i="1"/>
  <c r="B21" i="57"/>
  <c r="F786" i="1"/>
  <c r="E786" i="1"/>
  <c r="C57" i="34"/>
  <c r="C47" i="6"/>
  <c r="F650" i="1"/>
  <c r="C51" i="72"/>
  <c r="E569" i="1"/>
  <c r="F765" i="1"/>
  <c r="E758" i="1"/>
  <c r="C47" i="30"/>
  <c r="E700" i="1"/>
  <c r="E133" i="1"/>
  <c r="F133" i="1"/>
  <c r="E357" i="1"/>
  <c r="F357" i="1"/>
  <c r="E51" i="1"/>
  <c r="F51" i="1"/>
  <c r="F199" i="1"/>
  <c r="E721" i="1"/>
  <c r="E683" i="1"/>
  <c r="F683" i="1"/>
  <c r="E703" i="1"/>
  <c r="F703" i="1"/>
  <c r="F690" i="1"/>
  <c r="E690" i="1"/>
  <c r="E258" i="1"/>
  <c r="C35" i="53"/>
  <c r="E796" i="1"/>
  <c r="C32" i="37"/>
  <c r="C33" i="3"/>
  <c r="C33" i="85"/>
  <c r="C33" i="54"/>
  <c r="C33" i="71"/>
  <c r="E790" i="1"/>
  <c r="C46" i="87"/>
  <c r="C46" i="5"/>
  <c r="C38" i="62"/>
  <c r="C50" i="72"/>
  <c r="C38" i="20"/>
  <c r="C47" i="7"/>
  <c r="C38" i="70"/>
  <c r="C51" i="87"/>
  <c r="C47" i="74"/>
  <c r="C51" i="31"/>
  <c r="C42" i="62"/>
  <c r="C42" i="70"/>
  <c r="C50" i="30"/>
  <c r="C51" i="54"/>
  <c r="C51" i="71"/>
  <c r="C43" i="8"/>
  <c r="C42" i="56"/>
  <c r="C48" i="37"/>
  <c r="C41" i="44"/>
  <c r="C42" i="20"/>
  <c r="C50" i="85"/>
  <c r="F215" i="1"/>
  <c r="E215" i="1"/>
  <c r="E238" i="1"/>
  <c r="F238" i="1"/>
  <c r="C56" i="20"/>
  <c r="C39" i="70"/>
  <c r="C48" i="7"/>
  <c r="F601" i="1"/>
  <c r="C28" i="62"/>
  <c r="F716" i="1"/>
  <c r="F483" i="1"/>
  <c r="E483" i="1"/>
  <c r="F541" i="1"/>
  <c r="E541" i="1"/>
  <c r="F442" i="1"/>
  <c r="E442" i="1"/>
  <c r="E371" i="1"/>
  <c r="F371" i="1"/>
  <c r="C45" i="72"/>
  <c r="F428" i="1"/>
  <c r="E740" i="1"/>
  <c r="E106" i="1"/>
  <c r="F740" i="1"/>
  <c r="E48" i="1"/>
  <c r="F48" i="1"/>
  <c r="E670" i="1"/>
  <c r="F670" i="1"/>
  <c r="E772" i="1"/>
  <c r="F772" i="1"/>
  <c r="E475" i="1"/>
  <c r="C31" i="87"/>
  <c r="C31" i="71"/>
  <c r="C31" i="6"/>
  <c r="C31" i="85"/>
  <c r="F727" i="1"/>
  <c r="E8" i="1"/>
  <c r="C54" i="48"/>
  <c r="C38" i="46"/>
  <c r="F631" i="1"/>
  <c r="C39" i="61"/>
  <c r="C28" i="58"/>
  <c r="E792" i="1"/>
  <c r="E454" i="1"/>
  <c r="E386" i="1"/>
  <c r="F386" i="1"/>
  <c r="F764" i="1"/>
  <c r="E764" i="1"/>
  <c r="F741" i="1"/>
  <c r="F107" i="1"/>
  <c r="E770" i="1"/>
  <c r="C29" i="48"/>
  <c r="F832" i="1"/>
  <c r="E833" i="1"/>
  <c r="F479" i="1"/>
  <c r="E820" i="1"/>
  <c r="F431" i="1"/>
  <c r="E192" i="1"/>
  <c r="F252" i="1"/>
  <c r="F334" i="1"/>
  <c r="C42" i="7"/>
  <c r="F576" i="1"/>
  <c r="C42" i="4"/>
  <c r="C35" i="81"/>
  <c r="F273" i="1"/>
  <c r="C42" i="85"/>
  <c r="F327" i="1"/>
  <c r="F237" i="1"/>
  <c r="F113" i="1"/>
  <c r="E229" i="1"/>
  <c r="C61" i="4"/>
  <c r="C61" i="55"/>
  <c r="C41" i="37"/>
  <c r="C44" i="30"/>
  <c r="C44" i="80"/>
  <c r="F235" i="1"/>
  <c r="F719" i="1"/>
  <c r="F708" i="1"/>
  <c r="E23" i="1"/>
  <c r="F197" i="1"/>
  <c r="C34" i="53"/>
  <c r="F474" i="1"/>
  <c r="C30" i="70"/>
  <c r="C31" i="3"/>
  <c r="B5" i="57"/>
  <c r="C49" i="47"/>
  <c r="F220" i="1"/>
  <c r="F662" i="1"/>
  <c r="F739" i="1"/>
  <c r="F493" i="1"/>
  <c r="F654" i="1"/>
  <c r="C60" i="72"/>
  <c r="C64" i="5"/>
  <c r="C34" i="19"/>
  <c r="C44" i="78"/>
  <c r="E688" i="1"/>
  <c r="E365" i="1"/>
  <c r="C38" i="47"/>
  <c r="C41" i="74"/>
  <c r="C40" i="80"/>
  <c r="C52" i="51"/>
  <c r="C41" i="61"/>
  <c r="C49" i="3"/>
  <c r="E118" i="1"/>
  <c r="E297" i="1"/>
  <c r="E706" i="1"/>
  <c r="E232" i="1"/>
  <c r="E812" i="1"/>
  <c r="F814" i="1"/>
  <c r="E535" i="1"/>
  <c r="E336" i="1"/>
  <c r="E276" i="1"/>
  <c r="E345" i="1"/>
  <c r="F808" i="1"/>
  <c r="C35" i="80"/>
  <c r="E797" i="1"/>
  <c r="F519" i="1"/>
  <c r="F268" i="1"/>
  <c r="E777" i="1"/>
  <c r="C29" i="81"/>
  <c r="F12" i="1"/>
  <c r="F214" i="1"/>
  <c r="F32" i="1"/>
  <c r="E15" i="1"/>
  <c r="F511" i="1"/>
  <c r="C58" i="74"/>
  <c r="E130" i="1"/>
  <c r="C65" i="51"/>
  <c r="C35" i="46"/>
  <c r="C36" i="70"/>
  <c r="F396" i="1"/>
  <c r="E719" i="1"/>
  <c r="F11" i="1"/>
  <c r="F724" i="1"/>
  <c r="C34" i="78"/>
  <c r="F655" i="1"/>
  <c r="F389" i="1"/>
  <c r="E727" i="1"/>
  <c r="C57" i="61"/>
  <c r="E233" i="1"/>
  <c r="C31" i="31"/>
  <c r="C54" i="78"/>
  <c r="C64" i="78"/>
  <c r="F657" i="1"/>
  <c r="E781" i="1"/>
  <c r="E739" i="1"/>
  <c r="C63" i="55"/>
  <c r="C64" i="4"/>
  <c r="C44" i="53"/>
  <c r="C34" i="17"/>
  <c r="C33" i="44"/>
  <c r="F633" i="1"/>
  <c r="C36" i="20"/>
  <c r="F717" i="1"/>
  <c r="C42" i="3"/>
  <c r="C44" i="6"/>
  <c r="C35" i="44"/>
  <c r="C47" i="37"/>
  <c r="C41" i="70"/>
  <c r="F643" i="1"/>
  <c r="C40" i="81"/>
  <c r="E784" i="1"/>
  <c r="C39" i="48"/>
  <c r="C41" i="19"/>
  <c r="C41" i="20"/>
  <c r="F50" i="1"/>
  <c r="F812" i="1"/>
  <c r="C41" i="62"/>
  <c r="F826" i="1"/>
  <c r="F187" i="1"/>
  <c r="F179" i="1"/>
  <c r="F806" i="1"/>
  <c r="C61" i="85"/>
  <c r="E352" i="1"/>
  <c r="C51" i="74"/>
  <c r="F326" i="1"/>
  <c r="E228" i="1"/>
  <c r="C36" i="34"/>
  <c r="E805" i="1"/>
  <c r="E47" i="1"/>
  <c r="C59" i="37"/>
  <c r="F426" i="1"/>
  <c r="F453" i="1"/>
  <c r="C44" i="47"/>
  <c r="F127" i="1"/>
  <c r="F8" i="1"/>
  <c r="C63" i="31"/>
  <c r="C36" i="58"/>
  <c r="E428" i="1"/>
  <c r="E724" i="1"/>
  <c r="E509" i="1"/>
  <c r="F398" i="1"/>
  <c r="F784" i="1"/>
  <c r="C34" i="18"/>
  <c r="C39" i="37"/>
  <c r="F6" i="1"/>
  <c r="C34" i="34"/>
  <c r="C37" i="8"/>
  <c r="F485" i="1"/>
  <c r="C44" i="71"/>
  <c r="C50" i="54"/>
  <c r="C41" i="17"/>
  <c r="C50" i="71"/>
  <c r="C49" i="4"/>
  <c r="C46" i="74"/>
  <c r="E667" i="1"/>
  <c r="E573" i="1"/>
  <c r="F824" i="1"/>
  <c r="E479" i="1"/>
  <c r="F191" i="1"/>
  <c r="C53" i="85"/>
  <c r="F286" i="1"/>
  <c r="E112" i="1"/>
  <c r="F322" i="1"/>
  <c r="F558" i="1"/>
  <c r="E528" i="1"/>
  <c r="C36" i="62"/>
  <c r="C46" i="51"/>
  <c r="C33" i="47"/>
  <c r="C39" i="74"/>
  <c r="E701" i="1"/>
  <c r="E725" i="1"/>
  <c r="F296" i="1"/>
  <c r="C63" i="7"/>
  <c r="C36" i="19"/>
  <c r="C49" i="6"/>
  <c r="E785" i="1"/>
  <c r="F455" i="1"/>
  <c r="C42" i="5"/>
  <c r="E329" i="1"/>
  <c r="C29" i="44"/>
  <c r="C55" i="72"/>
  <c r="C65" i="30"/>
  <c r="F312" i="1"/>
  <c r="C66" i="7"/>
  <c r="C67" i="51"/>
  <c r="C65" i="71"/>
  <c r="C41" i="33"/>
  <c r="F294" i="1"/>
  <c r="C50" i="31"/>
  <c r="E697" i="1"/>
  <c r="F221" i="1"/>
  <c r="C49" i="30"/>
  <c r="C53" i="72"/>
  <c r="F572" i="1"/>
  <c r="F451" i="1"/>
  <c r="F417" i="1"/>
  <c r="F188" i="1"/>
  <c r="E194" i="1"/>
  <c r="E275" i="1"/>
  <c r="F823" i="1"/>
  <c r="C49" i="85"/>
  <c r="F488" i="1"/>
  <c r="F580" i="1"/>
  <c r="F343" i="1"/>
  <c r="F464" i="1"/>
  <c r="E498" i="1"/>
  <c r="F24" i="1"/>
  <c r="C44" i="31"/>
  <c r="F805" i="1"/>
  <c r="C34" i="58"/>
  <c r="F797" i="1"/>
  <c r="C34" i="20"/>
  <c r="E39" i="1"/>
  <c r="C62" i="30"/>
  <c r="C61" i="3"/>
  <c r="C45" i="54"/>
  <c r="C44" i="4"/>
  <c r="C49" i="5"/>
  <c r="C44" i="81"/>
  <c r="E284" i="1"/>
  <c r="F26" i="1"/>
  <c r="E459" i="1"/>
  <c r="C65" i="54"/>
  <c r="C44" i="55"/>
  <c r="C35" i="8"/>
  <c r="C46" i="37"/>
  <c r="C41" i="18"/>
  <c r="C31" i="30"/>
  <c r="E818" i="1"/>
  <c r="E361" i="1"/>
  <c r="E609" i="1"/>
  <c r="C63" i="85"/>
  <c r="C46" i="78"/>
  <c r="C44" i="54"/>
  <c r="C49" i="71"/>
  <c r="C37" i="80"/>
  <c r="C44" i="7"/>
  <c r="A3" i="48"/>
  <c r="E3" i="20"/>
  <c r="A31" i="34"/>
  <c r="A3" i="81"/>
  <c r="E470" i="1"/>
  <c r="E692" i="1"/>
  <c r="F444" i="1"/>
  <c r="E370" i="1"/>
  <c r="E496" i="1"/>
  <c r="E487" i="1"/>
  <c r="E204" i="1"/>
  <c r="E825" i="1"/>
  <c r="F820" i="1"/>
  <c r="E596" i="1"/>
  <c r="E450" i="1"/>
  <c r="F831" i="1"/>
  <c r="E292" i="1"/>
  <c r="E616" i="1"/>
  <c r="E577" i="1"/>
  <c r="E543" i="1"/>
  <c r="E175" i="1"/>
  <c r="C64" i="85"/>
  <c r="H49" i="86"/>
  <c r="H61" i="86"/>
  <c r="E181" i="1"/>
  <c r="F87" i="1"/>
  <c r="F791" i="1"/>
  <c r="E3" i="19"/>
  <c r="A3" i="55"/>
  <c r="F664" i="1"/>
  <c r="E829" i="1"/>
  <c r="E831" i="1"/>
  <c r="F577" i="1"/>
  <c r="F804" i="1"/>
  <c r="H37" i="87"/>
  <c r="E489" i="1"/>
  <c r="H48" i="87"/>
  <c r="H51" i="87"/>
  <c r="E837" i="1"/>
  <c r="F86" i="1"/>
  <c r="A31" i="18"/>
  <c r="A31" i="17"/>
  <c r="A3" i="3"/>
  <c r="A3" i="61"/>
  <c r="C50" i="37"/>
  <c r="E425" i="1"/>
  <c r="E720" i="1"/>
  <c r="F198" i="1"/>
  <c r="E41" i="1"/>
  <c r="C29" i="20"/>
  <c r="E61" i="85"/>
  <c r="F61" i="85" s="1"/>
  <c r="G61" i="85" s="1"/>
  <c r="F818" i="1"/>
  <c r="F450" i="1"/>
  <c r="E335" i="1"/>
  <c r="E273" i="1"/>
  <c r="H44" i="85"/>
  <c r="H46" i="85"/>
  <c r="H50" i="85"/>
  <c r="H45" i="86"/>
  <c r="H52" i="86"/>
  <c r="F208" i="1"/>
  <c r="C45" i="87"/>
  <c r="F731" i="1"/>
  <c r="F673" i="1"/>
  <c r="F248" i="1"/>
  <c r="F85" i="1"/>
  <c r="E684" i="1"/>
  <c r="E54" i="1"/>
  <c r="E248" i="1"/>
  <c r="F342" i="1"/>
  <c r="E579" i="1"/>
  <c r="E331" i="1"/>
  <c r="C29" i="34"/>
  <c r="F348" i="1"/>
  <c r="F822" i="1"/>
  <c r="E178" i="1"/>
  <c r="F829" i="1"/>
  <c r="F362" i="1"/>
  <c r="F833" i="1"/>
  <c r="F675" i="1"/>
  <c r="E827" i="1"/>
  <c r="E808" i="1"/>
  <c r="C27" i="3"/>
  <c r="C45" i="85"/>
  <c r="A51" i="85"/>
  <c r="H35" i="86"/>
  <c r="H53" i="86"/>
  <c r="H63" i="86"/>
  <c r="F88" i="1"/>
  <c r="F84" i="1"/>
  <c r="A3" i="53"/>
  <c r="E3" i="17"/>
  <c r="A29" i="48"/>
  <c r="C28" i="46"/>
  <c r="F49" i="1"/>
  <c r="C65" i="53"/>
  <c r="H28" i="85"/>
  <c r="C35" i="85"/>
  <c r="H39" i="85"/>
  <c r="H45" i="85"/>
  <c r="H47" i="85"/>
  <c r="H51" i="85"/>
  <c r="H59" i="85"/>
  <c r="H36" i="86"/>
  <c r="H44" i="86"/>
  <c r="C51" i="86"/>
  <c r="F272" i="1"/>
  <c r="H43" i="87"/>
  <c r="C54" i="87"/>
  <c r="L12" i="31"/>
  <c r="M12" i="31" s="1"/>
  <c r="N12" i="31" s="1"/>
  <c r="A45" i="6"/>
  <c r="A45" i="31"/>
  <c r="A37" i="56"/>
  <c r="A41" i="80"/>
  <c r="A37" i="34"/>
  <c r="A45" i="3"/>
  <c r="A46" i="37" s="1"/>
  <c r="A36" i="46"/>
  <c r="A37" i="17"/>
  <c r="A37" i="62"/>
  <c r="A45" i="4"/>
  <c r="A34" i="47"/>
  <c r="A35" i="48"/>
  <c r="A37" i="33"/>
  <c r="A53" i="51"/>
  <c r="A37" i="70"/>
  <c r="A38" i="8"/>
  <c r="A45" i="5"/>
  <c r="A42" i="74"/>
  <c r="A37" i="18"/>
  <c r="A37" i="61"/>
  <c r="A45" i="30"/>
  <c r="A42" i="37"/>
  <c r="A47" i="17"/>
  <c r="A47" i="56"/>
  <c r="A46" i="44"/>
  <c r="A47" i="62"/>
  <c r="A47" i="58"/>
  <c r="A47" i="18"/>
  <c r="A47" i="34"/>
  <c r="A47" i="70"/>
  <c r="A47" i="19"/>
  <c r="A47" i="33"/>
  <c r="A33" i="3"/>
  <c r="A33" i="87" s="1"/>
  <c r="A34" i="72"/>
  <c r="A31" i="8"/>
  <c r="A30" i="17"/>
  <c r="A30" i="18"/>
  <c r="A30" i="34"/>
  <c r="A30" i="20"/>
  <c r="A46" i="20"/>
  <c r="A46" i="58"/>
  <c r="A45" i="44"/>
  <c r="A46" i="56"/>
  <c r="A46" i="70"/>
  <c r="A46" i="19"/>
  <c r="A46" i="33"/>
  <c r="A46" i="18"/>
  <c r="A46" i="34"/>
  <c r="A47" i="8"/>
  <c r="A52" i="19"/>
  <c r="A52" i="20"/>
  <c r="A52" i="58"/>
  <c r="C39" i="71"/>
  <c r="C37" i="71"/>
  <c r="A36" i="81"/>
  <c r="A45" i="53"/>
  <c r="A36" i="80"/>
  <c r="C3" i="48"/>
  <c r="D27" i="3"/>
  <c r="D27" i="31"/>
  <c r="D28" i="72"/>
  <c r="A3" i="7"/>
  <c r="A3" i="33"/>
  <c r="A3" i="54"/>
  <c r="A3" i="18"/>
  <c r="A3" i="80"/>
  <c r="A3" i="78"/>
  <c r="A3" i="4"/>
  <c r="A3" i="70"/>
  <c r="A3" i="71"/>
  <c r="A3" i="74"/>
  <c r="A3" i="19"/>
  <c r="A3" i="37"/>
  <c r="A3" i="34"/>
  <c r="A3" i="31"/>
  <c r="A3" i="30"/>
  <c r="A3" i="51"/>
  <c r="A3" i="72"/>
  <c r="A3" i="56"/>
  <c r="A3" i="47"/>
  <c r="A3" i="8"/>
  <c r="A3" i="62"/>
  <c r="A7" i="34"/>
  <c r="A7" i="81"/>
  <c r="A7" i="8"/>
  <c r="A7" i="33" s="1"/>
  <c r="A7" i="47"/>
  <c r="A7" i="46"/>
  <c r="A35" i="72"/>
  <c r="A34" i="3"/>
  <c r="A34" i="88" s="1"/>
  <c r="A58" i="6"/>
  <c r="A60" i="31"/>
  <c r="A58" i="55"/>
  <c r="A58" i="4"/>
  <c r="A55" i="74"/>
  <c r="A58" i="3"/>
  <c r="A59" i="54"/>
  <c r="A60" i="7"/>
  <c r="A58" i="85"/>
  <c r="A58" i="5"/>
  <c r="A63" i="86"/>
  <c r="A61" i="5"/>
  <c r="A62" i="30"/>
  <c r="A61" i="4"/>
  <c r="A63" i="31"/>
  <c r="A63" i="7"/>
  <c r="A65" i="51"/>
  <c r="A62" i="54"/>
  <c r="A61" i="55"/>
  <c r="D3" i="18"/>
  <c r="D3" i="48"/>
  <c r="D3" i="19"/>
  <c r="D3" i="70"/>
  <c r="D3" i="17"/>
  <c r="D3" i="33"/>
  <c r="A3" i="58"/>
  <c r="G8" i="56"/>
  <c r="G8" i="8"/>
  <c r="G8" i="17" s="1"/>
  <c r="A8" i="18"/>
  <c r="A8" i="61"/>
  <c r="A8" i="20"/>
  <c r="A8" i="70"/>
  <c r="A8" i="17"/>
  <c r="A49" i="74"/>
  <c r="A50" i="37"/>
  <c r="I27" i="86"/>
  <c r="I25" i="80"/>
  <c r="I23" i="44"/>
  <c r="I24" i="58"/>
  <c r="I30" i="51"/>
  <c r="I24" i="20"/>
  <c r="I24" i="56"/>
  <c r="I22" i="48"/>
  <c r="I26" i="74"/>
  <c r="I27" i="6"/>
  <c r="I24" i="62"/>
  <c r="I29" i="55"/>
  <c r="I27" i="7"/>
  <c r="I27" i="4"/>
  <c r="I27" i="3"/>
  <c r="I24" i="34"/>
  <c r="I29" i="78"/>
  <c r="I27" i="85"/>
  <c r="I24" i="19"/>
  <c r="I27" i="30"/>
  <c r="I27" i="54"/>
  <c r="I26" i="37"/>
  <c r="I24" i="33"/>
  <c r="I24" i="18"/>
  <c r="I25" i="8"/>
  <c r="I27" i="31"/>
  <c r="I29" i="53"/>
  <c r="A48" i="56"/>
  <c r="A48" i="61"/>
  <c r="A39" i="80"/>
  <c r="A39" i="81"/>
  <c r="A48" i="53"/>
  <c r="F10" i="78"/>
  <c r="F7" i="81"/>
  <c r="A47" i="81"/>
  <c r="A51" i="20"/>
  <c r="A51" i="18"/>
  <c r="A52" i="8"/>
  <c r="A50" i="44"/>
  <c r="A51" i="17"/>
  <c r="A51" i="33"/>
  <c r="A51" i="56"/>
  <c r="A47" i="80"/>
  <c r="A51" i="61"/>
  <c r="A51" i="58"/>
  <c r="A51" i="70"/>
  <c r="A51" i="34"/>
  <c r="A51" i="62"/>
  <c r="J45" i="77"/>
  <c r="P45" i="77"/>
  <c r="H45" i="77"/>
  <c r="N45" i="77"/>
  <c r="A10" i="19"/>
  <c r="A31" i="33"/>
  <c r="A9" i="18"/>
  <c r="A31" i="19"/>
  <c r="A30" i="44"/>
  <c r="A28" i="47"/>
  <c r="J35" i="85"/>
  <c r="A31" i="70"/>
  <c r="A56" i="78"/>
  <c r="F33" i="74"/>
  <c r="G33" i="74" s="1"/>
  <c r="F28" i="47"/>
  <c r="G28" i="47" s="1"/>
  <c r="A57" i="53"/>
  <c r="A10" i="62"/>
  <c r="A9" i="61"/>
  <c r="A9" i="19"/>
  <c r="A31" i="20"/>
  <c r="A56" i="85"/>
  <c r="A10" i="17"/>
  <c r="A9" i="17"/>
  <c r="F28" i="58"/>
  <c r="G28" i="58" s="1"/>
  <c r="K32" i="30"/>
  <c r="G24" i="18"/>
  <c r="F24" i="33"/>
  <c r="F24" i="18"/>
  <c r="F22" i="48"/>
  <c r="G24" i="70"/>
  <c r="G22" i="48"/>
  <c r="E3" i="44"/>
  <c r="E3" i="70"/>
  <c r="E3" i="48"/>
  <c r="A26" i="3"/>
  <c r="A26" i="87" s="1"/>
  <c r="A27" i="72"/>
  <c r="A32" i="4"/>
  <c r="C59" i="86"/>
  <c r="C58" i="54"/>
  <c r="A251" i="39"/>
  <c r="A52" i="87" s="1"/>
  <c r="A250" i="39"/>
  <c r="A103" i="39"/>
  <c r="A230" i="39"/>
  <c r="A46" i="87" s="1"/>
  <c r="A228" i="39"/>
  <c r="A44" i="87" s="1"/>
  <c r="A33" i="39"/>
  <c r="A83" i="39"/>
  <c r="A18" i="39"/>
  <c r="E27" i="87" s="1"/>
  <c r="A242" i="39"/>
  <c r="B19" i="87" s="1"/>
  <c r="A73" i="39"/>
  <c r="A32" i="39"/>
  <c r="A33" i="77" s="1"/>
  <c r="A218" i="39"/>
  <c r="A63" i="57" s="1"/>
  <c r="A124" i="39"/>
  <c r="A52" i="39"/>
  <c r="A57" i="39"/>
  <c r="P24" i="77" s="1"/>
  <c r="A180" i="39"/>
  <c r="A65" i="39"/>
  <c r="A136" i="39"/>
  <c r="A76" i="77" s="1"/>
  <c r="A67" i="39"/>
  <c r="A26" i="39"/>
  <c r="A11" i="77" s="1"/>
  <c r="A201" i="39"/>
  <c r="A213" i="39"/>
  <c r="A42" i="57" s="1"/>
  <c r="A120" i="39"/>
  <c r="A31" i="39"/>
  <c r="A17" i="77" s="1"/>
  <c r="A178" i="39"/>
  <c r="A106" i="39"/>
  <c r="A188" i="39"/>
  <c r="A207" i="39"/>
  <c r="A147" i="39"/>
  <c r="A241" i="39"/>
  <c r="A61" i="78"/>
  <c r="A62" i="53"/>
  <c r="F30" i="74"/>
  <c r="G30" i="74" s="1"/>
  <c r="L71" i="85"/>
  <c r="K69" i="7"/>
  <c r="K57" i="80"/>
  <c r="L66" i="56"/>
  <c r="A60" i="86"/>
  <c r="A59" i="71"/>
  <c r="A8" i="33"/>
  <c r="A47" i="20"/>
  <c r="A47" i="61"/>
  <c r="A41" i="86"/>
  <c r="A41" i="3"/>
  <c r="A33" i="17" s="1"/>
  <c r="A41" i="4"/>
  <c r="A52" i="3"/>
  <c r="A52" i="5"/>
  <c r="A42" i="86"/>
  <c r="A42" i="85"/>
  <c r="A10" i="46"/>
  <c r="A10" i="80"/>
  <c r="K31" i="30"/>
  <c r="J31" i="30"/>
  <c r="A36" i="3"/>
  <c r="A37" i="88" s="1"/>
  <c r="A37" i="72"/>
  <c r="A31" i="3"/>
  <c r="A31" i="88" s="1"/>
  <c r="A45" i="86"/>
  <c r="A37" i="58"/>
  <c r="A49" i="72"/>
  <c r="A46" i="7"/>
  <c r="A51" i="55"/>
  <c r="A43" i="20"/>
  <c r="A43" i="33"/>
  <c r="A45" i="56"/>
  <c r="A45" i="17"/>
  <c r="K35" i="30"/>
  <c r="G27" i="86"/>
  <c r="F10" i="53"/>
  <c r="F11" i="51"/>
  <c r="F32" i="55"/>
  <c r="G32" i="55" s="1"/>
  <c r="A39" i="87"/>
  <c r="A39" i="31"/>
  <c r="A48" i="86"/>
  <c r="A40" i="56"/>
  <c r="A48" i="71"/>
  <c r="A67" i="3"/>
  <c r="A69" i="88" s="1"/>
  <c r="A63" i="72"/>
  <c r="A239" i="39"/>
  <c r="F31" i="85"/>
  <c r="G31" i="85" s="1"/>
  <c r="F30" i="81"/>
  <c r="G30" i="81" s="1"/>
  <c r="E30" i="8"/>
  <c r="F30" i="8" s="1"/>
  <c r="G30" i="8" s="1"/>
  <c r="C325" i="1"/>
  <c r="C30" i="8"/>
  <c r="C638" i="1"/>
  <c r="C323" i="1"/>
  <c r="C552" i="1"/>
  <c r="C629" i="1"/>
  <c r="C572" i="1"/>
  <c r="C802" i="1"/>
  <c r="C541" i="1"/>
  <c r="C648" i="1"/>
  <c r="C796" i="1"/>
  <c r="C385" i="1"/>
  <c r="C671" i="1"/>
  <c r="A24" i="47"/>
  <c r="A24" i="48"/>
  <c r="A26" i="33"/>
  <c r="A26" i="18"/>
  <c r="A26" i="19"/>
  <c r="A26" i="17"/>
  <c r="A26" i="20"/>
  <c r="A26" i="46"/>
  <c r="A26" i="34"/>
  <c r="A26" i="70"/>
  <c r="A25" i="44"/>
  <c r="F24" i="70"/>
  <c r="A48" i="80"/>
  <c r="A53" i="8"/>
  <c r="A45" i="47"/>
  <c r="A48" i="33"/>
  <c r="A48" i="17"/>
  <c r="A36" i="8"/>
  <c r="A52" i="61"/>
  <c r="A48" i="58"/>
  <c r="A34" i="44"/>
  <c r="B6" i="58"/>
  <c r="F761" i="1"/>
  <c r="F825" i="1"/>
  <c r="C57" i="37"/>
  <c r="C61" i="88"/>
  <c r="C61" i="87"/>
  <c r="A48" i="18"/>
  <c r="A46" i="48"/>
  <c r="A35" i="33"/>
  <c r="A35" i="62"/>
  <c r="A35" i="58"/>
  <c r="A37" i="71"/>
  <c r="A37" i="54"/>
  <c r="A52" i="18"/>
  <c r="E47" i="88"/>
  <c r="F47" i="88" s="1"/>
  <c r="G47" i="88" s="1"/>
  <c r="E47" i="86"/>
  <c r="F47" i="86" s="1"/>
  <c r="G47" i="86" s="1"/>
  <c r="F27" i="71"/>
  <c r="A52" i="34"/>
  <c r="A48" i="62"/>
  <c r="A35" i="18"/>
  <c r="A35" i="17"/>
  <c r="A56" i="74"/>
  <c r="A35" i="34"/>
  <c r="A37" i="6"/>
  <c r="A32" i="47"/>
  <c r="A48" i="81"/>
  <c r="E28" i="61"/>
  <c r="F28" i="61" s="1"/>
  <c r="G28" i="61" s="1"/>
  <c r="B6" i="80"/>
  <c r="A52" i="17"/>
  <c r="A48" i="34"/>
  <c r="A32" i="78"/>
  <c r="A35" i="19"/>
  <c r="A35" i="56"/>
  <c r="A34" i="46"/>
  <c r="A35" i="70"/>
  <c r="E35" i="81"/>
  <c r="F35" i="81" s="1"/>
  <c r="G35" i="81" s="1"/>
  <c r="E42" i="86"/>
  <c r="F42" i="86" s="1"/>
  <c r="G42" i="86" s="1"/>
  <c r="A50" i="48"/>
  <c r="A49" i="8"/>
  <c r="A33" i="48"/>
  <c r="A32" i="55"/>
  <c r="A51" i="44"/>
  <c r="F677" i="1"/>
  <c r="E677" i="1"/>
  <c r="F482" i="1"/>
  <c r="E834" i="1"/>
  <c r="F834" i="1"/>
  <c r="F810" i="1"/>
  <c r="D3" i="86"/>
  <c r="D3" i="88"/>
  <c r="D3" i="87"/>
  <c r="A52" i="70"/>
  <c r="A52" i="56"/>
  <c r="A48" i="70"/>
  <c r="A32" i="53"/>
  <c r="A48" i="19"/>
  <c r="A35" i="20"/>
  <c r="F614" i="1"/>
  <c r="E614" i="1"/>
  <c r="E239" i="1"/>
  <c r="F239" i="1"/>
  <c r="F452" i="1"/>
  <c r="E830" i="1"/>
  <c r="E821" i="1"/>
  <c r="F821" i="1"/>
  <c r="E465" i="1"/>
  <c r="F465" i="1"/>
  <c r="F24" i="20"/>
  <c r="F24" i="17"/>
  <c r="A47" i="46"/>
  <c r="A52" i="62"/>
  <c r="A52" i="33"/>
  <c r="A47" i="44"/>
  <c r="A33" i="51"/>
  <c r="A28" i="81"/>
  <c r="A35" i="61"/>
  <c r="A48" i="20"/>
  <c r="E56" i="70"/>
  <c r="F56" i="70" s="1"/>
  <c r="G56" i="70" s="1"/>
  <c r="E91" i="1"/>
  <c r="E828" i="1"/>
  <c r="E95" i="1"/>
  <c r="F240" i="1"/>
  <c r="F258" i="1"/>
  <c r="C57" i="85"/>
  <c r="C60" i="85"/>
  <c r="T7" i="77"/>
  <c r="B2" i="85" s="1"/>
  <c r="H34" i="86"/>
  <c r="H38" i="86"/>
  <c r="C44" i="86"/>
  <c r="H47" i="86"/>
  <c r="E679" i="1"/>
  <c r="F206" i="1"/>
  <c r="F61" i="1"/>
  <c r="E56" i="1"/>
  <c r="H39" i="87"/>
  <c r="H42" i="87"/>
  <c r="H44" i="87"/>
  <c r="A49" i="87"/>
  <c r="C65" i="87"/>
  <c r="E835" i="1"/>
  <c r="H31" i="88"/>
  <c r="H33" i="88"/>
  <c r="C46" i="88"/>
  <c r="C49" i="88"/>
  <c r="C59" i="88"/>
  <c r="F735" i="1"/>
  <c r="F749" i="1"/>
  <c r="F838" i="1"/>
  <c r="C48" i="85"/>
  <c r="H28" i="87"/>
  <c r="H31" i="87"/>
  <c r="H33" i="87"/>
  <c r="C49" i="87"/>
  <c r="H53" i="87"/>
  <c r="A60" i="87"/>
  <c r="H65" i="87"/>
  <c r="A252" i="39"/>
  <c r="F842" i="1"/>
  <c r="H28" i="88"/>
  <c r="H36" i="88"/>
  <c r="A43" i="88"/>
  <c r="H46" i="88"/>
  <c r="A48" i="88"/>
  <c r="H49" i="88"/>
  <c r="F845" i="1"/>
  <c r="F30" i="70"/>
  <c r="G30" i="70" s="1"/>
  <c r="F813" i="1"/>
  <c r="F259" i="1"/>
  <c r="E291" i="1"/>
  <c r="F574" i="1"/>
  <c r="E92" i="1"/>
  <c r="F584" i="1"/>
  <c r="A52" i="85"/>
  <c r="F60" i="1"/>
  <c r="E244" i="1"/>
  <c r="G11" i="87"/>
  <c r="C27" i="87"/>
  <c r="H36" i="87"/>
  <c r="H46" i="87"/>
  <c r="A48" i="87"/>
  <c r="H49" i="87"/>
  <c r="H68" i="87"/>
  <c r="G11" i="88"/>
  <c r="C27" i="88"/>
  <c r="H34" i="88"/>
  <c r="A41" i="88"/>
  <c r="C43" i="88"/>
  <c r="A45" i="88"/>
  <c r="C48" i="88"/>
  <c r="C51" i="88"/>
  <c r="H53" i="88"/>
  <c r="A60" i="88"/>
  <c r="C65" i="88"/>
  <c r="F734" i="1"/>
  <c r="F730" i="1"/>
  <c r="F748" i="1"/>
  <c r="F841" i="1"/>
  <c r="F247" i="1"/>
  <c r="F31" i="7"/>
  <c r="G31" i="7" s="1"/>
  <c r="F34" i="78"/>
  <c r="G34" i="78" s="1"/>
  <c r="E813" i="1"/>
  <c r="A41" i="85"/>
  <c r="A45" i="85"/>
  <c r="C54" i="85"/>
  <c r="H46" i="86"/>
  <c r="C48" i="86"/>
  <c r="A49" i="3"/>
  <c r="E680" i="1"/>
  <c r="E270" i="1"/>
  <c r="E242" i="1"/>
  <c r="E339" i="1"/>
  <c r="E3" i="87"/>
  <c r="G7" i="87"/>
  <c r="D27" i="87"/>
  <c r="H29" i="87"/>
  <c r="H34" i="87"/>
  <c r="A41" i="87"/>
  <c r="A45" i="87"/>
  <c r="F840" i="1"/>
  <c r="G7" i="88"/>
  <c r="D27" i="88"/>
  <c r="H29" i="88"/>
  <c r="H37" i="88"/>
  <c r="H43" i="88"/>
  <c r="C45" i="88"/>
  <c r="H48" i="88"/>
  <c r="H51" i="88"/>
  <c r="H65" i="88"/>
  <c r="F844" i="1"/>
  <c r="E247" i="1"/>
  <c r="E184" i="1"/>
  <c r="A64" i="87"/>
  <c r="C66" i="87"/>
  <c r="C35" i="88"/>
  <c r="A38" i="88"/>
  <c r="H45" i="88"/>
  <c r="A47" i="88"/>
  <c r="A54" i="88"/>
  <c r="H68" i="88"/>
  <c r="F733" i="1"/>
  <c r="F751" i="1"/>
  <c r="F747" i="1"/>
  <c r="F250" i="1"/>
  <c r="F246" i="1"/>
  <c r="F29" i="80"/>
  <c r="G29" i="80" s="1"/>
  <c r="F30" i="37"/>
  <c r="G30" i="37" s="1"/>
  <c r="C52" i="81"/>
  <c r="C36" i="33"/>
  <c r="F29" i="48"/>
  <c r="G29" i="48" s="1"/>
  <c r="E256" i="1"/>
  <c r="C47" i="85"/>
  <c r="H28" i="86"/>
  <c r="H31" i="86"/>
  <c r="H33" i="86"/>
  <c r="H43" i="86"/>
  <c r="H48" i="86"/>
  <c r="F681" i="1"/>
  <c r="C32" i="31"/>
  <c r="E207" i="1"/>
  <c r="F288" i="1"/>
  <c r="G8" i="87"/>
  <c r="F27" i="87"/>
  <c r="H30" i="87"/>
  <c r="C35" i="87"/>
  <c r="H45" i="87"/>
  <c r="H54" i="87"/>
  <c r="H61" i="87"/>
  <c r="H66" i="87"/>
  <c r="F836" i="1"/>
  <c r="F839" i="1"/>
  <c r="A61" i="87"/>
  <c r="G8" i="88"/>
  <c r="F27" i="88"/>
  <c r="H30" i="88"/>
  <c r="H32" i="88"/>
  <c r="H38" i="88"/>
  <c r="A42" i="88"/>
  <c r="C47" i="88"/>
  <c r="C50" i="88"/>
  <c r="A61" i="88"/>
  <c r="F843" i="1"/>
  <c r="E58" i="1"/>
  <c r="E180" i="1"/>
  <c r="G27" i="87"/>
  <c r="H32" i="87"/>
  <c r="H38" i="87"/>
  <c r="A42" i="87"/>
  <c r="C47" i="87"/>
  <c r="C50" i="87"/>
  <c r="G9" i="88"/>
  <c r="G27" i="88"/>
  <c r="H35" i="88"/>
  <c r="A39" i="88"/>
  <c r="C42" i="88"/>
  <c r="C44" i="88"/>
  <c r="H47" i="88"/>
  <c r="H50" i="88"/>
  <c r="H54" i="88"/>
  <c r="A64" i="88"/>
  <c r="C66" i="88"/>
  <c r="F732" i="1"/>
  <c r="F750" i="1"/>
  <c r="F746" i="1"/>
  <c r="F249" i="1"/>
  <c r="A28" i="85"/>
  <c r="C44" i="85"/>
  <c r="E57" i="1"/>
  <c r="G25" i="87"/>
  <c r="I27" i="87"/>
  <c r="H35" i="87"/>
  <c r="C42" i="87"/>
  <c r="H47" i="87"/>
  <c r="H50" i="87"/>
  <c r="H52" i="87"/>
  <c r="C59" i="87"/>
  <c r="G25" i="88"/>
  <c r="I27" i="88"/>
  <c r="H39" i="88"/>
  <c r="H42" i="88"/>
  <c r="H44" i="88"/>
  <c r="A49" i="88"/>
  <c r="H52" i="88"/>
  <c r="H61" i="88"/>
  <c r="H66" i="88"/>
  <c r="C33" i="72"/>
  <c r="K32" i="31"/>
  <c r="F31" i="88"/>
  <c r="G31" i="88" s="1"/>
  <c r="C8" i="87"/>
  <c r="C9" i="87" s="1"/>
  <c r="T8" i="31"/>
  <c r="R31" i="31" s="1"/>
  <c r="U8" i="31"/>
  <c r="U17" i="31" s="1"/>
  <c r="U9" i="31" s="1"/>
  <c r="S8" i="31"/>
  <c r="R9" i="31"/>
  <c r="R10" i="31" s="1"/>
  <c r="R11" i="31" s="1"/>
  <c r="R12" i="31" s="1"/>
  <c r="R13" i="31" s="1"/>
  <c r="R14" i="31" s="1"/>
  <c r="L9" i="31"/>
  <c r="L11" i="31" s="1"/>
  <c r="O7" i="31" s="1"/>
  <c r="O8" i="31" s="1"/>
  <c r="L13" i="31"/>
  <c r="M13" i="31" s="1"/>
  <c r="C13" i="31"/>
  <c r="A58" i="31" s="1"/>
  <c r="C8" i="88"/>
  <c r="B12" i="88"/>
  <c r="D34" i="88" s="1"/>
  <c r="E62" i="86"/>
  <c r="F62" i="86" s="1"/>
  <c r="G62" i="86" s="1"/>
  <c r="E64" i="85"/>
  <c r="F64" i="85" s="1"/>
  <c r="G64" i="85" s="1"/>
  <c r="E39" i="61"/>
  <c r="F39" i="61" s="1"/>
  <c r="G39" i="61" s="1"/>
  <c r="E60" i="5"/>
  <c r="F60" i="5" s="1"/>
  <c r="G60" i="5" s="1"/>
  <c r="E63" i="86"/>
  <c r="F63" i="86" s="1"/>
  <c r="G63" i="86" s="1"/>
  <c r="E50" i="86"/>
  <c r="F50" i="86" s="1"/>
  <c r="G50" i="86" s="1"/>
  <c r="E37" i="20"/>
  <c r="F37" i="20" s="1"/>
  <c r="G37" i="20" s="1"/>
  <c r="E40" i="17"/>
  <c r="F40" i="17" s="1"/>
  <c r="G40" i="17" s="1"/>
  <c r="E38" i="8"/>
  <c r="F38" i="8" s="1"/>
  <c r="G38" i="8" s="1"/>
  <c r="E51" i="78"/>
  <c r="F51" i="78" s="1"/>
  <c r="G51" i="78" s="1"/>
  <c r="E40" i="62"/>
  <c r="F40" i="62" s="1"/>
  <c r="G40" i="62" s="1"/>
  <c r="E37" i="17"/>
  <c r="F37" i="17" s="1"/>
  <c r="G37" i="17" s="1"/>
  <c r="E49" i="54"/>
  <c r="F49" i="54" s="1"/>
  <c r="G49" i="54" s="1"/>
  <c r="E45" i="71"/>
  <c r="F45" i="71" s="1"/>
  <c r="G45" i="71" s="1"/>
  <c r="E51" i="31"/>
  <c r="F51" i="31" s="1"/>
  <c r="G51" i="31" s="1"/>
  <c r="E59" i="3"/>
  <c r="F59" i="3" s="1"/>
  <c r="G59" i="3" s="1"/>
  <c r="E42" i="19"/>
  <c r="F42" i="19" s="1"/>
  <c r="G42" i="19" s="1"/>
  <c r="E60" i="71"/>
  <c r="F60" i="71" s="1"/>
  <c r="G60" i="71" s="1"/>
  <c r="E43" i="8"/>
  <c r="F43" i="8" s="1"/>
  <c r="G43" i="8" s="1"/>
  <c r="E50" i="30"/>
  <c r="F50" i="30" s="1"/>
  <c r="G50" i="30" s="1"/>
  <c r="E63" i="51"/>
  <c r="F63" i="51" s="1"/>
  <c r="G63" i="51" s="1"/>
  <c r="E48" i="4"/>
  <c r="F48" i="4" s="1"/>
  <c r="G48" i="4" s="1"/>
  <c r="E50" i="6"/>
  <c r="F50" i="6" s="1"/>
  <c r="G50" i="6" s="1"/>
  <c r="E48" i="5"/>
  <c r="F48" i="5" s="1"/>
  <c r="G48" i="5" s="1"/>
  <c r="E43" i="80"/>
  <c r="F43" i="80" s="1"/>
  <c r="G43" i="80" s="1"/>
  <c r="E51" i="86"/>
  <c r="F51" i="86" s="1"/>
  <c r="G51" i="86" s="1"/>
  <c r="E48" i="85"/>
  <c r="F48" i="85" s="1"/>
  <c r="G48" i="85" s="1"/>
  <c r="E41" i="46"/>
  <c r="F41" i="46" s="1"/>
  <c r="G41" i="46" s="1"/>
  <c r="E45" i="85"/>
  <c r="F45" i="85" s="1"/>
  <c r="G45" i="85" s="1"/>
  <c r="E59" i="85"/>
  <c r="F59" i="85" s="1"/>
  <c r="G59" i="85" s="1"/>
  <c r="E41" i="44"/>
  <c r="F41" i="44" s="1"/>
  <c r="G41" i="44" s="1"/>
  <c r="E37" i="58"/>
  <c r="F37" i="58" s="1"/>
  <c r="G37" i="58" s="1"/>
  <c r="E45" i="6"/>
  <c r="F45" i="6" s="1"/>
  <c r="G45" i="6" s="1"/>
  <c r="E39" i="47"/>
  <c r="F39" i="47" s="1"/>
  <c r="G39" i="47" s="1"/>
  <c r="E28" i="81"/>
  <c r="F28" i="81" s="1"/>
  <c r="G28" i="81" s="1"/>
  <c r="E56" i="20"/>
  <c r="F56" i="20" s="1"/>
  <c r="G56" i="20" s="1"/>
  <c r="E51" i="53"/>
  <c r="F51" i="53" s="1"/>
  <c r="G51" i="53" s="1"/>
  <c r="E40" i="33"/>
  <c r="F40" i="33" s="1"/>
  <c r="G40" i="33" s="1"/>
  <c r="E55" i="7"/>
  <c r="F55" i="7" s="1"/>
  <c r="G55" i="7" s="1"/>
  <c r="E40" i="58"/>
  <c r="F40" i="58" s="1"/>
  <c r="G40" i="58" s="1"/>
  <c r="E37" i="62"/>
  <c r="F37" i="62" s="1"/>
  <c r="G37" i="62" s="1"/>
  <c r="E36" i="46"/>
  <c r="F36" i="46" s="1"/>
  <c r="G36" i="46" s="1"/>
  <c r="E39" i="44"/>
  <c r="F39" i="44" s="1"/>
  <c r="G39" i="44" s="1"/>
  <c r="E43" i="81"/>
  <c r="F43" i="81" s="1"/>
  <c r="G43" i="81" s="1"/>
  <c r="E42" i="20"/>
  <c r="F42" i="20" s="1"/>
  <c r="G42" i="20" s="1"/>
  <c r="E51" i="71"/>
  <c r="F51" i="71" s="1"/>
  <c r="G51" i="71" s="1"/>
  <c r="E59" i="5"/>
  <c r="F59" i="5" s="1"/>
  <c r="G59" i="5" s="1"/>
  <c r="E42" i="34"/>
  <c r="F42" i="34" s="1"/>
  <c r="G42" i="34" s="1"/>
  <c r="E54" i="72"/>
  <c r="F54" i="72" s="1"/>
  <c r="G54" i="72" s="1"/>
  <c r="E59" i="4"/>
  <c r="F59" i="4" s="1"/>
  <c r="G59" i="4" s="1"/>
  <c r="E42" i="33"/>
  <c r="F42" i="33" s="1"/>
  <c r="G42" i="33" s="1"/>
  <c r="E47" i="74"/>
  <c r="F47" i="74" s="1"/>
  <c r="G47" i="74" s="1"/>
  <c r="E28" i="19"/>
  <c r="F28" i="19" s="1"/>
  <c r="G28" i="19" s="1"/>
  <c r="E35" i="7"/>
  <c r="F35" i="7" s="1"/>
  <c r="G35" i="7" s="1"/>
  <c r="E59" i="55"/>
  <c r="F59" i="55" s="1"/>
  <c r="G59" i="55" s="1"/>
  <c r="E53" i="53"/>
  <c r="F53" i="53" s="1"/>
  <c r="G53" i="53" s="1"/>
  <c r="E33" i="3"/>
  <c r="F33" i="3" s="1"/>
  <c r="G33" i="3" s="1"/>
  <c r="E32" i="74"/>
  <c r="F32" i="74" s="1"/>
  <c r="G32" i="74" s="1"/>
  <c r="E50" i="4"/>
  <c r="F50" i="4" s="1"/>
  <c r="G50" i="4" s="1"/>
  <c r="E28" i="70"/>
  <c r="F28" i="70" s="1"/>
  <c r="G28" i="70" s="1"/>
  <c r="E40" i="18"/>
  <c r="F40" i="18" s="1"/>
  <c r="G40" i="18" s="1"/>
  <c r="E28" i="56"/>
  <c r="F28" i="56" s="1"/>
  <c r="G28" i="56" s="1"/>
  <c r="E50" i="85"/>
  <c r="F50" i="85" s="1"/>
  <c r="G50" i="85" s="1"/>
  <c r="E31" i="80"/>
  <c r="F31" i="80" s="1"/>
  <c r="G31" i="80" s="1"/>
  <c r="E57" i="17"/>
  <c r="F57" i="17" s="1"/>
  <c r="G57" i="17" s="1"/>
  <c r="E39" i="74"/>
  <c r="F39" i="74" s="1"/>
  <c r="G39" i="74" s="1"/>
  <c r="E42" i="6"/>
  <c r="F42" i="6" s="1"/>
  <c r="G42" i="6" s="1"/>
  <c r="E44" i="78"/>
  <c r="F44" i="78" s="1"/>
  <c r="G44" i="78" s="1"/>
  <c r="E34" i="34"/>
  <c r="F34" i="34" s="1"/>
  <c r="G34" i="34" s="1"/>
  <c r="E42" i="30"/>
  <c r="F42" i="30" s="1"/>
  <c r="G42" i="30" s="1"/>
  <c r="E28" i="46"/>
  <c r="F28" i="46" s="1"/>
  <c r="G28" i="46" s="1"/>
  <c r="E39" i="37"/>
  <c r="F39" i="37" s="1"/>
  <c r="G39" i="37" s="1"/>
  <c r="E29" i="33"/>
  <c r="F29" i="33" s="1"/>
  <c r="G29" i="33" s="1"/>
  <c r="E27" i="47"/>
  <c r="F27" i="47" s="1"/>
  <c r="G27" i="47" s="1"/>
  <c r="E31" i="71"/>
  <c r="F31" i="71" s="1"/>
  <c r="G31" i="71" s="1"/>
  <c r="E57" i="61"/>
  <c r="F57" i="61" s="1"/>
  <c r="G57" i="61" s="1"/>
  <c r="E33" i="7"/>
  <c r="F33" i="7" s="1"/>
  <c r="G33" i="7" s="1"/>
  <c r="E44" i="72"/>
  <c r="F44" i="72" s="1"/>
  <c r="G44" i="72" s="1"/>
  <c r="E53" i="30"/>
  <c r="F53" i="30" s="1"/>
  <c r="G53" i="30" s="1"/>
  <c r="E30" i="61"/>
  <c r="F30" i="61" s="1"/>
  <c r="G30" i="61" s="1"/>
  <c r="E32" i="72"/>
  <c r="F32" i="72" s="1"/>
  <c r="G32" i="72" s="1"/>
  <c r="E56" i="8"/>
  <c r="F56" i="8" s="1"/>
  <c r="G56" i="8" s="1"/>
  <c r="E51" i="81"/>
  <c r="F51" i="81" s="1"/>
  <c r="G51" i="81" s="1"/>
  <c r="E64" i="71"/>
  <c r="F64" i="71" s="1"/>
  <c r="G64" i="71" s="1"/>
  <c r="E63" i="6"/>
  <c r="F63" i="6" s="1"/>
  <c r="G63" i="6" s="1"/>
  <c r="E47" i="85"/>
  <c r="F47" i="85" s="1"/>
  <c r="G47" i="85" s="1"/>
  <c r="E33" i="85"/>
  <c r="F33" i="85" s="1"/>
  <c r="G33" i="85" s="1"/>
  <c r="E26" i="48"/>
  <c r="F26" i="48" s="1"/>
  <c r="G26" i="48" s="1"/>
  <c r="E57" i="56"/>
  <c r="F57" i="56" s="1"/>
  <c r="G57" i="56" s="1"/>
  <c r="E25" i="47"/>
  <c r="F25" i="47" s="1"/>
  <c r="G25" i="47" s="1"/>
  <c r="E55" i="44"/>
  <c r="F55" i="44" s="1"/>
  <c r="G55" i="44" s="1"/>
  <c r="E31" i="81"/>
  <c r="F31" i="81" s="1"/>
  <c r="G31" i="81" s="1"/>
  <c r="E54" i="48"/>
  <c r="F54" i="48" s="1"/>
  <c r="G54" i="48" s="1"/>
  <c r="E32" i="37"/>
  <c r="F32" i="37" s="1"/>
  <c r="G32" i="37" s="1"/>
  <c r="E56" i="33"/>
  <c r="F56" i="33" s="1"/>
  <c r="G56" i="33" s="1"/>
  <c r="E46" i="53"/>
  <c r="F46" i="53" s="1"/>
  <c r="G46" i="53" s="1"/>
  <c r="E59" i="37"/>
  <c r="F59" i="37" s="1"/>
  <c r="G59" i="37" s="1"/>
  <c r="E36" i="70"/>
  <c r="F36" i="70" s="1"/>
  <c r="G36" i="70" s="1"/>
  <c r="E34" i="48"/>
  <c r="F34" i="48" s="1"/>
  <c r="G34" i="48" s="1"/>
  <c r="E38" i="17"/>
  <c r="F38" i="17" s="1"/>
  <c r="G38" i="17" s="1"/>
  <c r="E38" i="58"/>
  <c r="F38" i="58" s="1"/>
  <c r="G38" i="58" s="1"/>
  <c r="E41" i="74"/>
  <c r="F41" i="74" s="1"/>
  <c r="G41" i="74" s="1"/>
  <c r="E54" i="3"/>
  <c r="F54" i="3" s="1"/>
  <c r="G54" i="3" s="1"/>
  <c r="E46" i="5"/>
  <c r="F46" i="5" s="1"/>
  <c r="G46" i="5" s="1"/>
  <c r="E36" i="17"/>
  <c r="F36" i="17" s="1"/>
  <c r="G36" i="17" s="1"/>
  <c r="E40" i="80"/>
  <c r="F40" i="80" s="1"/>
  <c r="G40" i="80" s="1"/>
  <c r="E57" i="8"/>
  <c r="F57" i="8" s="1"/>
  <c r="G57" i="8" s="1"/>
  <c r="E46" i="6"/>
  <c r="F46" i="6" s="1"/>
  <c r="G46" i="6" s="1"/>
  <c r="E38" i="33"/>
  <c r="F38" i="33" s="1"/>
  <c r="G38" i="33" s="1"/>
  <c r="E56" i="17"/>
  <c r="F56" i="17" s="1"/>
  <c r="G56" i="17" s="1"/>
  <c r="E40" i="44"/>
  <c r="F40" i="44" s="1"/>
  <c r="G40" i="44" s="1"/>
  <c r="E36" i="56"/>
  <c r="F36" i="56" s="1"/>
  <c r="G36" i="56" s="1"/>
  <c r="E35" i="18"/>
  <c r="F35" i="18" s="1"/>
  <c r="G35" i="18" s="1"/>
  <c r="E47" i="37"/>
  <c r="F47" i="37" s="1"/>
  <c r="G47" i="37" s="1"/>
  <c r="E41" i="19"/>
  <c r="F41" i="19" s="1"/>
  <c r="G41" i="19" s="1"/>
  <c r="E41" i="70"/>
  <c r="F41" i="70" s="1"/>
  <c r="G41" i="70" s="1"/>
  <c r="E44" i="71"/>
  <c r="F44" i="71" s="1"/>
  <c r="G44" i="71" s="1"/>
  <c r="E50" i="53"/>
  <c r="F50" i="53" s="1"/>
  <c r="G50" i="53" s="1"/>
  <c r="E36" i="19"/>
  <c r="F36" i="19" s="1"/>
  <c r="G36" i="19" s="1"/>
  <c r="E43" i="37"/>
  <c r="F43" i="37" s="1"/>
  <c r="G43" i="37" s="1"/>
  <c r="E56" i="19"/>
  <c r="F56" i="19" s="1"/>
  <c r="G56" i="19" s="1"/>
  <c r="E35" i="44"/>
  <c r="F35" i="44" s="1"/>
  <c r="G35" i="44" s="1"/>
  <c r="E51" i="37"/>
  <c r="F51" i="37" s="1"/>
  <c r="G51" i="37" s="1"/>
  <c r="E32" i="54"/>
  <c r="F32" i="54" s="1"/>
  <c r="G32" i="54" s="1"/>
  <c r="E48" i="47"/>
  <c r="F48" i="47" s="1"/>
  <c r="G48" i="47" s="1"/>
  <c r="E32" i="5"/>
  <c r="F32" i="5" s="1"/>
  <c r="G32" i="5" s="1"/>
  <c r="E37" i="33"/>
  <c r="F37" i="33" s="1"/>
  <c r="G37" i="33" s="1"/>
  <c r="E33" i="53"/>
  <c r="F33" i="53" s="1"/>
  <c r="G33" i="53" s="1"/>
  <c r="E46" i="74"/>
  <c r="F46" i="74" s="1"/>
  <c r="G46" i="74" s="1"/>
  <c r="E31" i="3"/>
  <c r="F31" i="3" s="1"/>
  <c r="G31" i="3" s="1"/>
  <c r="E46" i="4"/>
  <c r="F46" i="4" s="1"/>
  <c r="G46" i="4" s="1"/>
  <c r="E43" i="31"/>
  <c r="F43" i="31" s="1"/>
  <c r="G43" i="31" s="1"/>
  <c r="E37" i="61"/>
  <c r="F37" i="61" s="1"/>
  <c r="G37" i="61" s="1"/>
  <c r="E30" i="80"/>
  <c r="F30" i="80" s="1"/>
  <c r="G30" i="80" s="1"/>
  <c r="E45" i="46"/>
  <c r="F45" i="46" s="1"/>
  <c r="G45" i="46" s="1"/>
  <c r="E63" i="5"/>
  <c r="F63" i="5" s="1"/>
  <c r="G63" i="5" s="1"/>
  <c r="E63" i="3"/>
  <c r="F63" i="3" s="1"/>
  <c r="G63" i="3" s="1"/>
  <c r="E32" i="86"/>
  <c r="F32" i="86" s="1"/>
  <c r="G32" i="86" s="1"/>
  <c r="E56" i="86"/>
  <c r="F56" i="86" s="1"/>
  <c r="G56" i="86" s="1"/>
  <c r="E46" i="85"/>
  <c r="F46" i="85" s="1"/>
  <c r="G46" i="85" s="1"/>
  <c r="E41" i="61"/>
  <c r="F41" i="61" s="1"/>
  <c r="G41" i="61" s="1"/>
  <c r="E31" i="74"/>
  <c r="F31" i="74" s="1"/>
  <c r="G31" i="74" s="1"/>
  <c r="E64" i="54"/>
  <c r="F64" i="54" s="1"/>
  <c r="G64" i="54" s="1"/>
  <c r="E63" i="85"/>
  <c r="F63" i="85" s="1"/>
  <c r="G63" i="85" s="1"/>
  <c r="E53" i="6"/>
  <c r="F53" i="6" s="1"/>
  <c r="G53" i="6" s="1"/>
  <c r="E46" i="71"/>
  <c r="F46" i="71" s="1"/>
  <c r="G46" i="71" s="1"/>
  <c r="E55" i="70"/>
  <c r="F55" i="70" s="1"/>
  <c r="G55" i="70" s="1"/>
  <c r="E44" i="6"/>
  <c r="F44" i="6" s="1"/>
  <c r="G44" i="6" s="1"/>
  <c r="E56" i="31"/>
  <c r="F56" i="31" s="1"/>
  <c r="G56" i="31" s="1"/>
  <c r="E45" i="7"/>
  <c r="F45" i="7" s="1"/>
  <c r="G45" i="7" s="1"/>
  <c r="E44" i="4"/>
  <c r="F44" i="4" s="1"/>
  <c r="G44" i="4" s="1"/>
  <c r="E33" i="47"/>
  <c r="F33" i="47" s="1"/>
  <c r="G33" i="47" s="1"/>
  <c r="E38" i="20"/>
  <c r="F38" i="20" s="1"/>
  <c r="G38" i="20" s="1"/>
  <c r="E51" i="46"/>
  <c r="F51" i="46" s="1"/>
  <c r="G51" i="46" s="1"/>
  <c r="E36" i="58"/>
  <c r="F36" i="58" s="1"/>
  <c r="G36" i="58" s="1"/>
  <c r="E32" i="71"/>
  <c r="F32" i="71" s="1"/>
  <c r="G32" i="71" s="1"/>
  <c r="E54" i="53"/>
  <c r="F54" i="53" s="1"/>
  <c r="G54" i="53" s="1"/>
  <c r="E29" i="46"/>
  <c r="F29" i="46" s="1"/>
  <c r="G29" i="46" s="1"/>
  <c r="E32" i="6"/>
  <c r="F32" i="6" s="1"/>
  <c r="G32" i="6" s="1"/>
  <c r="E55" i="58"/>
  <c r="F55" i="58" s="1"/>
  <c r="G55" i="58" s="1"/>
  <c r="E41" i="37"/>
  <c r="F41" i="37" s="1"/>
  <c r="G41" i="37" s="1"/>
  <c r="E46" i="31"/>
  <c r="F46" i="31" s="1"/>
  <c r="G46" i="31" s="1"/>
  <c r="E35" i="47"/>
  <c r="F35" i="47" s="1"/>
  <c r="G35" i="47" s="1"/>
  <c r="E35" i="46"/>
  <c r="F35" i="46" s="1"/>
  <c r="G35" i="46" s="1"/>
  <c r="E55" i="20"/>
  <c r="F55" i="20" s="1"/>
  <c r="G55" i="20" s="1"/>
  <c r="E36" i="48"/>
  <c r="F36" i="48" s="1"/>
  <c r="G36" i="48" s="1"/>
  <c r="E44" i="3"/>
  <c r="F44" i="3" s="1"/>
  <c r="G44" i="3" s="1"/>
  <c r="E36" i="33"/>
  <c r="F36" i="33" s="1"/>
  <c r="G36" i="33" s="1"/>
  <c r="E56" i="62"/>
  <c r="F56" i="62" s="1"/>
  <c r="G56" i="62" s="1"/>
  <c r="E38" i="61"/>
  <c r="F38" i="61" s="1"/>
  <c r="G38" i="61" s="1"/>
  <c r="E47" i="7"/>
  <c r="F47" i="7" s="1"/>
  <c r="G47" i="7" s="1"/>
  <c r="E54" i="4"/>
  <c r="F54" i="4" s="1"/>
  <c r="G54" i="4" s="1"/>
  <c r="E38" i="70"/>
  <c r="F38" i="70" s="1"/>
  <c r="G38" i="70" s="1"/>
  <c r="E37" i="8"/>
  <c r="F37" i="8" s="1"/>
  <c r="G37" i="8" s="1"/>
  <c r="E44" i="5"/>
  <c r="F44" i="5" s="1"/>
  <c r="G44" i="5" s="1"/>
  <c r="E39" i="8"/>
  <c r="F39" i="8" s="1"/>
  <c r="G39" i="8" s="1"/>
  <c r="E54" i="7"/>
  <c r="F54" i="7" s="1"/>
  <c r="G54" i="7" s="1"/>
  <c r="E52" i="80"/>
  <c r="F52" i="80" s="1"/>
  <c r="G52" i="80" s="1"/>
  <c r="E53" i="48"/>
  <c r="F53" i="48" s="1"/>
  <c r="G53" i="48" s="1"/>
  <c r="E55" i="33"/>
  <c r="F55" i="33" s="1"/>
  <c r="G55" i="33" s="1"/>
  <c r="E49" i="37"/>
  <c r="F49" i="37" s="1"/>
  <c r="G49" i="37" s="1"/>
  <c r="E31" i="37"/>
  <c r="F31" i="37" s="1"/>
  <c r="G31" i="37" s="1"/>
  <c r="E64" i="30"/>
  <c r="F64" i="30" s="1"/>
  <c r="G64" i="30" s="1"/>
  <c r="E45" i="86"/>
  <c r="F45" i="86" s="1"/>
  <c r="G45" i="86" s="1"/>
  <c r="E65" i="86"/>
  <c r="F65" i="86" s="1"/>
  <c r="G65" i="86" s="1"/>
  <c r="E42" i="85"/>
  <c r="F42" i="85" s="1"/>
  <c r="G42" i="85" s="1"/>
  <c r="E61" i="86"/>
  <c r="F61" i="86" s="1"/>
  <c r="G61" i="86" s="1"/>
  <c r="E44" i="86"/>
  <c r="F44" i="86" s="1"/>
  <c r="G44" i="86" s="1"/>
  <c r="E49" i="85"/>
  <c r="F49" i="85" s="1"/>
  <c r="G49" i="85" s="1"/>
  <c r="E31" i="6"/>
  <c r="F31" i="6" s="1"/>
  <c r="G31" i="6" s="1"/>
  <c r="E49" i="71"/>
  <c r="F49" i="71" s="1"/>
  <c r="G49" i="71" s="1"/>
  <c r="E64" i="78"/>
  <c r="F64" i="78" s="1"/>
  <c r="G64" i="78" s="1"/>
  <c r="E57" i="34"/>
  <c r="F57" i="34" s="1"/>
  <c r="G57" i="34" s="1"/>
  <c r="E40" i="37"/>
  <c r="F40" i="37" s="1"/>
  <c r="G40" i="37" s="1"/>
  <c r="E53" i="3"/>
  <c r="F53" i="3" s="1"/>
  <c r="G53" i="3" s="1"/>
  <c r="E45" i="53"/>
  <c r="F45" i="53" s="1"/>
  <c r="G45" i="53" s="1"/>
  <c r="E41" i="8"/>
  <c r="F41" i="8" s="1"/>
  <c r="G41" i="8" s="1"/>
  <c r="E28" i="62"/>
  <c r="F28" i="62" s="1"/>
  <c r="G28" i="62" s="1"/>
  <c r="E32" i="53"/>
  <c r="F32" i="53" s="1"/>
  <c r="G32" i="53" s="1"/>
  <c r="E34" i="47"/>
  <c r="F34" i="47" s="1"/>
  <c r="G34" i="47" s="1"/>
  <c r="E48" i="71"/>
  <c r="F48" i="71" s="1"/>
  <c r="G48" i="71" s="1"/>
  <c r="E40" i="34"/>
  <c r="F40" i="34" s="1"/>
  <c r="G40" i="34" s="1"/>
  <c r="E33" i="51"/>
  <c r="F33" i="51" s="1"/>
  <c r="G33" i="51" s="1"/>
  <c r="E35" i="48"/>
  <c r="F35" i="48" s="1"/>
  <c r="G35" i="48" s="1"/>
  <c r="E48" i="3"/>
  <c r="F48" i="3" s="1"/>
  <c r="G48" i="3" s="1"/>
  <c r="E37" i="34"/>
  <c r="F37" i="34" s="1"/>
  <c r="G37" i="34" s="1"/>
  <c r="E49" i="72"/>
  <c r="F49" i="72" s="1"/>
  <c r="G49" i="72" s="1"/>
  <c r="E37" i="70"/>
  <c r="F37" i="70" s="1"/>
  <c r="G37" i="70" s="1"/>
  <c r="E35" i="3"/>
  <c r="F35" i="3" s="1"/>
  <c r="G35" i="3" s="1"/>
  <c r="E65" i="71"/>
  <c r="F65" i="71" s="1"/>
  <c r="G65" i="71" s="1"/>
  <c r="E52" i="74"/>
  <c r="F52" i="74" s="1"/>
  <c r="G52" i="74" s="1"/>
  <c r="E54" i="31"/>
  <c r="F54" i="31" s="1"/>
  <c r="G54" i="31" s="1"/>
  <c r="E63" i="55"/>
  <c r="F63" i="55" s="1"/>
  <c r="G63" i="55" s="1"/>
  <c r="E31" i="4"/>
  <c r="F31" i="4" s="1"/>
  <c r="G31" i="4" s="1"/>
  <c r="E43" i="30"/>
  <c r="F43" i="30" s="1"/>
  <c r="G43" i="30" s="1"/>
  <c r="E35" i="55"/>
  <c r="F35" i="55" s="1"/>
  <c r="G35" i="55" s="1"/>
  <c r="E35" i="6"/>
  <c r="F35" i="6" s="1"/>
  <c r="G35" i="6" s="1"/>
  <c r="E55" i="62"/>
  <c r="F55" i="62" s="1"/>
  <c r="G55" i="62" s="1"/>
  <c r="E28" i="20"/>
  <c r="F28" i="20" s="1"/>
  <c r="G28" i="20" s="1"/>
  <c r="E27" i="44"/>
  <c r="F27" i="44" s="1"/>
  <c r="G27" i="44" s="1"/>
  <c r="E35" i="53"/>
  <c r="F35" i="53" s="1"/>
  <c r="G35" i="53" s="1"/>
  <c r="E61" i="31"/>
  <c r="F61" i="31" s="1"/>
  <c r="G61" i="31" s="1"/>
  <c r="E55" i="56"/>
  <c r="F55" i="56" s="1"/>
  <c r="G55" i="56" s="1"/>
  <c r="E66" i="7"/>
  <c r="F66" i="7" s="1"/>
  <c r="G66" i="7" s="1"/>
  <c r="E57" i="18"/>
  <c r="F57" i="18" s="1"/>
  <c r="G57" i="18" s="1"/>
  <c r="E33" i="4"/>
  <c r="F33" i="4" s="1"/>
  <c r="G33" i="4" s="1"/>
  <c r="E55" i="34"/>
  <c r="F55" i="34" s="1"/>
  <c r="G55" i="34" s="1"/>
  <c r="E28" i="18"/>
  <c r="F28" i="18" s="1"/>
  <c r="G28" i="18" s="1"/>
  <c r="E55" i="19"/>
  <c r="F55" i="19" s="1"/>
  <c r="G55" i="19" s="1"/>
  <c r="E56" i="58"/>
  <c r="F56" i="58" s="1"/>
  <c r="G56" i="58" s="1"/>
  <c r="E33" i="30"/>
  <c r="F33" i="30" s="1"/>
  <c r="G33" i="30" s="1"/>
  <c r="E35" i="34"/>
  <c r="F35" i="34" s="1"/>
  <c r="G35" i="34" s="1"/>
  <c r="E42" i="37"/>
  <c r="F42" i="37" s="1"/>
  <c r="G42" i="37" s="1"/>
  <c r="E57" i="19"/>
  <c r="F57" i="19" s="1"/>
  <c r="G57" i="19" s="1"/>
  <c r="E51" i="80"/>
  <c r="F51" i="80" s="1"/>
  <c r="G51" i="80" s="1"/>
  <c r="E35" i="78"/>
  <c r="F35" i="78" s="1"/>
  <c r="G35" i="78" s="1"/>
  <c r="E57" i="62"/>
  <c r="F57" i="62" s="1"/>
  <c r="G57" i="62" s="1"/>
  <c r="E48" i="86"/>
  <c r="F48" i="86" s="1"/>
  <c r="G48" i="86" s="1"/>
  <c r="E41" i="80"/>
  <c r="F41" i="80" s="1"/>
  <c r="G41" i="80" s="1"/>
  <c r="E35" i="86"/>
  <c r="F35" i="86" s="1"/>
  <c r="G35" i="86" s="1"/>
  <c r="E45" i="55"/>
  <c r="F45" i="55" s="1"/>
  <c r="G45" i="55" s="1"/>
  <c r="E36" i="80"/>
  <c r="F36" i="80" s="1"/>
  <c r="G36" i="80" s="1"/>
  <c r="E36" i="51"/>
  <c r="F36" i="51" s="1"/>
  <c r="G36" i="51" s="1"/>
  <c r="E55" i="71"/>
  <c r="F55" i="71" s="1"/>
  <c r="G55" i="71" s="1"/>
  <c r="D5" i="57"/>
  <c r="E5" i="57" s="1"/>
  <c r="F5" i="57" s="1"/>
  <c r="E36" i="37"/>
  <c r="F36" i="37" s="1"/>
  <c r="G36" i="37" s="1"/>
  <c r="E31" i="5"/>
  <c r="F31" i="5" s="1"/>
  <c r="G31" i="5" s="1"/>
  <c r="E66" i="31"/>
  <c r="F66" i="31" s="1"/>
  <c r="G66" i="31" s="1"/>
  <c r="E27" i="46"/>
  <c r="F27" i="46" s="1"/>
  <c r="G27" i="46" s="1"/>
  <c r="E43" i="3"/>
  <c r="F43" i="3" s="1"/>
  <c r="G43" i="3" s="1"/>
  <c r="E65" i="54"/>
  <c r="F65" i="54" s="1"/>
  <c r="G65" i="54" s="1"/>
  <c r="E28" i="17"/>
  <c r="F28" i="17" s="1"/>
  <c r="G28" i="17" s="1"/>
  <c r="E33" i="5"/>
  <c r="F33" i="5" s="1"/>
  <c r="G33" i="5" s="1"/>
  <c r="E37" i="55"/>
  <c r="F37" i="55" s="1"/>
  <c r="G37" i="55" s="1"/>
  <c r="E35" i="54"/>
  <c r="F35" i="54" s="1"/>
  <c r="G35" i="54" s="1"/>
  <c r="E33" i="54"/>
  <c r="F33" i="54" s="1"/>
  <c r="G33" i="54" s="1"/>
  <c r="E29" i="8"/>
  <c r="F29" i="8" s="1"/>
  <c r="G29" i="8" s="1"/>
  <c r="E56" i="74"/>
  <c r="F56" i="74" s="1"/>
  <c r="G56" i="74" s="1"/>
  <c r="E42" i="47"/>
  <c r="F42" i="47" s="1"/>
  <c r="G42" i="47" s="1"/>
  <c r="E52" i="46"/>
  <c r="F52" i="46" s="1"/>
  <c r="G52" i="46" s="1"/>
  <c r="E45" i="74"/>
  <c r="F45" i="74" s="1"/>
  <c r="G45" i="74" s="1"/>
  <c r="E36" i="74"/>
  <c r="F36" i="74" s="1"/>
  <c r="G36" i="74" s="1"/>
  <c r="E54" i="78"/>
  <c r="F54" i="78" s="1"/>
  <c r="G54" i="78" s="1"/>
  <c r="E43" i="54"/>
  <c r="F43" i="54" s="1"/>
  <c r="G43" i="54" s="1"/>
  <c r="E40" i="74"/>
  <c r="F40" i="74" s="1"/>
  <c r="G40" i="74" s="1"/>
  <c r="E35" i="58"/>
  <c r="F35" i="58" s="1"/>
  <c r="G35" i="58" s="1"/>
  <c r="E29" i="81"/>
  <c r="F29" i="81" s="1"/>
  <c r="G29" i="81" s="1"/>
  <c r="E33" i="48"/>
  <c r="F33" i="48" s="1"/>
  <c r="G33" i="48" s="1"/>
  <c r="E49" i="74"/>
  <c r="F49" i="74" s="1"/>
  <c r="G49" i="74" s="1"/>
  <c r="E35" i="19"/>
  <c r="F35" i="19" s="1"/>
  <c r="G35" i="19" s="1"/>
  <c r="E36" i="8"/>
  <c r="F36" i="8" s="1"/>
  <c r="G36" i="8" s="1"/>
  <c r="E35" i="17"/>
  <c r="F35" i="17" s="1"/>
  <c r="G35" i="17" s="1"/>
  <c r="E35" i="61"/>
  <c r="F35" i="61" s="1"/>
  <c r="G35" i="61" s="1"/>
  <c r="E32" i="47"/>
  <c r="F32" i="47" s="1"/>
  <c r="G32" i="47" s="1"/>
  <c r="E46" i="46"/>
  <c r="F46" i="46" s="1"/>
  <c r="G46" i="46" s="1"/>
  <c r="E35" i="33"/>
  <c r="F35" i="33" s="1"/>
  <c r="G35" i="33" s="1"/>
  <c r="E55" i="86"/>
  <c r="F55" i="86" s="1"/>
  <c r="G55" i="86" s="1"/>
  <c r="E66" i="86"/>
  <c r="F66" i="86" s="1"/>
  <c r="G66" i="86" s="1"/>
  <c r="E35" i="85"/>
  <c r="F35" i="85" s="1"/>
  <c r="G35" i="85" s="1"/>
  <c r="E44" i="85"/>
  <c r="F44" i="85" s="1"/>
  <c r="G44" i="85" s="1"/>
  <c r="E46" i="86"/>
  <c r="F46" i="86" s="1"/>
  <c r="G46" i="86" s="1"/>
  <c r="E54" i="86"/>
  <c r="F54" i="86" s="1"/>
  <c r="G54" i="86" s="1"/>
  <c r="E29" i="44"/>
  <c r="F29" i="44" s="1"/>
  <c r="G29" i="44" s="1"/>
  <c r="E44" i="81"/>
  <c r="F44" i="81" s="1"/>
  <c r="G44" i="81" s="1"/>
  <c r="E43" i="71"/>
  <c r="F43" i="71" s="1"/>
  <c r="G43" i="71" s="1"/>
  <c r="E43" i="5"/>
  <c r="F43" i="5" s="1"/>
  <c r="G43" i="5" s="1"/>
  <c r="E35" i="62"/>
  <c r="F35" i="62" s="1"/>
  <c r="G35" i="62" s="1"/>
  <c r="E35" i="70"/>
  <c r="F35" i="70" s="1"/>
  <c r="G35" i="70" s="1"/>
  <c r="E35" i="56"/>
  <c r="F35" i="56" s="1"/>
  <c r="G35" i="56" s="1"/>
  <c r="E43" i="86"/>
  <c r="F43" i="86" s="1"/>
  <c r="G43" i="86" s="1"/>
  <c r="E53" i="85"/>
  <c r="F53" i="85" s="1"/>
  <c r="G53" i="85" s="1"/>
  <c r="E48" i="51"/>
  <c r="F48" i="51" s="1"/>
  <c r="G48" i="51" s="1"/>
  <c r="E46" i="78"/>
  <c r="F46" i="78" s="1"/>
  <c r="G46" i="78" s="1"/>
  <c r="E49" i="86"/>
  <c r="F49" i="86" s="1"/>
  <c r="G49" i="86" s="1"/>
  <c r="E46" i="55"/>
  <c r="F46" i="55" s="1"/>
  <c r="G46" i="55" s="1"/>
  <c r="E37" i="81"/>
  <c r="F37" i="81" s="1"/>
  <c r="G37" i="81" s="1"/>
  <c r="E44" i="7"/>
  <c r="F44" i="7" s="1"/>
  <c r="G44" i="7" s="1"/>
  <c r="E42" i="87"/>
  <c r="F42" i="87" s="1"/>
  <c r="G42" i="87" s="1"/>
  <c r="E43" i="87"/>
  <c r="F43" i="87" s="1"/>
  <c r="G43" i="87" s="1"/>
  <c r="E66" i="87"/>
  <c r="F66" i="87" s="1"/>
  <c r="G66" i="87" s="1"/>
  <c r="E42" i="88"/>
  <c r="F42" i="88" s="1"/>
  <c r="G42" i="88" s="1"/>
  <c r="E44" i="87"/>
  <c r="F44" i="87" s="1"/>
  <c r="G44" i="87" s="1"/>
  <c r="E46" i="87"/>
  <c r="F46" i="87" s="1"/>
  <c r="G46" i="87" s="1"/>
  <c r="E48" i="87"/>
  <c r="F48" i="87" s="1"/>
  <c r="G48" i="87" s="1"/>
  <c r="E50" i="87"/>
  <c r="F50" i="87" s="1"/>
  <c r="G50" i="87" s="1"/>
  <c r="E54" i="87"/>
  <c r="F54" i="87" s="1"/>
  <c r="G54" i="87" s="1"/>
  <c r="E61" i="88"/>
  <c r="F61" i="88" s="1"/>
  <c r="G61" i="88" s="1"/>
  <c r="E35" i="87"/>
  <c r="F35" i="87" s="1"/>
  <c r="G35" i="87" s="1"/>
  <c r="E61" i="87"/>
  <c r="F61" i="87" s="1"/>
  <c r="G61" i="87" s="1"/>
  <c r="E35" i="88"/>
  <c r="F35" i="88" s="1"/>
  <c r="G35" i="88" s="1"/>
  <c r="E65" i="88"/>
  <c r="F65" i="88" s="1"/>
  <c r="G65" i="88" s="1"/>
  <c r="E31" i="87"/>
  <c r="F31" i="87" s="1"/>
  <c r="G31" i="87" s="1"/>
  <c r="E45" i="87"/>
  <c r="F45" i="87" s="1"/>
  <c r="G45" i="87" s="1"/>
  <c r="E47" i="87"/>
  <c r="F47" i="87" s="1"/>
  <c r="G47" i="87" s="1"/>
  <c r="E51" i="87"/>
  <c r="F51" i="87" s="1"/>
  <c r="G51" i="87" s="1"/>
  <c r="E49" i="87"/>
  <c r="F49" i="87" s="1"/>
  <c r="G49" i="87" s="1"/>
  <c r="E49" i="88"/>
  <c r="F49" i="88" s="1"/>
  <c r="G49" i="88" s="1"/>
  <c r="C29" i="56"/>
  <c r="J18" i="1"/>
  <c r="E29" i="56"/>
  <c r="F29" i="56" s="1"/>
  <c r="G29" i="56" s="1"/>
  <c r="F31" i="86"/>
  <c r="G31" i="86" s="1"/>
  <c r="K29" i="56"/>
  <c r="J30" i="8"/>
  <c r="E33" i="72"/>
  <c r="F33" i="72" s="1"/>
  <c r="G33" i="72" s="1"/>
  <c r="J33" i="72"/>
  <c r="K32" i="86"/>
  <c r="C32" i="86"/>
  <c r="I32" i="31"/>
  <c r="E32" i="31"/>
  <c r="F32" i="31" s="1"/>
  <c r="G32" i="31" s="1"/>
  <c r="J17" i="1"/>
  <c r="J6" i="1"/>
  <c r="J9" i="1"/>
  <c r="J5" i="1"/>
  <c r="J7" i="1"/>
  <c r="C28" i="1" s="1"/>
  <c r="J4" i="1"/>
  <c r="C41" i="1" s="1"/>
  <c r="E43" i="88"/>
  <c r="F43" i="88" s="1"/>
  <c r="G43" i="88" s="1"/>
  <c r="I43" i="88"/>
  <c r="L26" i="88"/>
  <c r="L13" i="88"/>
  <c r="R8" i="88"/>
  <c r="L12" i="88"/>
  <c r="M12" i="88" s="1"/>
  <c r="L9" i="88"/>
  <c r="L11" i="88" s="1"/>
  <c r="I32" i="88"/>
  <c r="E32" i="88"/>
  <c r="F32" i="88" s="1"/>
  <c r="G32" i="88" s="1"/>
  <c r="C32" i="88"/>
  <c r="K32" i="88"/>
  <c r="B9" i="88"/>
  <c r="L25" i="88"/>
  <c r="L24" i="88"/>
  <c r="C9" i="88"/>
  <c r="C13" i="88" s="1"/>
  <c r="A58" i="88" s="1"/>
  <c r="K32" i="87"/>
  <c r="C32" i="87"/>
  <c r="I43" i="87"/>
  <c r="C43" i="87"/>
  <c r="L12" i="87"/>
  <c r="M12" i="87" s="1"/>
  <c r="L9" i="87"/>
  <c r="L11" i="87" s="1"/>
  <c r="L13" i="87"/>
  <c r="R8" i="87"/>
  <c r="B8" i="87"/>
  <c r="L24" i="87"/>
  <c r="E32" i="87"/>
  <c r="F32" i="87" s="1"/>
  <c r="G32" i="87" s="1"/>
  <c r="I32" i="87"/>
  <c r="L26" i="87"/>
  <c r="L25" i="87"/>
  <c r="C11" i="37"/>
  <c r="D59" i="31"/>
  <c r="F753" i="1"/>
  <c r="C9" i="37"/>
  <c r="C12" i="37"/>
  <c r="E49" i="31"/>
  <c r="F49" i="31" s="1"/>
  <c r="G49" i="31" s="1"/>
  <c r="E37" i="80"/>
  <c r="F37" i="80" s="1"/>
  <c r="G37" i="80" s="1"/>
  <c r="A38" i="85"/>
  <c r="A38" i="86"/>
  <c r="A36" i="86"/>
  <c r="A37" i="31"/>
  <c r="A37" i="86"/>
  <c r="A36" i="85"/>
  <c r="A37" i="85"/>
  <c r="A39" i="86"/>
  <c r="A39" i="85"/>
  <c r="A43" i="51"/>
  <c r="F33" i="55"/>
  <c r="G33" i="55" s="1"/>
  <c r="G11" i="85"/>
  <c r="A46" i="85"/>
  <c r="A61" i="85"/>
  <c r="F34" i="51"/>
  <c r="G34" i="51" s="1"/>
  <c r="J32" i="85"/>
  <c r="G8" i="85"/>
  <c r="J33" i="85"/>
  <c r="A62" i="85"/>
  <c r="F31" i="54"/>
  <c r="G31" i="54" s="1"/>
  <c r="F33" i="37"/>
  <c r="G33" i="37" s="1"/>
  <c r="A29" i="85"/>
  <c r="J31" i="85"/>
  <c r="A59" i="85"/>
  <c r="E31" i="30"/>
  <c r="F31" i="30" s="1"/>
  <c r="G31" i="30" s="1"/>
  <c r="K69" i="3"/>
  <c r="N69" i="3" s="1"/>
  <c r="A69" i="3" s="1"/>
  <c r="E3" i="85"/>
  <c r="E3" i="86"/>
  <c r="A43" i="86"/>
  <c r="A43" i="85"/>
  <c r="E816" i="1"/>
  <c r="F817" i="1"/>
  <c r="E598" i="1"/>
  <c r="F255" i="1"/>
  <c r="E810" i="1"/>
  <c r="E760" i="1"/>
  <c r="E346" i="1"/>
  <c r="E532" i="1"/>
  <c r="E176" i="1"/>
  <c r="E293" i="1"/>
  <c r="F190" i="1"/>
  <c r="E606" i="1"/>
  <c r="F830" i="1"/>
  <c r="E594" i="1"/>
  <c r="E363" i="1"/>
  <c r="E486" i="1"/>
  <c r="F486" i="1"/>
  <c r="A58" i="86"/>
  <c r="D3" i="85"/>
  <c r="G25" i="3"/>
  <c r="F819" i="1"/>
  <c r="F816" i="1"/>
  <c r="E431" i="1"/>
  <c r="E817" i="1"/>
  <c r="F293" i="1"/>
  <c r="E452" i="1"/>
  <c r="F363" i="1"/>
  <c r="F319" i="1"/>
  <c r="E319" i="1"/>
  <c r="F317" i="1"/>
  <c r="E317" i="1"/>
  <c r="E380" i="1"/>
  <c r="F380" i="1"/>
  <c r="G7" i="85"/>
  <c r="A44" i="85"/>
  <c r="A48" i="85"/>
  <c r="D27" i="86"/>
  <c r="F27" i="86"/>
  <c r="F678" i="1"/>
  <c r="E678" i="1"/>
  <c r="E811" i="1"/>
  <c r="F811" i="1"/>
  <c r="F381" i="1"/>
  <c r="E381" i="1"/>
  <c r="C37" i="53"/>
  <c r="E807" i="1"/>
  <c r="E809" i="1"/>
  <c r="F809" i="1"/>
  <c r="E318" i="1"/>
  <c r="F318" i="1"/>
  <c r="F379" i="1"/>
  <c r="E379" i="1"/>
  <c r="C35" i="86"/>
  <c r="C54" i="86"/>
  <c r="H51" i="86"/>
  <c r="H54" i="86"/>
  <c r="H62" i="86"/>
  <c r="H65" i="86"/>
  <c r="H66" i="86"/>
  <c r="H56" i="86"/>
  <c r="E289" i="1"/>
  <c r="F289" i="1"/>
  <c r="F520" i="1"/>
  <c r="E520" i="1"/>
  <c r="E449" i="1"/>
  <c r="F449" i="1"/>
  <c r="C613" i="1"/>
  <c r="C123" i="1"/>
  <c r="C163" i="1"/>
  <c r="C30" i="1"/>
  <c r="C75" i="1"/>
  <c r="C472" i="1"/>
  <c r="C120" i="1"/>
  <c r="C124" i="1"/>
  <c r="C160" i="1"/>
  <c r="C164" i="1"/>
  <c r="C31" i="1"/>
  <c r="C76" i="1"/>
  <c r="C603" i="1"/>
  <c r="C582" i="1"/>
  <c r="C121" i="1"/>
  <c r="C161" i="1"/>
  <c r="C32" i="1"/>
  <c r="C77" i="1"/>
  <c r="C593" i="1"/>
  <c r="C122" i="1"/>
  <c r="C162" i="1"/>
  <c r="C29" i="1"/>
  <c r="C33" i="1"/>
  <c r="C74" i="1"/>
  <c r="C78" i="1"/>
  <c r="C461" i="1"/>
  <c r="E478" i="1"/>
  <c r="F525" i="1"/>
  <c r="E360" i="1"/>
  <c r="E358" i="1"/>
  <c r="F448" i="1"/>
  <c r="E55" i="1"/>
  <c r="E183" i="1"/>
  <c r="E337" i="1"/>
  <c r="F392" i="1"/>
  <c r="F209" i="1"/>
  <c r="F62" i="1"/>
  <c r="F271" i="1"/>
  <c r="F269" i="1"/>
  <c r="E286" i="1"/>
  <c r="F359" i="1"/>
  <c r="E448" i="1"/>
  <c r="F245" i="1"/>
  <c r="F243" i="1"/>
  <c r="F241" i="1"/>
  <c r="F182" i="1"/>
  <c r="F676" i="1"/>
  <c r="F338" i="1"/>
  <c r="F466" i="1"/>
  <c r="F544" i="1"/>
  <c r="F605" i="1"/>
  <c r="F575" i="1"/>
  <c r="F210" i="1"/>
  <c r="F63" i="1"/>
  <c r="F59" i="1"/>
  <c r="E269" i="1"/>
  <c r="F287" i="1"/>
  <c r="E359" i="1"/>
  <c r="F447" i="1"/>
  <c r="F393" i="1"/>
  <c r="F391" i="1"/>
  <c r="F533" i="1"/>
  <c r="F595" i="1"/>
  <c r="F615" i="1"/>
  <c r="J16" i="1"/>
  <c r="J15" i="1"/>
  <c r="A51" i="88" l="1"/>
  <c r="C3" i="55"/>
  <c r="C3" i="85"/>
  <c r="A51" i="87"/>
  <c r="C3" i="88"/>
  <c r="C3" i="56"/>
  <c r="C3" i="53"/>
  <c r="C3" i="30"/>
  <c r="C3" i="34"/>
  <c r="C3" i="86"/>
  <c r="C3" i="44"/>
  <c r="C3" i="7"/>
  <c r="C3" i="17"/>
  <c r="C3" i="72"/>
  <c r="A53" i="85"/>
  <c r="C3" i="31"/>
  <c r="C3" i="18"/>
  <c r="C3" i="19"/>
  <c r="C3" i="20"/>
  <c r="A55" i="54"/>
  <c r="L65" i="56"/>
  <c r="C3" i="47"/>
  <c r="C3" i="54"/>
  <c r="A54" i="86"/>
  <c r="L65" i="3"/>
  <c r="C3" i="37"/>
  <c r="C3" i="74"/>
  <c r="A54" i="87"/>
  <c r="C3" i="58"/>
  <c r="C3" i="78"/>
  <c r="C3" i="62"/>
  <c r="C3" i="87"/>
  <c r="C3" i="46"/>
  <c r="C3" i="81"/>
  <c r="C3" i="6"/>
  <c r="A26" i="86"/>
  <c r="C3" i="61"/>
  <c r="C3" i="80"/>
  <c r="A44" i="88"/>
  <c r="A32" i="3"/>
  <c r="A7" i="62"/>
  <c r="A11" i="7"/>
  <c r="A11" i="4"/>
  <c r="A11" i="86"/>
  <c r="A11" i="5"/>
  <c r="A11" i="88"/>
  <c r="A11" i="31"/>
  <c r="A11" i="87"/>
  <c r="A11" i="71"/>
  <c r="A11" i="6"/>
  <c r="A11" i="55"/>
  <c r="A11" i="85"/>
  <c r="A11" i="54"/>
  <c r="A11" i="30"/>
  <c r="A13" i="4"/>
  <c r="A13" i="31"/>
  <c r="A13" i="7"/>
  <c r="A13" i="5"/>
  <c r="A13" i="55"/>
  <c r="A13" i="85"/>
  <c r="A13" i="87"/>
  <c r="A13" i="71"/>
  <c r="A13" i="30"/>
  <c r="A13" i="54"/>
  <c r="A13" i="6"/>
  <c r="A13" i="88"/>
  <c r="A7" i="48"/>
  <c r="G9" i="30"/>
  <c r="G9" i="86"/>
  <c r="A46" i="88"/>
  <c r="A9" i="88"/>
  <c r="A9" i="5"/>
  <c r="A9" i="87"/>
  <c r="A9" i="71"/>
  <c r="A9" i="31"/>
  <c r="A9" i="7"/>
  <c r="A9" i="55"/>
  <c r="A9" i="30"/>
  <c r="A9" i="85"/>
  <c r="A9" i="86"/>
  <c r="A9" i="54"/>
  <c r="A9" i="6"/>
  <c r="A9" i="4"/>
  <c r="A7" i="6"/>
  <c r="A7" i="85"/>
  <c r="A7" i="86"/>
  <c r="A7" i="88"/>
  <c r="A7" i="31"/>
  <c r="A7" i="4"/>
  <c r="A7" i="30"/>
  <c r="A7" i="7"/>
  <c r="A7" i="54"/>
  <c r="A7" i="71"/>
  <c r="A7" i="5"/>
  <c r="A7" i="87"/>
  <c r="A7" i="55"/>
  <c r="A31" i="85"/>
  <c r="A32" i="85"/>
  <c r="A32" i="72"/>
  <c r="A12" i="31"/>
  <c r="A12" i="7"/>
  <c r="A12" i="4"/>
  <c r="A12" i="86"/>
  <c r="A12" i="5"/>
  <c r="A12" i="87"/>
  <c r="A12" i="71"/>
  <c r="A12" i="55"/>
  <c r="A12" i="85"/>
  <c r="A12" i="6"/>
  <c r="A12" i="30"/>
  <c r="A12" i="54"/>
  <c r="A12" i="88"/>
  <c r="B11" i="61"/>
  <c r="B9" i="61"/>
  <c r="B10" i="61"/>
  <c r="D31" i="61" s="1"/>
  <c r="D37" i="71"/>
  <c r="D39" i="71"/>
  <c r="M30" i="72"/>
  <c r="L31" i="72"/>
  <c r="M31" i="72" s="1"/>
  <c r="L13" i="72"/>
  <c r="M13" i="72" s="1"/>
  <c r="M14" i="72"/>
  <c r="A13" i="3"/>
  <c r="A13" i="86"/>
  <c r="G8" i="61"/>
  <c r="A65" i="88"/>
  <c r="I42" i="47"/>
  <c r="I44" i="46"/>
  <c r="A63" i="85"/>
  <c r="A31" i="87"/>
  <c r="A33" i="88"/>
  <c r="A33" i="85"/>
  <c r="S8" i="30"/>
  <c r="T8" i="30"/>
  <c r="U8" i="30"/>
  <c r="R9" i="30"/>
  <c r="R10" i="30" s="1"/>
  <c r="R11" i="30" s="1"/>
  <c r="R12" i="30" s="1"/>
  <c r="R13" i="30" s="1"/>
  <c r="R14" i="30" s="1"/>
  <c r="O7" i="30"/>
  <c r="O8" i="30" s="1"/>
  <c r="T19" i="78"/>
  <c r="T9" i="78" s="1"/>
  <c r="Q25" i="78"/>
  <c r="R25" i="78" s="1"/>
  <c r="U25" i="78" s="1"/>
  <c r="L28" i="78" s="1"/>
  <c r="Q30" i="78"/>
  <c r="R30" i="78" s="1"/>
  <c r="U30" i="78" s="1"/>
  <c r="Q29" i="78"/>
  <c r="R29" i="78" s="1"/>
  <c r="R19" i="78"/>
  <c r="R9" i="78" s="1"/>
  <c r="Q31" i="78"/>
  <c r="R31" i="78" s="1"/>
  <c r="S31" i="78" s="1"/>
  <c r="Q33" i="78"/>
  <c r="R33" i="78" s="1"/>
  <c r="Q26" i="78"/>
  <c r="R26" i="78" s="1"/>
  <c r="Q23" i="78"/>
  <c r="R23" i="78" s="1"/>
  <c r="S23" i="78" s="1"/>
  <c r="L26" i="78" s="1"/>
  <c r="Q35" i="78"/>
  <c r="R35" i="78" s="1"/>
  <c r="Q28" i="78"/>
  <c r="R28" i="78" s="1"/>
  <c r="M18" i="78"/>
  <c r="L13" i="78"/>
  <c r="M13" i="78" s="1"/>
  <c r="N7" i="53"/>
  <c r="N8" i="53" s="1"/>
  <c r="N10" i="53"/>
  <c r="N11" i="53" s="1"/>
  <c r="R8" i="53"/>
  <c r="T8" i="53"/>
  <c r="S8" i="53"/>
  <c r="Q9" i="53"/>
  <c r="Q10" i="53" s="1"/>
  <c r="Q11" i="53" s="1"/>
  <c r="Q12" i="53" s="1"/>
  <c r="Q13" i="53" s="1"/>
  <c r="Q18" i="53" s="1"/>
  <c r="M12" i="53"/>
  <c r="L18" i="53"/>
  <c r="L19" i="53" s="1"/>
  <c r="L14" i="81"/>
  <c r="L15" i="81" s="1"/>
  <c r="M12" i="81"/>
  <c r="T8" i="81"/>
  <c r="S8" i="81"/>
  <c r="Q9" i="81"/>
  <c r="Q10" i="81" s="1"/>
  <c r="Q11" i="81" s="1"/>
  <c r="Q12" i="81" s="1"/>
  <c r="Q13" i="81" s="1"/>
  <c r="Q14" i="81" s="1"/>
  <c r="R8" i="81"/>
  <c r="N7" i="81"/>
  <c r="N8" i="81" s="1"/>
  <c r="N10" i="81"/>
  <c r="N11" i="81" s="1"/>
  <c r="K33" i="80"/>
  <c r="L14" i="80"/>
  <c r="L15" i="80" s="1"/>
  <c r="M12" i="80"/>
  <c r="M14" i="80" s="1"/>
  <c r="T8" i="80"/>
  <c r="S8" i="80"/>
  <c r="R8" i="80"/>
  <c r="Q9" i="80"/>
  <c r="Q10" i="80" s="1"/>
  <c r="Q11" i="80" s="1"/>
  <c r="Q12" i="80" s="1"/>
  <c r="N10" i="80"/>
  <c r="N11" i="80" s="1"/>
  <c r="N7" i="80"/>
  <c r="N8" i="80" s="1"/>
  <c r="U36" i="51"/>
  <c r="S36" i="51"/>
  <c r="S20" i="51"/>
  <c r="S9" i="51" s="1"/>
  <c r="Q35" i="51"/>
  <c r="R35" i="51" s="1"/>
  <c r="T35" i="51" s="1"/>
  <c r="Q30" i="51"/>
  <c r="R30" i="51" s="1"/>
  <c r="Q25" i="51"/>
  <c r="R25" i="51" s="1"/>
  <c r="T25" i="51" s="1"/>
  <c r="L28" i="51" s="1"/>
  <c r="L30" i="51" s="1"/>
  <c r="Q28" i="51"/>
  <c r="R28" i="51" s="1"/>
  <c r="T28" i="51" s="1"/>
  <c r="Q34" i="51"/>
  <c r="R34" i="51" s="1"/>
  <c r="L32" i="51"/>
  <c r="N7" i="51"/>
  <c r="N8" i="51" s="1"/>
  <c r="N10" i="51"/>
  <c r="N11" i="51" s="1"/>
  <c r="M12" i="51"/>
  <c r="L14" i="51"/>
  <c r="L20" i="51" s="1"/>
  <c r="S29" i="51"/>
  <c r="U29" i="51"/>
  <c r="Q27" i="51"/>
  <c r="R27" i="51" s="1"/>
  <c r="S28" i="55"/>
  <c r="U28" i="55"/>
  <c r="L33" i="55"/>
  <c r="M31" i="55"/>
  <c r="K12" i="7"/>
  <c r="L12" i="7" s="1"/>
  <c r="K13" i="7"/>
  <c r="K9" i="7"/>
  <c r="K11" i="7" s="1"/>
  <c r="Q8" i="7"/>
  <c r="L13" i="54"/>
  <c r="M13" i="54" s="1"/>
  <c r="M14" i="54"/>
  <c r="Q26" i="54"/>
  <c r="R26" i="54" s="1"/>
  <c r="Q29" i="54"/>
  <c r="R29" i="54" s="1"/>
  <c r="S29" i="54" s="1"/>
  <c r="Q21" i="54"/>
  <c r="R21" i="54" s="1"/>
  <c r="S21" i="54" s="1"/>
  <c r="L24" i="54" s="1"/>
  <c r="Q24" i="54"/>
  <c r="R24" i="54" s="1"/>
  <c r="Q31" i="54"/>
  <c r="R31" i="54" s="1"/>
  <c r="Q43" i="54"/>
  <c r="R43" i="54" s="1"/>
  <c r="R17" i="54"/>
  <c r="R9" i="54" s="1"/>
  <c r="Q27" i="54"/>
  <c r="R27" i="54" s="1"/>
  <c r="S17" i="54"/>
  <c r="S9" i="54" s="1"/>
  <c r="Q32" i="54"/>
  <c r="R32" i="54" s="1"/>
  <c r="T32" i="54" s="1"/>
  <c r="Q25" i="54"/>
  <c r="R25" i="54" s="1"/>
  <c r="T25" i="54" s="1"/>
  <c r="Q22" i="54"/>
  <c r="R22" i="54" s="1"/>
  <c r="T22" i="54" s="1"/>
  <c r="L25" i="54" s="1"/>
  <c r="M29" i="5"/>
  <c r="M27" i="5"/>
  <c r="U27" i="5"/>
  <c r="V27" i="5"/>
  <c r="U30" i="5"/>
  <c r="T30" i="5"/>
  <c r="T24" i="5"/>
  <c r="U24" i="5"/>
  <c r="N14" i="5"/>
  <c r="M13" i="5"/>
  <c r="N13" i="5" s="1"/>
  <c r="V32" i="5"/>
  <c r="T32" i="5"/>
  <c r="V26" i="5"/>
  <c r="T26" i="5"/>
  <c r="U8" i="6"/>
  <c r="S8" i="6"/>
  <c r="T8" i="6"/>
  <c r="R9" i="6"/>
  <c r="R10" i="6" s="1"/>
  <c r="R11" i="6" s="1"/>
  <c r="R12" i="6" s="1"/>
  <c r="R13" i="6" s="1"/>
  <c r="R14" i="6" s="1"/>
  <c r="M14" i="6"/>
  <c r="M17" i="6" s="1"/>
  <c r="N12" i="6"/>
  <c r="O7" i="6"/>
  <c r="O8" i="6" s="1"/>
  <c r="O10" i="6"/>
  <c r="O11" i="6" s="1"/>
  <c r="V32" i="71"/>
  <c r="T32" i="71"/>
  <c r="N14" i="71"/>
  <c r="M13" i="71"/>
  <c r="N13" i="71" s="1"/>
  <c r="V26" i="71"/>
  <c r="T26" i="71"/>
  <c r="V27" i="71"/>
  <c r="U27" i="71"/>
  <c r="M14" i="86"/>
  <c r="M17" i="86" s="1"/>
  <c r="N12" i="86"/>
  <c r="L38" i="85"/>
  <c r="K38" i="54"/>
  <c r="L38" i="4"/>
  <c r="K41" i="51"/>
  <c r="K41" i="78"/>
  <c r="K38" i="7"/>
  <c r="K40" i="55"/>
  <c r="K37" i="80"/>
  <c r="K37" i="81"/>
  <c r="K41" i="53"/>
  <c r="O10" i="3"/>
  <c r="O11" i="3" s="1"/>
  <c r="M13" i="30"/>
  <c r="N13" i="30" s="1"/>
  <c r="N14" i="30"/>
  <c r="O10" i="4"/>
  <c r="O11" i="4" s="1"/>
  <c r="O7" i="4"/>
  <c r="O8" i="4" s="1"/>
  <c r="S8" i="4"/>
  <c r="U8" i="4"/>
  <c r="T8" i="4"/>
  <c r="R9" i="4"/>
  <c r="R10" i="4" s="1"/>
  <c r="R11" i="4" s="1"/>
  <c r="R12" i="4" s="1"/>
  <c r="R13" i="4" s="1"/>
  <c r="R14" i="4" s="1"/>
  <c r="M14" i="4"/>
  <c r="M17" i="4" s="1"/>
  <c r="N12" i="4"/>
  <c r="O10" i="85"/>
  <c r="O11" i="85" s="1"/>
  <c r="O7" i="85"/>
  <c r="O8" i="85" s="1"/>
  <c r="R32" i="85"/>
  <c r="S32" i="85" s="1"/>
  <c r="S17" i="85"/>
  <c r="S9" i="85" s="1"/>
  <c r="R29" i="85"/>
  <c r="S29" i="85" s="1"/>
  <c r="T29" i="85" s="1"/>
  <c r="R24" i="85"/>
  <c r="S24" i="85" s="1"/>
  <c r="R30" i="85"/>
  <c r="S30" i="85" s="1"/>
  <c r="R26" i="85"/>
  <c r="S26" i="85" s="1"/>
  <c r="R21" i="85"/>
  <c r="S21" i="85" s="1"/>
  <c r="T21" i="85" s="1"/>
  <c r="M24" i="85" s="1"/>
  <c r="R23" i="85"/>
  <c r="S23" i="85" s="1"/>
  <c r="V23" i="85" s="1"/>
  <c r="M26" i="85" s="1"/>
  <c r="U17" i="85"/>
  <c r="U9" i="85" s="1"/>
  <c r="R28" i="85"/>
  <c r="S28" i="85" s="1"/>
  <c r="V28" i="85" s="1"/>
  <c r="R25" i="85"/>
  <c r="S25" i="85" s="1"/>
  <c r="U25" i="85" s="1"/>
  <c r="R22" i="85"/>
  <c r="S22" i="85" s="1"/>
  <c r="U22" i="85" s="1"/>
  <c r="M25" i="85" s="1"/>
  <c r="R31" i="85"/>
  <c r="S31" i="85" s="1"/>
  <c r="U31" i="85" s="1"/>
  <c r="R27" i="85"/>
  <c r="S27" i="85" s="1"/>
  <c r="T17" i="85"/>
  <c r="T9" i="85" s="1"/>
  <c r="N12" i="85"/>
  <c r="M14" i="85"/>
  <c r="M17" i="85" s="1"/>
  <c r="O10" i="86"/>
  <c r="O11" i="86" s="1"/>
  <c r="O7" i="86"/>
  <c r="O8" i="86" s="1"/>
  <c r="R23" i="86"/>
  <c r="S23" i="86" s="1"/>
  <c r="V23" i="86" s="1"/>
  <c r="M26" i="86" s="1"/>
  <c r="U17" i="86"/>
  <c r="U9" i="86" s="1"/>
  <c r="R28" i="86"/>
  <c r="S28" i="86" s="1"/>
  <c r="V28" i="86" s="1"/>
  <c r="R30" i="86"/>
  <c r="S30" i="86" s="1"/>
  <c r="S17" i="86"/>
  <c r="S9" i="86" s="1"/>
  <c r="R21" i="86"/>
  <c r="S21" i="86" s="1"/>
  <c r="T21" i="86" s="1"/>
  <c r="M24" i="86" s="1"/>
  <c r="R24" i="86"/>
  <c r="S24" i="86" s="1"/>
  <c r="R29" i="86"/>
  <c r="S29" i="86" s="1"/>
  <c r="T29" i="86" s="1"/>
  <c r="R32" i="86"/>
  <c r="S32" i="86" s="1"/>
  <c r="R26" i="86"/>
  <c r="S26" i="86" s="1"/>
  <c r="R22" i="86"/>
  <c r="S22" i="86" s="1"/>
  <c r="U22" i="86" s="1"/>
  <c r="M25" i="86" s="1"/>
  <c r="R27" i="86"/>
  <c r="S27" i="86" s="1"/>
  <c r="R25" i="86"/>
  <c r="S25" i="86" s="1"/>
  <c r="U25" i="86" s="1"/>
  <c r="R31" i="86"/>
  <c r="S31" i="86" s="1"/>
  <c r="U31" i="86" s="1"/>
  <c r="T17" i="86"/>
  <c r="T9" i="86" s="1"/>
  <c r="T8" i="3"/>
  <c r="S8" i="3"/>
  <c r="U8" i="3"/>
  <c r="M13" i="3"/>
  <c r="N13" i="3" s="1"/>
  <c r="N14" i="3" s="1"/>
  <c r="B19" i="88"/>
  <c r="D68" i="87"/>
  <c r="D68" i="86"/>
  <c r="C14" i="85"/>
  <c r="C14" i="88"/>
  <c r="B3" i="71"/>
  <c r="B3" i="85"/>
  <c r="B3" i="87"/>
  <c r="A36" i="87"/>
  <c r="A26" i="85"/>
  <c r="F59" i="57"/>
  <c r="F78" i="57" s="1"/>
  <c r="A31" i="47"/>
  <c r="A35" i="8"/>
  <c r="A42" i="4"/>
  <c r="A43" i="72"/>
  <c r="A34" i="33"/>
  <c r="A46" i="51"/>
  <c r="A32" i="48"/>
  <c r="A42" i="31"/>
  <c r="A34" i="62"/>
  <c r="A34" i="58"/>
  <c r="A35" i="81"/>
  <c r="A42" i="7"/>
  <c r="A34" i="56"/>
  <c r="A44" i="78"/>
  <c r="A34" i="18"/>
  <c r="A33" i="46"/>
  <c r="A33" i="44"/>
  <c r="A34" i="20"/>
  <c r="A44" i="55"/>
  <c r="A34" i="19"/>
  <c r="A34" i="17"/>
  <c r="A34" i="61"/>
  <c r="A42" i="71"/>
  <c r="A42" i="3"/>
  <c r="A44" i="53"/>
  <c r="A35" i="80"/>
  <c r="A39" i="74"/>
  <c r="A34" i="70"/>
  <c r="A42" i="5"/>
  <c r="A42" i="54"/>
  <c r="A39" i="37"/>
  <c r="A34" i="34"/>
  <c r="A42" i="30"/>
  <c r="A42" i="6"/>
  <c r="B3" i="86"/>
  <c r="B3" i="80"/>
  <c r="B3" i="56"/>
  <c r="B3" i="48"/>
  <c r="B3" i="54"/>
  <c r="B3" i="51"/>
  <c r="B3" i="58"/>
  <c r="B3" i="81"/>
  <c r="B3" i="44"/>
  <c r="B3" i="7"/>
  <c r="B3" i="70"/>
  <c r="B3" i="62"/>
  <c r="B3" i="6"/>
  <c r="B3" i="30"/>
  <c r="B3" i="37"/>
  <c r="B3" i="34"/>
  <c r="B3" i="3"/>
  <c r="B3" i="19"/>
  <c r="B3" i="33"/>
  <c r="B3" i="55"/>
  <c r="B3" i="8"/>
  <c r="B3" i="46"/>
  <c r="B3" i="53"/>
  <c r="B3" i="31"/>
  <c r="B3" i="20"/>
  <c r="B3" i="72"/>
  <c r="B3" i="74"/>
  <c r="B3" i="78"/>
  <c r="B3" i="17"/>
  <c r="B3" i="47"/>
  <c r="B3" i="4"/>
  <c r="B3" i="5"/>
  <c r="B3" i="61"/>
  <c r="B3" i="18"/>
  <c r="C14" i="86"/>
  <c r="C14" i="74"/>
  <c r="C13" i="78"/>
  <c r="C14" i="7"/>
  <c r="C13" i="34"/>
  <c r="C13" i="46"/>
  <c r="C13" i="18"/>
  <c r="C13" i="56"/>
  <c r="C14" i="4"/>
  <c r="C11" i="44"/>
  <c r="C13" i="17"/>
  <c r="C14" i="5"/>
  <c r="C12" i="62"/>
  <c r="C13" i="53"/>
  <c r="C12" i="81"/>
  <c r="C12" i="61"/>
  <c r="C12" i="58"/>
  <c r="C14" i="37"/>
  <c r="C14" i="54"/>
  <c r="C14" i="30"/>
  <c r="C11" i="47"/>
  <c r="C11" i="20"/>
  <c r="C14" i="31"/>
  <c r="C14" i="55"/>
  <c r="C11" i="70"/>
  <c r="C13" i="19"/>
  <c r="C13" i="8"/>
  <c r="C14" i="6"/>
  <c r="C14" i="3"/>
  <c r="C11" i="48"/>
  <c r="C10" i="33"/>
  <c r="C14" i="51"/>
  <c r="C14" i="71"/>
  <c r="D68" i="88"/>
  <c r="D69" i="37"/>
  <c r="D61" i="8"/>
  <c r="D61" i="74"/>
  <c r="D66" i="6"/>
  <c r="D65" i="55"/>
  <c r="D67" i="53"/>
  <c r="D68" i="31"/>
  <c r="D66" i="5"/>
  <c r="C81" i="42"/>
  <c r="D56" i="81"/>
  <c r="D56" i="80"/>
  <c r="C59" i="57"/>
  <c r="C78" i="57"/>
  <c r="D67" i="71"/>
  <c r="D60" i="61"/>
  <c r="D67" i="30"/>
  <c r="D62" i="72"/>
  <c r="D60" i="56"/>
  <c r="D66" i="3"/>
  <c r="D67" i="54"/>
  <c r="D60" i="62"/>
  <c r="D69" i="51"/>
  <c r="D66" i="78"/>
  <c r="D59" i="58"/>
  <c r="D68" i="7"/>
  <c r="D66" i="4"/>
  <c r="E27" i="88"/>
  <c r="G9" i="85"/>
  <c r="F9" i="78"/>
  <c r="G9" i="6"/>
  <c r="F9" i="74"/>
  <c r="G9" i="5"/>
  <c r="F9" i="53"/>
  <c r="G9" i="71"/>
  <c r="F9" i="37"/>
  <c r="F9" i="51"/>
  <c r="F9" i="55"/>
  <c r="G9" i="31"/>
  <c r="F9" i="7"/>
  <c r="G9" i="72"/>
  <c r="G9" i="4"/>
  <c r="G9" i="3"/>
  <c r="F9" i="54"/>
  <c r="A55" i="3"/>
  <c r="A44" i="81"/>
  <c r="A54" i="53"/>
  <c r="A57" i="61"/>
  <c r="A55" i="72"/>
  <c r="A54" i="78"/>
  <c r="A44" i="80"/>
  <c r="A34" i="85"/>
  <c r="G8" i="70"/>
  <c r="A51" i="86"/>
  <c r="A50" i="6"/>
  <c r="A42" i="20"/>
  <c r="A42" i="62"/>
  <c r="A51" i="54"/>
  <c r="A42" i="34"/>
  <c r="A54" i="72"/>
  <c r="A51" i="71"/>
  <c r="A43" i="8"/>
  <c r="A42" i="70"/>
  <c r="A47" i="74"/>
  <c r="A50" i="4"/>
  <c r="A42" i="61"/>
  <c r="A51" i="31"/>
  <c r="A50" i="5"/>
  <c r="A39" i="47"/>
  <c r="A40" i="48"/>
  <c r="A41" i="44"/>
  <c r="A42" i="18"/>
  <c r="A50" i="3"/>
  <c r="A42" i="19"/>
  <c r="A51" i="7"/>
  <c r="A50" i="30"/>
  <c r="A48" i="37"/>
  <c r="A42" i="17"/>
  <c r="A42" i="56"/>
  <c r="A42" i="33"/>
  <c r="A42" i="58"/>
  <c r="A41" i="46"/>
  <c r="A34" i="80"/>
  <c r="A41" i="31"/>
  <c r="A32" i="46"/>
  <c r="A33" i="18"/>
  <c r="A33" i="34"/>
  <c r="A41" i="54"/>
  <c r="A43" i="78"/>
  <c r="A43" i="53"/>
  <c r="A30" i="47"/>
  <c r="A41" i="5"/>
  <c r="A34" i="8"/>
  <c r="A45" i="51"/>
  <c r="A42" i="72"/>
  <c r="A33" i="56"/>
  <c r="A33" i="61"/>
  <c r="A33" i="19"/>
  <c r="A41" i="6"/>
  <c r="A34" i="81"/>
  <c r="A41" i="71"/>
  <c r="A38" i="74"/>
  <c r="A41" i="7"/>
  <c r="A33" i="62"/>
  <c r="A41" i="30"/>
  <c r="A33" i="58"/>
  <c r="A38" i="37"/>
  <c r="A43" i="55"/>
  <c r="A64" i="86"/>
  <c r="A60" i="8"/>
  <c r="A68" i="37"/>
  <c r="A63" i="78"/>
  <c r="A55" i="80"/>
  <c r="A51" i="47"/>
  <c r="A60" i="74"/>
  <c r="A58" i="58"/>
  <c r="A62" i="3"/>
  <c r="A59" i="19"/>
  <c r="A58" i="70"/>
  <c r="A63" i="30"/>
  <c r="A54" i="46"/>
  <c r="A59" i="72"/>
  <c r="A66" i="51"/>
  <c r="A64" i="7"/>
  <c r="A64" i="31"/>
  <c r="A3" i="57"/>
  <c r="A59" i="61"/>
  <c r="A64" i="53"/>
  <c r="A59" i="34"/>
  <c r="A62" i="4"/>
  <c r="A59" i="18"/>
  <c r="A59" i="62"/>
  <c r="A54" i="81"/>
  <c r="A71" i="77"/>
  <c r="A58" i="33"/>
  <c r="A58" i="20"/>
  <c r="A57" i="44"/>
  <c r="A63" i="71"/>
  <c r="A62" i="5"/>
  <c r="A62" i="55"/>
  <c r="A56" i="48"/>
  <c r="A59" i="56"/>
  <c r="A63" i="54"/>
  <c r="A61" i="17"/>
  <c r="A62" i="6"/>
  <c r="A61" i="86"/>
  <c r="A60" i="71"/>
  <c r="A60" i="54"/>
  <c r="A63" i="51"/>
  <c r="A59" i="6"/>
  <c r="A61" i="31"/>
  <c r="A60" i="30"/>
  <c r="A59" i="4"/>
  <c r="A59" i="55"/>
  <c r="A59" i="5"/>
  <c r="A61" i="7"/>
  <c r="A29" i="3"/>
  <c r="A29" i="4"/>
  <c r="A30" i="72"/>
  <c r="A67" i="85"/>
  <c r="A7" i="20"/>
  <c r="A49" i="86"/>
  <c r="A48" i="51"/>
  <c r="A37" i="81"/>
  <c r="A46" i="55"/>
  <c r="A49" i="31"/>
  <c r="A46" i="53"/>
  <c r="A37" i="80"/>
  <c r="A44" i="7"/>
  <c r="A44" i="54"/>
  <c r="A46" i="78"/>
  <c r="A49" i="71"/>
  <c r="B5" i="3"/>
  <c r="B5" i="72"/>
  <c r="A12" i="3"/>
  <c r="A11" i="72"/>
  <c r="A51" i="3"/>
  <c r="A52" i="7"/>
  <c r="A51" i="6"/>
  <c r="A51" i="4"/>
  <c r="A51" i="5"/>
  <c r="A52" i="54"/>
  <c r="A69" i="87"/>
  <c r="A34" i="87"/>
  <c r="A7" i="17"/>
  <c r="A7" i="3"/>
  <c r="A7" i="72"/>
  <c r="A56" i="86"/>
  <c r="A56" i="34"/>
  <c r="A53" i="48"/>
  <c r="A56" i="56"/>
  <c r="A55" i="58"/>
  <c r="A56" i="62"/>
  <c r="A55" i="20"/>
  <c r="A54" i="71"/>
  <c r="A54" i="3"/>
  <c r="A56" i="61"/>
  <c r="A55" i="70"/>
  <c r="A56" i="18"/>
  <c r="A57" i="8"/>
  <c r="A53" i="6"/>
  <c r="A54" i="54"/>
  <c r="A54" i="4"/>
  <c r="A48" i="47"/>
  <c r="A56" i="31"/>
  <c r="A55" i="33"/>
  <c r="A54" i="7"/>
  <c r="A52" i="81"/>
  <c r="A56" i="19"/>
  <c r="A53" i="5"/>
  <c r="A54" i="44"/>
  <c r="A52" i="80"/>
  <c r="A56" i="17"/>
  <c r="A51" i="46"/>
  <c r="A47" i="87"/>
  <c r="A47" i="85"/>
  <c r="A36" i="47"/>
  <c r="A39" i="56"/>
  <c r="A42" i="81"/>
  <c r="A39" i="33"/>
  <c r="A48" i="7"/>
  <c r="A47" i="4"/>
  <c r="A42" i="80"/>
  <c r="A52" i="78"/>
  <c r="A40" i="8"/>
  <c r="A47" i="30"/>
  <c r="A39" i="62"/>
  <c r="A44" i="74"/>
  <c r="A44" i="37"/>
  <c r="A39" i="34"/>
  <c r="A38" i="44"/>
  <c r="A47" i="31"/>
  <c r="A52" i="53"/>
  <c r="A38" i="46"/>
  <c r="A39" i="20"/>
  <c r="A47" i="3"/>
  <c r="A47" i="5"/>
  <c r="A51" i="72"/>
  <c r="A39" i="70"/>
  <c r="A39" i="18"/>
  <c r="A39" i="58"/>
  <c r="A37" i="48"/>
  <c r="A39" i="17"/>
  <c r="A47" i="6"/>
  <c r="A39" i="19"/>
  <c r="A47" i="71"/>
  <c r="A48" i="54"/>
  <c r="A39" i="61"/>
  <c r="A28" i="3"/>
  <c r="A28" i="4"/>
  <c r="A29" i="72"/>
  <c r="A40" i="33"/>
  <c r="A48" i="3"/>
  <c r="A49" i="6" s="1"/>
  <c r="A40" i="34"/>
  <c r="A48" i="4"/>
  <c r="A40" i="19"/>
  <c r="A39" i="44"/>
  <c r="A40" i="20"/>
  <c r="A49" i="54"/>
  <c r="A45" i="74"/>
  <c r="A40" i="58"/>
  <c r="A37" i="47"/>
  <c r="A49" i="7"/>
  <c r="A40" i="62"/>
  <c r="A45" i="37"/>
  <c r="A39" i="46"/>
  <c r="A40" i="70"/>
  <c r="A48" i="30"/>
  <c r="A52" i="72"/>
  <c r="A40" i="17"/>
  <c r="A38" i="48"/>
  <c r="A40" i="18"/>
  <c r="A48" i="5"/>
  <c r="A53" i="53"/>
  <c r="A41" i="8"/>
  <c r="A43" i="81"/>
  <c r="A40" i="61"/>
  <c r="A43" i="80"/>
  <c r="A53" i="78"/>
  <c r="A48" i="31"/>
  <c r="A48" i="6"/>
  <c r="G25" i="86"/>
  <c r="F72" i="42"/>
  <c r="G25" i="30"/>
  <c r="G25" i="31"/>
  <c r="G26" i="72"/>
  <c r="F1" i="57"/>
  <c r="A51" i="78"/>
  <c r="A36" i="44"/>
  <c r="A37" i="20"/>
  <c r="A41" i="81"/>
  <c r="A37" i="19"/>
  <c r="A46" i="54"/>
  <c r="A45" i="71"/>
  <c r="A51" i="53"/>
  <c r="A4" i="3"/>
  <c r="A4" i="72"/>
  <c r="A12" i="74"/>
  <c r="A13" i="51"/>
  <c r="G8" i="18"/>
  <c r="A65" i="86"/>
  <c r="A60" i="61"/>
  <c r="A65" i="31"/>
  <c r="A67" i="51"/>
  <c r="A63" i="5"/>
  <c r="A65" i="7"/>
  <c r="A55" i="81"/>
  <c r="A57" i="48"/>
  <c r="A60" i="72"/>
  <c r="A60" i="62"/>
  <c r="A52" i="47"/>
  <c r="A61" i="8"/>
  <c r="A58" i="44"/>
  <c r="A60" i="34"/>
  <c r="A64" i="71"/>
  <c r="A55" i="46"/>
  <c r="A63" i="55"/>
  <c r="A63" i="6"/>
  <c r="A60" i="18"/>
  <c r="A62" i="17"/>
  <c r="A59" i="20"/>
  <c r="A59" i="58"/>
  <c r="A63" i="3"/>
  <c r="A65" i="53"/>
  <c r="A60" i="56"/>
  <c r="A64" i="54"/>
  <c r="A64" i="30"/>
  <c r="A63" i="4"/>
  <c r="A64" i="78"/>
  <c r="A59" i="70"/>
  <c r="A59" i="33"/>
  <c r="A60" i="19"/>
  <c r="A56" i="80"/>
  <c r="I28" i="72"/>
  <c r="I27" i="5"/>
  <c r="I24" i="61"/>
  <c r="I24" i="46"/>
  <c r="I24" i="17"/>
  <c r="I27" i="71"/>
  <c r="I22" i="47"/>
  <c r="I24" i="70"/>
  <c r="I25" i="81"/>
  <c r="F15" i="77"/>
  <c r="C3" i="51"/>
  <c r="C3" i="70"/>
  <c r="C3" i="4"/>
  <c r="C3" i="3"/>
  <c r="C3" i="71"/>
  <c r="C3" i="8"/>
  <c r="C3" i="5"/>
  <c r="A36" i="72"/>
  <c r="A49" i="53"/>
  <c r="A52" i="74"/>
  <c r="A54" i="31"/>
  <c r="A55" i="71"/>
  <c r="A49" i="78"/>
  <c r="A57" i="51"/>
  <c r="A54" i="5"/>
  <c r="A55" i="7"/>
  <c r="A54" i="6"/>
  <c r="A53" i="37"/>
  <c r="A56" i="72"/>
  <c r="A54" i="55"/>
  <c r="A53" i="3"/>
  <c r="A53" i="4"/>
  <c r="A11" i="3"/>
  <c r="A10" i="72"/>
  <c r="A59" i="30"/>
  <c r="A62" i="51"/>
  <c r="A56" i="37"/>
  <c r="L70" i="85"/>
  <c r="L66" i="6"/>
  <c r="L65" i="8"/>
  <c r="K66" i="78"/>
  <c r="L66" i="5"/>
  <c r="L63" i="33"/>
  <c r="L62" i="34"/>
  <c r="L55" i="47"/>
  <c r="K56" i="81"/>
  <c r="L59" i="58"/>
  <c r="L63" i="70"/>
  <c r="K69" i="51"/>
  <c r="L58" i="46"/>
  <c r="K65" i="55"/>
  <c r="K60" i="72"/>
  <c r="L63" i="44"/>
  <c r="L64" i="3"/>
  <c r="K67" i="53"/>
  <c r="L63" i="18"/>
  <c r="L61" i="19"/>
  <c r="L63" i="20"/>
  <c r="L66" i="30"/>
  <c r="K68" i="7"/>
  <c r="L67" i="71"/>
  <c r="L60" i="62"/>
  <c r="L60" i="61"/>
  <c r="K67" i="54"/>
  <c r="K66" i="74"/>
  <c r="A5" i="74" s="1"/>
  <c r="L62" i="48"/>
  <c r="L70" i="4"/>
  <c r="K74" i="37"/>
  <c r="A5" i="37" s="1"/>
  <c r="L64" i="56"/>
  <c r="K56" i="80"/>
  <c r="A29" i="17"/>
  <c r="A26" i="47"/>
  <c r="A29" i="20"/>
  <c r="A28" i="44"/>
  <c r="A29" i="19"/>
  <c r="A29" i="70"/>
  <c r="A29" i="33"/>
  <c r="A28" i="46"/>
  <c r="A27" i="48"/>
  <c r="A29" i="34"/>
  <c r="A29" i="18"/>
  <c r="I464" i="1"/>
  <c r="C464" i="1"/>
  <c r="G8" i="34"/>
  <c r="C27" i="85"/>
  <c r="C27" i="4"/>
  <c r="C24" i="56"/>
  <c r="C30" i="51"/>
  <c r="C25" i="80"/>
  <c r="C29" i="55"/>
  <c r="C25" i="81"/>
  <c r="C26" i="37"/>
  <c r="C26" i="74"/>
  <c r="C24" i="34"/>
  <c r="C27" i="54"/>
  <c r="C24" i="61"/>
  <c r="C29" i="78"/>
  <c r="C29" i="53"/>
  <c r="C24" i="58"/>
  <c r="C24" i="62"/>
  <c r="C25" i="8"/>
  <c r="C24" i="46"/>
  <c r="C22" i="47"/>
  <c r="C27" i="5"/>
  <c r="C27" i="7"/>
  <c r="G8" i="20"/>
  <c r="A36" i="88"/>
  <c r="G8" i="62"/>
  <c r="O10" i="31"/>
  <c r="O11" i="31" s="1"/>
  <c r="R26" i="31"/>
  <c r="T17" i="31"/>
  <c r="T9" i="31" s="1"/>
  <c r="R27" i="31"/>
  <c r="S17" i="31"/>
  <c r="S9" i="31" s="1"/>
  <c r="R25" i="31"/>
  <c r="R32" i="31"/>
  <c r="R22" i="31"/>
  <c r="R24" i="31"/>
  <c r="R28" i="31"/>
  <c r="R23" i="31"/>
  <c r="G9" i="44"/>
  <c r="A52" i="88"/>
  <c r="G8" i="47"/>
  <c r="G8" i="48"/>
  <c r="G8" i="33"/>
  <c r="G9" i="46"/>
  <c r="A7" i="61"/>
  <c r="A7" i="18"/>
  <c r="A7" i="44"/>
  <c r="A7" i="70"/>
  <c r="D27" i="85"/>
  <c r="D25" i="81"/>
  <c r="D26" i="37"/>
  <c r="D27" i="4"/>
  <c r="D30" i="51"/>
  <c r="D24" i="58"/>
  <c r="D27" i="7"/>
  <c r="D25" i="80"/>
  <c r="D29" i="55"/>
  <c r="D22" i="47"/>
  <c r="D26" i="74"/>
  <c r="D29" i="53"/>
  <c r="D24" i="34"/>
  <c r="D24" i="46"/>
  <c r="D24" i="62"/>
  <c r="D27" i="5"/>
  <c r="D25" i="8"/>
  <c r="D27" i="54"/>
  <c r="D24" i="61"/>
  <c r="D24" i="56"/>
  <c r="D29" i="78"/>
  <c r="A7" i="19"/>
  <c r="G8" i="19"/>
  <c r="A29" i="44"/>
  <c r="A30" i="70"/>
  <c r="A27" i="47"/>
  <c r="A30" i="33"/>
  <c r="A29" i="46"/>
  <c r="A28" i="48"/>
  <c r="A30" i="19"/>
  <c r="A34" i="86"/>
  <c r="A36" i="53"/>
  <c r="A32" i="81"/>
  <c r="A34" i="71"/>
  <c r="A34" i="31"/>
  <c r="A34" i="30"/>
  <c r="A34" i="54"/>
  <c r="A36" i="55"/>
  <c r="A34" i="6"/>
  <c r="A34" i="7"/>
  <c r="A34" i="5"/>
  <c r="A36" i="78"/>
  <c r="A33" i="74"/>
  <c r="A32" i="80"/>
  <c r="A33" i="37"/>
  <c r="A31" i="58"/>
  <c r="A38" i="51"/>
  <c r="A31" i="62"/>
  <c r="A31" i="61"/>
  <c r="A34" i="4"/>
  <c r="A33" i="86"/>
  <c r="A35" i="78"/>
  <c r="A33" i="71"/>
  <c r="A37" i="51"/>
  <c r="A30" i="58"/>
  <c r="A33" i="4"/>
  <c r="A30" i="62"/>
  <c r="A33" i="5"/>
  <c r="A33" i="30"/>
  <c r="A33" i="6"/>
  <c r="A32" i="74"/>
  <c r="A33" i="54"/>
  <c r="A33" i="7"/>
  <c r="A35" i="53"/>
  <c r="A33" i="31"/>
  <c r="A31" i="81"/>
  <c r="A35" i="55"/>
  <c r="A30" i="61"/>
  <c r="A31" i="80"/>
  <c r="A32" i="37"/>
  <c r="I405" i="1"/>
  <c r="I406" i="1"/>
  <c r="I404" i="1"/>
  <c r="C405" i="1"/>
  <c r="C406" i="1"/>
  <c r="C404" i="1"/>
  <c r="A31" i="86"/>
  <c r="A31" i="6"/>
  <c r="A29" i="81"/>
  <c r="A28" i="61"/>
  <c r="A33" i="55"/>
  <c r="A33" i="78"/>
  <c r="A28" i="62"/>
  <c r="A31" i="31"/>
  <c r="A31" i="54"/>
  <c r="A34" i="51"/>
  <c r="A31" i="5"/>
  <c r="A28" i="58"/>
  <c r="A31" i="7"/>
  <c r="A31" i="30"/>
  <c r="A30" i="37"/>
  <c r="A30" i="74"/>
  <c r="A31" i="71"/>
  <c r="A33" i="53"/>
  <c r="A29" i="80"/>
  <c r="A46" i="86"/>
  <c r="A38" i="33"/>
  <c r="A37" i="44"/>
  <c r="A35" i="47"/>
  <c r="A38" i="18"/>
  <c r="A46" i="30"/>
  <c r="A46" i="5"/>
  <c r="A38" i="19"/>
  <c r="A38" i="58"/>
  <c r="A38" i="70"/>
  <c r="A46" i="71"/>
  <c r="A43" i="37"/>
  <c r="A47" i="54"/>
  <c r="A46" i="6"/>
  <c r="A38" i="56"/>
  <c r="A38" i="34"/>
  <c r="A46" i="31"/>
  <c r="A46" i="4"/>
  <c r="A37" i="46"/>
  <c r="A38" i="62"/>
  <c r="A38" i="20"/>
  <c r="A39" i="8"/>
  <c r="A43" i="74"/>
  <c r="A50" i="72"/>
  <c r="A47" i="7"/>
  <c r="A46" i="3"/>
  <c r="A36" i="48"/>
  <c r="A38" i="61"/>
  <c r="A38" i="17"/>
  <c r="C606" i="1"/>
  <c r="C407" i="1"/>
  <c r="I407" i="1"/>
  <c r="A69" i="86"/>
  <c r="A53" i="47"/>
  <c r="A69" i="7"/>
  <c r="A67" i="5"/>
  <c r="A61" i="56"/>
  <c r="A61" i="18"/>
  <c r="A60" i="20"/>
  <c r="A62" i="8"/>
  <c r="A67" i="4"/>
  <c r="A63" i="17"/>
  <c r="A61" i="19"/>
  <c r="A68" i="30"/>
  <c r="A60" i="33"/>
  <c r="A67" i="6"/>
  <c r="A56" i="46"/>
  <c r="A59" i="44"/>
  <c r="A58" i="48"/>
  <c r="A67" i="78"/>
  <c r="A62" i="74"/>
  <c r="A66" i="55"/>
  <c r="A69" i="31"/>
  <c r="A70" i="51"/>
  <c r="A68" i="53"/>
  <c r="A61" i="62"/>
  <c r="A70" i="37"/>
  <c r="A57" i="81"/>
  <c r="A61" i="61"/>
  <c r="A68" i="54"/>
  <c r="A61" i="34"/>
  <c r="A68" i="71"/>
  <c r="A60" i="70"/>
  <c r="A57" i="80"/>
  <c r="A60" i="58"/>
  <c r="A62" i="86"/>
  <c r="A60" i="4"/>
  <c r="A60" i="6"/>
  <c r="A60" i="55"/>
  <c r="A61" i="54"/>
  <c r="A61" i="71"/>
  <c r="A62" i="31"/>
  <c r="A60" i="5"/>
  <c r="A64" i="51"/>
  <c r="A62" i="7"/>
  <c r="A60" i="85"/>
  <c r="A61" i="30"/>
  <c r="A60" i="3"/>
  <c r="A26" i="88"/>
  <c r="A26" i="31"/>
  <c r="A29" i="51"/>
  <c r="A23" i="62"/>
  <c r="A25" i="74"/>
  <c r="A26" i="54"/>
  <c r="A28" i="53"/>
  <c r="A28" i="78"/>
  <c r="A24" i="8"/>
  <c r="A24" i="81"/>
  <c r="A26" i="5"/>
  <c r="A24" i="80"/>
  <c r="A23" i="46"/>
  <c r="A23" i="58"/>
  <c r="A26" i="30"/>
  <c r="A28" i="55"/>
  <c r="A25" i="37"/>
  <c r="A26" i="7"/>
  <c r="A21" i="47"/>
  <c r="A26" i="71"/>
  <c r="A23" i="61"/>
  <c r="A26" i="6"/>
  <c r="A23" i="56"/>
  <c r="A23" i="34"/>
  <c r="A26" i="4"/>
  <c r="A37" i="87"/>
  <c r="A40" i="51"/>
  <c r="A38" i="53"/>
  <c r="A36" i="71"/>
  <c r="A34" i="37"/>
  <c r="A39" i="53"/>
  <c r="A39" i="78"/>
  <c r="A37" i="4"/>
  <c r="A36" i="6"/>
  <c r="A36" i="7"/>
  <c r="A36" i="31"/>
  <c r="A36" i="5"/>
  <c r="A38" i="78"/>
  <c r="A41" i="51"/>
  <c r="A36" i="30"/>
  <c r="A36" i="54"/>
  <c r="A34" i="74"/>
  <c r="A37" i="5"/>
  <c r="A39" i="55"/>
  <c r="A37" i="30"/>
  <c r="A38" i="55"/>
  <c r="A36" i="4"/>
  <c r="A25" i="56"/>
  <c r="A26" i="8"/>
  <c r="A9" i="3"/>
  <c r="A8" i="72"/>
  <c r="I31" i="88"/>
  <c r="I46" i="46"/>
  <c r="I51" i="55"/>
  <c r="I54" i="71"/>
  <c r="I48" i="74"/>
  <c r="I50" i="55"/>
  <c r="I50" i="74"/>
  <c r="I44" i="47"/>
  <c r="I49" i="37"/>
  <c r="I52" i="51"/>
  <c r="I53" i="51"/>
  <c r="I51" i="37"/>
  <c r="B19" i="86"/>
  <c r="B19" i="85"/>
  <c r="B19" i="5"/>
  <c r="B19" i="54"/>
  <c r="B21" i="53"/>
  <c r="B21" i="78"/>
  <c r="B19" i="30"/>
  <c r="B19" i="7"/>
  <c r="B19" i="31"/>
  <c r="B19" i="6"/>
  <c r="B19" i="3"/>
  <c r="B22" i="51"/>
  <c r="B19" i="4"/>
  <c r="B19" i="74"/>
  <c r="B19" i="71"/>
  <c r="B22" i="55"/>
  <c r="B19" i="37"/>
  <c r="E27" i="3"/>
  <c r="E28" i="72"/>
  <c r="D3" i="57"/>
  <c r="E27" i="86"/>
  <c r="D74" i="42"/>
  <c r="G7" i="57"/>
  <c r="E27" i="30"/>
  <c r="E27" i="31"/>
  <c r="G8" i="57"/>
  <c r="A50" i="70"/>
  <c r="A50" i="17"/>
  <c r="A50" i="18"/>
  <c r="A49" i="44"/>
  <c r="A50" i="61"/>
  <c r="A46" i="80"/>
  <c r="A48" i="48"/>
  <c r="A50" i="58"/>
  <c r="A51" i="8"/>
  <c r="A50" i="33"/>
  <c r="A50" i="20"/>
  <c r="A50" i="19"/>
  <c r="A50" i="34"/>
  <c r="A43" i="47"/>
  <c r="A50" i="56"/>
  <c r="A45" i="46"/>
  <c r="A46" i="81"/>
  <c r="A50" i="62"/>
  <c r="A30" i="3"/>
  <c r="A28" i="8"/>
  <c r="A30" i="85"/>
  <c r="A31" i="72"/>
  <c r="A27" i="18"/>
  <c r="A30" i="4"/>
  <c r="A29" i="74"/>
  <c r="A27" i="56"/>
  <c r="A29" i="37"/>
  <c r="A55" i="56"/>
  <c r="A51" i="80"/>
  <c r="A50" i="46"/>
  <c r="A55" i="17"/>
  <c r="A55" i="34"/>
  <c r="A55" i="18"/>
  <c r="A51" i="81"/>
  <c r="A55" i="62"/>
  <c r="A55" i="19"/>
  <c r="A56" i="8"/>
  <c r="A55" i="61"/>
  <c r="D41" i="3"/>
  <c r="D42" i="72"/>
  <c r="C3" i="57"/>
  <c r="C74" i="42"/>
  <c r="A53" i="86"/>
  <c r="A52" i="30"/>
  <c r="A53" i="71"/>
  <c r="A53" i="31"/>
  <c r="A54" i="20"/>
  <c r="A55" i="8"/>
  <c r="A50" i="81"/>
  <c r="A54" i="70"/>
  <c r="A47" i="47"/>
  <c r="A54" i="34"/>
  <c r="A54" i="19"/>
  <c r="A54" i="61"/>
  <c r="A54" i="33"/>
  <c r="A54" i="62"/>
  <c r="A50" i="80"/>
  <c r="A53" i="44"/>
  <c r="A49" i="46"/>
  <c r="A52" i="48"/>
  <c r="A54" i="18"/>
  <c r="A54" i="58"/>
  <c r="A54" i="56"/>
  <c r="A54" i="17"/>
  <c r="A44" i="86"/>
  <c r="A35" i="44"/>
  <c r="A44" i="5"/>
  <c r="A36" i="58"/>
  <c r="A36" i="34"/>
  <c r="A36" i="62"/>
  <c r="A37" i="8"/>
  <c r="A40" i="80"/>
  <c r="A36" i="70"/>
  <c r="A52" i="51"/>
  <c r="A50" i="55"/>
  <c r="A48" i="72"/>
  <c r="A36" i="56"/>
  <c r="A44" i="31"/>
  <c r="A41" i="74"/>
  <c r="A44" i="6"/>
  <c r="A36" i="33"/>
  <c r="A44" i="71"/>
  <c r="A44" i="3"/>
  <c r="A41" i="37"/>
  <c r="A34" i="48"/>
  <c r="A36" i="18"/>
  <c r="A44" i="4"/>
  <c r="A45" i="7"/>
  <c r="A44" i="30"/>
  <c r="A50" i="53"/>
  <c r="A33" i="47"/>
  <c r="A35" i="46"/>
  <c r="A40" i="81"/>
  <c r="A36" i="19"/>
  <c r="A36" i="61"/>
  <c r="A36" i="17"/>
  <c r="A36" i="20"/>
  <c r="A45" i="54"/>
  <c r="A50" i="78"/>
  <c r="A32" i="86"/>
  <c r="A32" i="7"/>
  <c r="A29" i="58"/>
  <c r="A29" i="62"/>
  <c r="A32" i="5"/>
  <c r="A32" i="30"/>
  <c r="A34" i="55"/>
  <c r="A30" i="80"/>
  <c r="A32" i="31"/>
  <c r="A30" i="81"/>
  <c r="A31" i="37"/>
  <c r="A31" i="74"/>
  <c r="A32" i="54"/>
  <c r="A29" i="61"/>
  <c r="A32" i="71"/>
  <c r="A34" i="78"/>
  <c r="A34" i="53"/>
  <c r="A32" i="6"/>
  <c r="A35" i="51"/>
  <c r="I341" i="1"/>
  <c r="I342" i="1"/>
  <c r="I340" i="1"/>
  <c r="C341" i="1"/>
  <c r="C342" i="1"/>
  <c r="C340" i="1"/>
  <c r="I673" i="1"/>
  <c r="C673" i="1"/>
  <c r="C791" i="1"/>
  <c r="I791" i="1"/>
  <c r="I85" i="1"/>
  <c r="C88" i="1"/>
  <c r="I86" i="1"/>
  <c r="C84" i="1"/>
  <c r="I87" i="1"/>
  <c r="I88" i="1"/>
  <c r="I84" i="1"/>
  <c r="C85" i="1"/>
  <c r="C86" i="1"/>
  <c r="C87" i="1"/>
  <c r="A50" i="86"/>
  <c r="A50" i="87"/>
  <c r="A50" i="88"/>
  <c r="A49" i="30"/>
  <c r="A50" i="54"/>
  <c r="A46" i="74"/>
  <c r="A50" i="71"/>
  <c r="A50" i="7"/>
  <c r="A50" i="31"/>
  <c r="A47" i="37"/>
  <c r="B2" i="86"/>
  <c r="B2" i="88"/>
  <c r="B2" i="87"/>
  <c r="B2" i="46"/>
  <c r="B2" i="58"/>
  <c r="B2" i="61"/>
  <c r="B2" i="17"/>
  <c r="B2" i="74"/>
  <c r="B2" i="56"/>
  <c r="B2" i="30"/>
  <c r="B2" i="6"/>
  <c r="B2" i="54"/>
  <c r="B2" i="53"/>
  <c r="B2" i="55"/>
  <c r="B2" i="48"/>
  <c r="B2" i="51"/>
  <c r="B2" i="7"/>
  <c r="B2" i="71"/>
  <c r="B2" i="78"/>
  <c r="B2" i="72"/>
  <c r="B2" i="4"/>
  <c r="B2" i="33"/>
  <c r="B2" i="18"/>
  <c r="B2" i="81"/>
  <c r="B2" i="34"/>
  <c r="B2" i="47"/>
  <c r="B2" i="37"/>
  <c r="B2" i="5"/>
  <c r="B2" i="20"/>
  <c r="B2" i="80"/>
  <c r="B2" i="70"/>
  <c r="B2" i="44"/>
  <c r="B2" i="3"/>
  <c r="B2" i="62"/>
  <c r="B2" i="8"/>
  <c r="B2" i="31"/>
  <c r="B2" i="19"/>
  <c r="A35" i="85"/>
  <c r="A35" i="87"/>
  <c r="A35" i="88"/>
  <c r="A35" i="54"/>
  <c r="A35" i="5"/>
  <c r="A35" i="4"/>
  <c r="A53" i="30"/>
  <c r="A37" i="53"/>
  <c r="A35" i="7"/>
  <c r="A35" i="30"/>
  <c r="A37" i="55"/>
  <c r="A35" i="31"/>
  <c r="A35" i="71"/>
  <c r="A37" i="78"/>
  <c r="A35" i="6"/>
  <c r="A39" i="51"/>
  <c r="A35" i="86"/>
  <c r="A53" i="87"/>
  <c r="A53" i="88"/>
  <c r="C812" i="1"/>
  <c r="I247" i="1"/>
  <c r="C250" i="1"/>
  <c r="I248" i="1"/>
  <c r="C246" i="1"/>
  <c r="I249" i="1"/>
  <c r="I250" i="1"/>
  <c r="I246" i="1"/>
  <c r="C247" i="1"/>
  <c r="C248" i="1"/>
  <c r="C249" i="1"/>
  <c r="C42" i="1"/>
  <c r="C520" i="1"/>
  <c r="L73" i="4"/>
  <c r="K58" i="81"/>
  <c r="I289" i="1"/>
  <c r="I62" i="1"/>
  <c r="C62" i="1"/>
  <c r="C680" i="1"/>
  <c r="L66" i="33"/>
  <c r="C360" i="1"/>
  <c r="C207" i="1"/>
  <c r="G207" i="1" s="1"/>
  <c r="C616" i="1"/>
  <c r="C59" i="1"/>
  <c r="I208" i="1"/>
  <c r="I380" i="1"/>
  <c r="C478" i="1"/>
  <c r="C186" i="1"/>
  <c r="C210" i="1"/>
  <c r="C525" i="1"/>
  <c r="C63" i="1"/>
  <c r="C206" i="1"/>
  <c r="C596" i="1"/>
  <c r="C381" i="1"/>
  <c r="C289" i="1"/>
  <c r="I379" i="1"/>
  <c r="C410" i="1"/>
  <c r="I286" i="1"/>
  <c r="C467" i="1"/>
  <c r="L71" i="86"/>
  <c r="I287" i="1"/>
  <c r="I209" i="1"/>
  <c r="I272" i="1"/>
  <c r="C286" i="1"/>
  <c r="I448" i="1"/>
  <c r="C484" i="1"/>
  <c r="I271" i="1"/>
  <c r="C319" i="1"/>
  <c r="C448" i="1"/>
  <c r="I269" i="1"/>
  <c r="I319" i="1"/>
  <c r="C449" i="1"/>
  <c r="C272" i="1"/>
  <c r="I318" i="1"/>
  <c r="C380" i="1"/>
  <c r="C287" i="1"/>
  <c r="I447" i="1"/>
  <c r="C271" i="1"/>
  <c r="I60" i="1"/>
  <c r="I360" i="1"/>
  <c r="C269" i="1"/>
  <c r="C317" i="1"/>
  <c r="I358" i="1"/>
  <c r="K59" i="80"/>
  <c r="C190" i="1"/>
  <c r="K68" i="78"/>
  <c r="I359" i="1"/>
  <c r="C584" i="1"/>
  <c r="I59" i="1"/>
  <c r="C358" i="1"/>
  <c r="C187" i="1"/>
  <c r="I61" i="1"/>
  <c r="K70" i="53"/>
  <c r="C684" i="1"/>
  <c r="C72" i="1"/>
  <c r="C193" i="1"/>
  <c r="C565" i="1"/>
  <c r="C805" i="1"/>
  <c r="C194" i="1"/>
  <c r="C761" i="1"/>
  <c r="L78" i="31"/>
  <c r="C592" i="1"/>
  <c r="C143" i="1"/>
  <c r="I841" i="1"/>
  <c r="C841" i="1"/>
  <c r="C117" i="1"/>
  <c r="C70" i="1"/>
  <c r="C587" i="1"/>
  <c r="C191" i="1"/>
  <c r="C192" i="1"/>
  <c r="R21" i="31"/>
  <c r="S21" i="31" s="1"/>
  <c r="T21" i="31" s="1"/>
  <c r="R29" i="31"/>
  <c r="R30" i="31"/>
  <c r="C108" i="1"/>
  <c r="C140" i="1"/>
  <c r="I838" i="1"/>
  <c r="C838" i="1"/>
  <c r="C609" i="1"/>
  <c r="C619" i="1"/>
  <c r="C579" i="1"/>
  <c r="C144" i="1"/>
  <c r="I747" i="1"/>
  <c r="I746" i="1"/>
  <c r="C748" i="1"/>
  <c r="C747" i="1"/>
  <c r="I748" i="1"/>
  <c r="C746" i="1"/>
  <c r="C608" i="1"/>
  <c r="C6" i="1"/>
  <c r="C105" i="1"/>
  <c r="C7" i="1"/>
  <c r="C581" i="1"/>
  <c r="I207" i="1"/>
  <c r="I751" i="1"/>
  <c r="C749" i="1"/>
  <c r="I750" i="1"/>
  <c r="I749" i="1"/>
  <c r="C751" i="1"/>
  <c r="C750" i="1"/>
  <c r="C630" i="1"/>
  <c r="C598" i="1"/>
  <c r="C4" i="1"/>
  <c r="C620" i="1"/>
  <c r="C546" i="1"/>
  <c r="C577" i="1"/>
  <c r="C535" i="1"/>
  <c r="I649" i="1"/>
  <c r="I609" i="1"/>
  <c r="I565" i="1"/>
  <c r="I190" i="1"/>
  <c r="I101" i="1"/>
  <c r="I99" i="1"/>
  <c r="I103" i="1"/>
  <c r="I259" i="1"/>
  <c r="I255" i="1"/>
  <c r="L68" i="56"/>
  <c r="I824" i="1"/>
  <c r="I827" i="1"/>
  <c r="C639" i="1"/>
  <c r="I535" i="1"/>
  <c r="I587" i="1"/>
  <c r="I546" i="1"/>
  <c r="I193" i="1"/>
  <c r="I102" i="1"/>
  <c r="C255" i="1"/>
  <c r="I257" i="1"/>
  <c r="C824" i="1"/>
  <c r="L68" i="8"/>
  <c r="I577" i="1"/>
  <c r="I194" i="1"/>
  <c r="C101" i="1"/>
  <c r="I256" i="1"/>
  <c r="C825" i="1"/>
  <c r="I805" i="1"/>
  <c r="I761" i="1"/>
  <c r="I639" i="1"/>
  <c r="I598" i="1"/>
  <c r="I556" i="1"/>
  <c r="I192" i="1"/>
  <c r="C100" i="1"/>
  <c r="C103" i="1"/>
  <c r="C102" i="1"/>
  <c r="C256" i="1"/>
  <c r="C257" i="1"/>
  <c r="C827" i="1"/>
  <c r="I826" i="1"/>
  <c r="C649" i="1"/>
  <c r="C556" i="1"/>
  <c r="I630" i="1"/>
  <c r="C99" i="1"/>
  <c r="I258" i="1"/>
  <c r="I825" i="1"/>
  <c r="I620" i="1"/>
  <c r="I191" i="1"/>
  <c r="I100" i="1"/>
  <c r="C259" i="1"/>
  <c r="C258" i="1"/>
  <c r="C826" i="1"/>
  <c r="C188" i="1"/>
  <c r="C60" i="1"/>
  <c r="I317" i="1"/>
  <c r="C208" i="1"/>
  <c r="C486" i="1"/>
  <c r="C612" i="1"/>
  <c r="C156" i="1"/>
  <c r="C25" i="1"/>
  <c r="C116" i="1"/>
  <c r="C27" i="1"/>
  <c r="C155" i="1"/>
  <c r="C24" i="1"/>
  <c r="C71" i="1"/>
  <c r="C118" i="1"/>
  <c r="C158" i="1"/>
  <c r="C602" i="1"/>
  <c r="C159" i="1"/>
  <c r="C732" i="1"/>
  <c r="I730" i="1"/>
  <c r="C731" i="1"/>
  <c r="C730" i="1"/>
  <c r="I732" i="1"/>
  <c r="I731" i="1"/>
  <c r="I734" i="1"/>
  <c r="C735" i="1"/>
  <c r="I733" i="1"/>
  <c r="C734" i="1"/>
  <c r="C733" i="1"/>
  <c r="I735" i="1"/>
  <c r="C481" i="1"/>
  <c r="C591" i="1"/>
  <c r="C142" i="1"/>
  <c r="C457" i="1"/>
  <c r="C109" i="1"/>
  <c r="C106" i="1"/>
  <c r="C8" i="1"/>
  <c r="C40" i="1"/>
  <c r="C471" i="1"/>
  <c r="C119" i="1"/>
  <c r="C460" i="1"/>
  <c r="C69" i="1"/>
  <c r="C157" i="1"/>
  <c r="C26" i="1"/>
  <c r="C73" i="1"/>
  <c r="C571" i="1"/>
  <c r="C540" i="1"/>
  <c r="C551" i="1"/>
  <c r="C561" i="1"/>
  <c r="C320" i="1"/>
  <c r="C384" i="1"/>
  <c r="C115" i="1"/>
  <c r="C637" i="1"/>
  <c r="C322" i="1"/>
  <c r="C382" i="1"/>
  <c r="C669" i="1"/>
  <c r="C647" i="1"/>
  <c r="C795" i="1"/>
  <c r="C801" i="1"/>
  <c r="C628" i="1"/>
  <c r="C383" i="1"/>
  <c r="C321" i="1"/>
  <c r="I460" i="1"/>
  <c r="I219" i="1"/>
  <c r="I24" i="1"/>
  <c r="I155" i="1"/>
  <c r="I795" i="1"/>
  <c r="I26" i="1"/>
  <c r="I115" i="1"/>
  <c r="I216" i="1"/>
  <c r="I116" i="1"/>
  <c r="I654" i="1"/>
  <c r="C219" i="1"/>
  <c r="L71" i="31"/>
  <c r="I382" i="1"/>
  <c r="I217" i="1"/>
  <c r="I158" i="1"/>
  <c r="I71" i="1"/>
  <c r="C220" i="1"/>
  <c r="I218" i="1"/>
  <c r="I801" i="1"/>
  <c r="I69" i="1"/>
  <c r="I72" i="1"/>
  <c r="I637" i="1"/>
  <c r="I220" i="1"/>
  <c r="I322" i="1"/>
  <c r="I581" i="1"/>
  <c r="I384" i="1"/>
  <c r="I117" i="1"/>
  <c r="I70" i="1"/>
  <c r="I471" i="1"/>
  <c r="I320" i="1"/>
  <c r="I159" i="1"/>
  <c r="I383" i="1"/>
  <c r="I25" i="1"/>
  <c r="I561" i="1"/>
  <c r="I628" i="1"/>
  <c r="L66" i="17"/>
  <c r="I119" i="1"/>
  <c r="C216" i="1"/>
  <c r="C217" i="1"/>
  <c r="I602" i="1"/>
  <c r="I592" i="1"/>
  <c r="I73" i="1"/>
  <c r="I647" i="1"/>
  <c r="I612" i="1"/>
  <c r="I156" i="1"/>
  <c r="C218" i="1"/>
  <c r="I118" i="1"/>
  <c r="I540" i="1"/>
  <c r="I321" i="1"/>
  <c r="I551" i="1"/>
  <c r="C654" i="1"/>
  <c r="I157" i="1"/>
  <c r="I669" i="1"/>
  <c r="I571" i="1"/>
  <c r="I28" i="1"/>
  <c r="I27" i="1"/>
  <c r="C469" i="1"/>
  <c r="C137" i="1"/>
  <c r="C145" i="1"/>
  <c r="C149" i="1"/>
  <c r="C9" i="1"/>
  <c r="C13" i="1"/>
  <c r="C64" i="1"/>
  <c r="C68" i="1"/>
  <c r="L65" i="33"/>
  <c r="C550" i="1"/>
  <c r="C138" i="1"/>
  <c r="C146" i="1"/>
  <c r="C10" i="1"/>
  <c r="C65" i="1"/>
  <c r="C135" i="1"/>
  <c r="C139" i="1"/>
  <c r="C147" i="1"/>
  <c r="C11" i="1"/>
  <c r="C66" i="1"/>
  <c r="C458" i="1"/>
  <c r="C539" i="1"/>
  <c r="C560" i="1"/>
  <c r="C67" i="1"/>
  <c r="C530" i="1"/>
  <c r="C202" i="1"/>
  <c r="C313" i="1"/>
  <c r="C611" i="1"/>
  <c r="C589" i="1"/>
  <c r="C148" i="1"/>
  <c r="C586" i="1"/>
  <c r="C12" i="1"/>
  <c r="C793" i="1"/>
  <c r="C799" i="1"/>
  <c r="C204" i="1"/>
  <c r="C307" i="1"/>
  <c r="C375" i="1"/>
  <c r="C600" i="1"/>
  <c r="C136" i="1"/>
  <c r="C632" i="1"/>
  <c r="C685" i="1"/>
  <c r="C201" i="1"/>
  <c r="C205" i="1"/>
  <c r="C316" i="1"/>
  <c r="C372" i="1"/>
  <c r="C302" i="1"/>
  <c r="C570" i="1"/>
  <c r="C622" i="1"/>
  <c r="C203" i="1"/>
  <c r="C378" i="1"/>
  <c r="C642" i="1"/>
  <c r="C310" i="1"/>
  <c r="C668" i="1"/>
  <c r="C490" i="1"/>
  <c r="I13" i="1"/>
  <c r="I685" i="1"/>
  <c r="I136" i="1"/>
  <c r="I146" i="1"/>
  <c r="I313" i="1"/>
  <c r="I530" i="1"/>
  <c r="I139" i="1"/>
  <c r="I201" i="1"/>
  <c r="I137" i="1"/>
  <c r="I642" i="1"/>
  <c r="I539" i="1"/>
  <c r="I148" i="1"/>
  <c r="I310" i="1"/>
  <c r="I135" i="1"/>
  <c r="I12" i="1"/>
  <c r="I68" i="1"/>
  <c r="I632" i="1"/>
  <c r="I307" i="1"/>
  <c r="L69" i="31"/>
  <c r="I9" i="1"/>
  <c r="I611" i="1"/>
  <c r="I138" i="1"/>
  <c r="I668" i="1"/>
  <c r="I147" i="1"/>
  <c r="I66" i="1"/>
  <c r="I458" i="1"/>
  <c r="I550" i="1"/>
  <c r="I149" i="1"/>
  <c r="I302" i="1"/>
  <c r="I202" i="1"/>
  <c r="I11" i="1"/>
  <c r="I600" i="1"/>
  <c r="I560" i="1"/>
  <c r="I469" i="1"/>
  <c r="I67" i="1"/>
  <c r="I64" i="1"/>
  <c r="I204" i="1"/>
  <c r="I586" i="1"/>
  <c r="I205" i="1"/>
  <c r="I799" i="1"/>
  <c r="I622" i="1"/>
  <c r="I793" i="1"/>
  <c r="I372" i="1"/>
  <c r="I570" i="1"/>
  <c r="I316" i="1"/>
  <c r="I145" i="1"/>
  <c r="I375" i="1"/>
  <c r="I65" i="1"/>
  <c r="I10" i="1"/>
  <c r="I490" i="1"/>
  <c r="I203" i="1"/>
  <c r="I378" i="1"/>
  <c r="I589" i="1"/>
  <c r="C473" i="1"/>
  <c r="C617" i="1"/>
  <c r="C128" i="1"/>
  <c r="C166" i="1"/>
  <c r="C35" i="1"/>
  <c r="C80" i="1"/>
  <c r="C573" i="1"/>
  <c r="C607" i="1"/>
  <c r="C597" i="1"/>
  <c r="C125" i="1"/>
  <c r="C129" i="1"/>
  <c r="C167" i="1"/>
  <c r="C36" i="1"/>
  <c r="C81" i="1"/>
  <c r="C462" i="1"/>
  <c r="C583" i="1"/>
  <c r="C126" i="1"/>
  <c r="C168" i="1"/>
  <c r="C37" i="1"/>
  <c r="C82" i="1"/>
  <c r="C650" i="1"/>
  <c r="C640" i="1"/>
  <c r="C169" i="1"/>
  <c r="C34" i="1"/>
  <c r="C566" i="1"/>
  <c r="C327" i="1"/>
  <c r="C388" i="1"/>
  <c r="C38" i="1"/>
  <c r="C79" i="1"/>
  <c r="C127" i="1"/>
  <c r="C83" i="1"/>
  <c r="C542" i="1"/>
  <c r="C553" i="1"/>
  <c r="C631" i="1"/>
  <c r="C390" i="1"/>
  <c r="C165" i="1"/>
  <c r="C326" i="1"/>
  <c r="C672" i="1"/>
  <c r="C328" i="1"/>
  <c r="C389" i="1"/>
  <c r="C797" i="1"/>
  <c r="C803" i="1"/>
  <c r="I128" i="1"/>
  <c r="I573" i="1"/>
  <c r="I167" i="1"/>
  <c r="I169" i="1"/>
  <c r="I35" i="1"/>
  <c r="I168" i="1"/>
  <c r="I126" i="1"/>
  <c r="I607" i="1"/>
  <c r="I597" i="1"/>
  <c r="I79" i="1"/>
  <c r="C230" i="1"/>
  <c r="C226" i="1"/>
  <c r="I127" i="1"/>
  <c r="I81" i="1"/>
  <c r="I566" i="1"/>
  <c r="C228" i="1"/>
  <c r="I125" i="1"/>
  <c r="I36" i="1"/>
  <c r="I80" i="1"/>
  <c r="L73" i="31"/>
  <c r="I640" i="1"/>
  <c r="I390" i="1"/>
  <c r="L68" i="17"/>
  <c r="I327" i="1"/>
  <c r="I165" i="1"/>
  <c r="I82" i="1"/>
  <c r="I328" i="1"/>
  <c r="I473" i="1"/>
  <c r="I389" i="1"/>
  <c r="I542" i="1"/>
  <c r="C229" i="1"/>
  <c r="I230" i="1"/>
  <c r="I631" i="1"/>
  <c r="I37" i="1"/>
  <c r="I38" i="1"/>
  <c r="I166" i="1"/>
  <c r="L73" i="86"/>
  <c r="I228" i="1"/>
  <c r="C656" i="1"/>
  <c r="I388" i="1"/>
  <c r="I672" i="1"/>
  <c r="I803" i="1"/>
  <c r="I227" i="1"/>
  <c r="C227" i="1"/>
  <c r="I34" i="1"/>
  <c r="I83" i="1"/>
  <c r="I617" i="1"/>
  <c r="I226" i="1"/>
  <c r="I229" i="1"/>
  <c r="I129" i="1"/>
  <c r="I650" i="1"/>
  <c r="I583" i="1"/>
  <c r="I797" i="1"/>
  <c r="I656" i="1"/>
  <c r="I462" i="1"/>
  <c r="I326" i="1"/>
  <c r="I553" i="1"/>
  <c r="C470" i="1"/>
  <c r="L69" i="88"/>
  <c r="C842" i="1"/>
  <c r="C839" i="1"/>
  <c r="L69" i="87"/>
  <c r="C601" i="1"/>
  <c r="C590" i="1"/>
  <c r="C112" i="1"/>
  <c r="C153" i="1"/>
  <c r="C17" i="1"/>
  <c r="C46" i="1"/>
  <c r="C294" i="1"/>
  <c r="C298" i="1"/>
  <c r="C365" i="1"/>
  <c r="C453" i="1"/>
  <c r="C526" i="1"/>
  <c r="C623" i="1"/>
  <c r="C633" i="1"/>
  <c r="C643" i="1"/>
  <c r="C703" i="1"/>
  <c r="C707" i="1"/>
  <c r="C716" i="1"/>
  <c r="C538" i="1"/>
  <c r="C794" i="1"/>
  <c r="C762" i="1"/>
  <c r="C483" i="1"/>
  <c r="C618" i="1"/>
  <c r="C580" i="1"/>
  <c r="C113" i="1"/>
  <c r="C150" i="1"/>
  <c r="C154" i="1"/>
  <c r="C14" i="1"/>
  <c r="C18" i="1"/>
  <c r="C47" i="1"/>
  <c r="I843" i="1"/>
  <c r="I842" i="1"/>
  <c r="I839" i="1"/>
  <c r="C110" i="1"/>
  <c r="C114" i="1"/>
  <c r="C151" i="1"/>
  <c r="C15" i="1"/>
  <c r="C44" i="1"/>
  <c r="C48" i="1"/>
  <c r="C296" i="1"/>
  <c r="C455" i="1"/>
  <c r="C705" i="1"/>
  <c r="C714" i="1"/>
  <c r="C559" i="1"/>
  <c r="C652" i="1"/>
  <c r="C800" i="1"/>
  <c r="I835" i="1"/>
  <c r="C843" i="1"/>
  <c r="C835" i="1"/>
  <c r="C111" i="1"/>
  <c r="C459" i="1"/>
  <c r="C480" i="1"/>
  <c r="C717" i="1"/>
  <c r="C569" i="1"/>
  <c r="C657" i="1"/>
  <c r="C267" i="1"/>
  <c r="C696" i="1"/>
  <c r="C211" i="1"/>
  <c r="C215" i="1"/>
  <c r="C309" i="1"/>
  <c r="C377" i="1"/>
  <c r="C667" i="1"/>
  <c r="C489" i="1"/>
  <c r="C679" i="1"/>
  <c r="C152" i="1"/>
  <c r="C45" i="1"/>
  <c r="C295" i="1"/>
  <c r="C366" i="1"/>
  <c r="C522" i="1"/>
  <c r="C704" i="1"/>
  <c r="C713" i="1"/>
  <c r="C767" i="1"/>
  <c r="C682" i="1"/>
  <c r="C277" i="1"/>
  <c r="C694" i="1"/>
  <c r="C213" i="1"/>
  <c r="C315" i="1"/>
  <c r="C371" i="1"/>
  <c r="C487" i="1"/>
  <c r="C301" i="1"/>
  <c r="C16" i="1"/>
  <c r="C297" i="1"/>
  <c r="C706" i="1"/>
  <c r="C715" i="1"/>
  <c r="C549" i="1"/>
  <c r="C686" i="1"/>
  <c r="C529" i="1"/>
  <c r="C266" i="1"/>
  <c r="C278" i="1"/>
  <c r="C695" i="1"/>
  <c r="C214" i="1"/>
  <c r="C312" i="1"/>
  <c r="C498" i="1"/>
  <c r="C693" i="1"/>
  <c r="C374" i="1"/>
  <c r="C454" i="1"/>
  <c r="C765" i="1"/>
  <c r="C697" i="1"/>
  <c r="C306" i="1"/>
  <c r="C364" i="1"/>
  <c r="C268" i="1"/>
  <c r="C212" i="1"/>
  <c r="L69" i="86"/>
  <c r="I794" i="1"/>
  <c r="I682" i="1"/>
  <c r="I455" i="1"/>
  <c r="I643" i="1"/>
  <c r="I152" i="1"/>
  <c r="I14" i="1"/>
  <c r="I590" i="1"/>
  <c r="I374" i="1"/>
  <c r="I657" i="1"/>
  <c r="C352" i="1"/>
  <c r="C509" i="1"/>
  <c r="C662" i="1"/>
  <c r="C351" i="1"/>
  <c r="I154" i="1"/>
  <c r="I18" i="1"/>
  <c r="I296" i="1"/>
  <c r="C442" i="1"/>
  <c r="I459" i="1"/>
  <c r="I496" i="1"/>
  <c r="I517" i="1"/>
  <c r="I352" i="1"/>
  <c r="C664" i="1"/>
  <c r="I769" i="1"/>
  <c r="I440" i="1"/>
  <c r="I306" i="1"/>
  <c r="I704" i="1"/>
  <c r="I351" i="1"/>
  <c r="C769" i="1"/>
  <c r="I470" i="1"/>
  <c r="I213" i="1"/>
  <c r="I483" i="1"/>
  <c r="C441" i="1"/>
  <c r="L70" i="31"/>
  <c r="I716" i="1"/>
  <c r="I277" i="1"/>
  <c r="I489" i="1"/>
  <c r="I150" i="1"/>
  <c r="I377" i="1"/>
  <c r="C786" i="1"/>
  <c r="I454" i="1"/>
  <c r="I45" i="1"/>
  <c r="I511" i="1"/>
  <c r="I652" i="1"/>
  <c r="I696" i="1"/>
  <c r="C517" i="1"/>
  <c r="I503" i="1"/>
  <c r="I623" i="1"/>
  <c r="I44" i="1"/>
  <c r="I762" i="1"/>
  <c r="I493" i="1"/>
  <c r="I487" i="1"/>
  <c r="C353" i="1"/>
  <c r="I312" i="1"/>
  <c r="I686" i="1"/>
  <c r="I569" i="1"/>
  <c r="I295" i="1"/>
  <c r="C514" i="1"/>
  <c r="C758" i="1"/>
  <c r="I713" i="1"/>
  <c r="I114" i="1"/>
  <c r="I453" i="1"/>
  <c r="I800" i="1"/>
  <c r="I112" i="1"/>
  <c r="I353" i="1"/>
  <c r="I706" i="1"/>
  <c r="L65" i="17"/>
  <c r="I666" i="1"/>
  <c r="I509" i="1"/>
  <c r="I697" i="1"/>
  <c r="I506" i="1"/>
  <c r="I717" i="1"/>
  <c r="I662" i="1"/>
  <c r="C440" i="1"/>
  <c r="I298" i="1"/>
  <c r="I559" i="1"/>
  <c r="I707" i="1"/>
  <c r="I526" i="1"/>
  <c r="I309" i="1"/>
  <c r="I498" i="1"/>
  <c r="I214" i="1"/>
  <c r="I266" i="1"/>
  <c r="I110" i="1"/>
  <c r="I529" i="1"/>
  <c r="C660" i="1"/>
  <c r="I17" i="1"/>
  <c r="I111" i="1"/>
  <c r="I601" i="1"/>
  <c r="I315" i="1"/>
  <c r="I618" i="1"/>
  <c r="C787" i="1"/>
  <c r="I580" i="1"/>
  <c r="I15" i="1"/>
  <c r="I514" i="1"/>
  <c r="I301" i="1"/>
  <c r="I294" i="1"/>
  <c r="C666" i="1"/>
  <c r="C785" i="1"/>
  <c r="I480" i="1"/>
  <c r="I549" i="1"/>
  <c r="C496" i="1"/>
  <c r="I151" i="1"/>
  <c r="I765" i="1"/>
  <c r="I522" i="1"/>
  <c r="C511" i="1"/>
  <c r="I211" i="1"/>
  <c r="I693" i="1"/>
  <c r="I371" i="1"/>
  <c r="I366" i="1"/>
  <c r="I694" i="1"/>
  <c r="I660" i="1"/>
  <c r="I442" i="1"/>
  <c r="I364" i="1"/>
  <c r="I767" i="1"/>
  <c r="I267" i="1"/>
  <c r="I113" i="1"/>
  <c r="I664" i="1"/>
  <c r="I297" i="1"/>
  <c r="I705" i="1"/>
  <c r="I441" i="1"/>
  <c r="I47" i="1"/>
  <c r="C506" i="1"/>
  <c r="I16" i="1"/>
  <c r="I715" i="1"/>
  <c r="C503" i="1"/>
  <c r="I633" i="1"/>
  <c r="I714" i="1"/>
  <c r="I48" i="1"/>
  <c r="I46" i="1"/>
  <c r="I758" i="1"/>
  <c r="I667" i="1"/>
  <c r="I153" i="1"/>
  <c r="I538" i="1"/>
  <c r="I212" i="1"/>
  <c r="I365" i="1"/>
  <c r="I278" i="1"/>
  <c r="I215" i="1"/>
  <c r="I268" i="1"/>
  <c r="I695" i="1"/>
  <c r="C493" i="1"/>
  <c r="I703" i="1"/>
  <c r="C468" i="1"/>
  <c r="C39" i="1"/>
  <c r="C356" i="1"/>
  <c r="C446" i="1"/>
  <c r="C282" i="1"/>
  <c r="C558" i="1"/>
  <c r="C699" i="1"/>
  <c r="C712" i="1"/>
  <c r="C776" i="1"/>
  <c r="C771" i="1"/>
  <c r="B30" i="46" s="1"/>
  <c r="C687" i="1"/>
  <c r="C683" i="1"/>
  <c r="C659" i="1"/>
  <c r="C663" i="1"/>
  <c r="B31" i="20" s="1"/>
  <c r="C798" i="1"/>
  <c r="I844" i="1"/>
  <c r="C840" i="1"/>
  <c r="C837" i="1"/>
  <c r="C107" i="1"/>
  <c r="C43" i="1"/>
  <c r="I836" i="1"/>
  <c r="C844" i="1"/>
  <c r="L68" i="88"/>
  <c r="C836" i="1"/>
  <c r="C444" i="1"/>
  <c r="C284" i="1"/>
  <c r="C519" i="1"/>
  <c r="C646" i="1"/>
  <c r="C708" i="1"/>
  <c r="C768" i="1"/>
  <c r="C548" i="1"/>
  <c r="C701" i="1"/>
  <c r="C710" i="1"/>
  <c r="C764" i="1"/>
  <c r="C661" i="1"/>
  <c r="C658" i="1"/>
  <c r="C790" i="1"/>
  <c r="I840" i="1"/>
  <c r="I837" i="1"/>
  <c r="L68" i="87"/>
  <c r="C141" i="1"/>
  <c r="C281" i="1"/>
  <c r="C524" i="1"/>
  <c r="C445" i="1"/>
  <c r="C283" i="1"/>
  <c r="C634" i="1"/>
  <c r="C537" i="1"/>
  <c r="C700" i="1"/>
  <c r="C709" i="1"/>
  <c r="C766" i="1"/>
  <c r="C759" i="1"/>
  <c r="C728" i="1"/>
  <c r="C516" i="1"/>
  <c r="B36" i="55" s="1"/>
  <c r="C263" i="1"/>
  <c r="C688" i="1"/>
  <c r="C692" i="1"/>
  <c r="C198" i="1"/>
  <c r="C305" i="1"/>
  <c r="C373" i="1"/>
  <c r="C499" i="1"/>
  <c r="C5" i="1"/>
  <c r="C355" i="1"/>
  <c r="C624" i="1"/>
  <c r="C568" i="1"/>
  <c r="C723" i="1"/>
  <c r="C349" i="1"/>
  <c r="C438" i="1"/>
  <c r="C265" i="1"/>
  <c r="C690" i="1"/>
  <c r="C773" i="1"/>
  <c r="C200" i="1"/>
  <c r="C718" i="1"/>
  <c r="C502" i="1"/>
  <c r="C311" i="1"/>
  <c r="C492" i="1"/>
  <c r="C495" i="1"/>
  <c r="C678" i="1"/>
  <c r="C332" i="1"/>
  <c r="C357" i="1"/>
  <c r="C477" i="1"/>
  <c r="C698" i="1"/>
  <c r="C757" i="1"/>
  <c r="C739" i="1"/>
  <c r="C513" i="1"/>
  <c r="C350" i="1"/>
  <c r="C439" i="1"/>
  <c r="C262" i="1"/>
  <c r="C691" i="1"/>
  <c r="C197" i="1"/>
  <c r="C308" i="1"/>
  <c r="C376" i="1"/>
  <c r="C510" i="1"/>
  <c r="C670" i="1"/>
  <c r="C488" i="1"/>
  <c r="C397" i="1"/>
  <c r="I488" i="1"/>
  <c r="C285" i="1"/>
  <c r="C702" i="1"/>
  <c r="C528" i="1"/>
  <c r="C348" i="1"/>
  <c r="C261" i="1"/>
  <c r="C199" i="1"/>
  <c r="C300" i="1"/>
  <c r="C711" i="1"/>
  <c r="C744" i="1"/>
  <c r="C264" i="1"/>
  <c r="C485" i="1"/>
  <c r="C653" i="1"/>
  <c r="C437" i="1"/>
  <c r="C196" i="1"/>
  <c r="C429" i="1"/>
  <c r="C689" i="1"/>
  <c r="C314" i="1"/>
  <c r="C370" i="1"/>
  <c r="C665" i="1"/>
  <c r="I784" i="1"/>
  <c r="I787" i="1"/>
  <c r="I774" i="1"/>
  <c r="I775" i="1"/>
  <c r="I109" i="1"/>
  <c r="I42" i="1"/>
  <c r="I790" i="1"/>
  <c r="I264" i="1"/>
  <c r="C754" i="1"/>
  <c r="I444" i="1"/>
  <c r="C753" i="1"/>
  <c r="C775" i="1"/>
  <c r="I798" i="1"/>
  <c r="I505" i="1"/>
  <c r="I415" i="1"/>
  <c r="I738" i="1"/>
  <c r="C743" i="1"/>
  <c r="I263" i="1"/>
  <c r="I519" i="1"/>
  <c r="I699" i="1"/>
  <c r="I105" i="1"/>
  <c r="I579" i="1"/>
  <c r="I712" i="1"/>
  <c r="I700" i="1"/>
  <c r="I739" i="1"/>
  <c r="C505" i="1"/>
  <c r="C752" i="1"/>
  <c r="I772" i="1"/>
  <c r="I736" i="1"/>
  <c r="I283" i="1"/>
  <c r="I508" i="1"/>
  <c r="C780" i="1"/>
  <c r="I753" i="1"/>
  <c r="I423" i="1"/>
  <c r="C779" i="1"/>
  <c r="I311" i="1"/>
  <c r="I701" i="1"/>
  <c r="I356" i="1"/>
  <c r="I107" i="1"/>
  <c r="I373" i="1"/>
  <c r="C725" i="1"/>
  <c r="I740" i="1"/>
  <c r="I771" i="1"/>
  <c r="I332" i="1"/>
  <c r="C782" i="1"/>
  <c r="I419" i="1"/>
  <c r="C508" i="1"/>
  <c r="I683" i="1"/>
  <c r="I282" i="1"/>
  <c r="I764" i="1"/>
  <c r="C719" i="1"/>
  <c r="C415" i="1"/>
  <c r="I141" i="1"/>
  <c r="I783" i="1"/>
  <c r="I780" i="1"/>
  <c r="I786" i="1"/>
  <c r="I510" i="1"/>
  <c r="I106" i="1"/>
  <c r="I756" i="1"/>
  <c r="C419" i="1"/>
  <c r="I376" i="1"/>
  <c r="I485" i="1"/>
  <c r="C783" i="1"/>
  <c r="I745" i="1"/>
  <c r="I370" i="1"/>
  <c r="C727" i="1"/>
  <c r="I723" i="1"/>
  <c r="I262" i="1"/>
  <c r="C784" i="1"/>
  <c r="I468" i="1"/>
  <c r="I692" i="1"/>
  <c r="I782" i="1"/>
  <c r="C737" i="1"/>
  <c r="I305" i="1"/>
  <c r="I721" i="1"/>
  <c r="I8" i="1"/>
  <c r="I348" i="1"/>
  <c r="I457" i="1"/>
  <c r="I438" i="1"/>
  <c r="I265" i="1"/>
  <c r="I437" i="1"/>
  <c r="I41" i="1"/>
  <c r="C740" i="1"/>
  <c r="I688" i="1"/>
  <c r="I446" i="1"/>
  <c r="I757" i="1"/>
  <c r="C781" i="1"/>
  <c r="I653" i="1"/>
  <c r="I766" i="1"/>
  <c r="I768" i="1"/>
  <c r="I690" i="1"/>
  <c r="I308" i="1"/>
  <c r="L68" i="86"/>
  <c r="I781" i="1"/>
  <c r="I773" i="1"/>
  <c r="I39" i="1"/>
  <c r="I752" i="1"/>
  <c r="I502" i="1"/>
  <c r="I727" i="1"/>
  <c r="I524" i="1"/>
  <c r="I197" i="1"/>
  <c r="C724" i="1"/>
  <c r="L68" i="31"/>
  <c r="I698" i="1"/>
  <c r="I754" i="1"/>
  <c r="I397" i="1"/>
  <c r="C774" i="1"/>
  <c r="I670" i="1"/>
  <c r="I591" i="1"/>
  <c r="I314" i="1"/>
  <c r="I492" i="1"/>
  <c r="C778" i="1"/>
  <c r="I140" i="1"/>
  <c r="I710" i="1"/>
  <c r="I558" i="1"/>
  <c r="I661" i="1"/>
  <c r="I634" i="1"/>
  <c r="I528" i="1"/>
  <c r="I728" i="1"/>
  <c r="I687" i="1"/>
  <c r="I434" i="1"/>
  <c r="I196" i="1"/>
  <c r="I776" i="1"/>
  <c r="I779" i="1"/>
  <c r="I142" i="1"/>
  <c r="I108" i="1"/>
  <c r="I659" i="1"/>
  <c r="I499" i="1"/>
  <c r="I785" i="1"/>
  <c r="I729" i="1"/>
  <c r="C742" i="1"/>
  <c r="C726" i="1"/>
  <c r="I702" i="1"/>
  <c r="C745" i="1"/>
  <c r="C741" i="1"/>
  <c r="C770" i="1"/>
  <c r="I261" i="1"/>
  <c r="I744" i="1"/>
  <c r="I624" i="1"/>
  <c r="I725" i="1"/>
  <c r="I724" i="1"/>
  <c r="I537" i="1"/>
  <c r="I427" i="1"/>
  <c r="I726" i="1"/>
  <c r="I7" i="1"/>
  <c r="I513" i="1"/>
  <c r="I737" i="1"/>
  <c r="C729" i="1"/>
  <c r="I350" i="1"/>
  <c r="I40" i="1"/>
  <c r="I285" i="1"/>
  <c r="C736" i="1"/>
  <c r="I770" i="1"/>
  <c r="I355" i="1"/>
  <c r="I6" i="1"/>
  <c r="I281" i="1"/>
  <c r="C756" i="1"/>
  <c r="C720" i="1"/>
  <c r="I778" i="1"/>
  <c r="I5" i="1"/>
  <c r="I722" i="1"/>
  <c r="I720" i="1"/>
  <c r="I349" i="1"/>
  <c r="C777" i="1"/>
  <c r="I439" i="1"/>
  <c r="I481" i="1"/>
  <c r="I284" i="1"/>
  <c r="I759" i="1"/>
  <c r="I495" i="1"/>
  <c r="I43" i="1"/>
  <c r="I200" i="1"/>
  <c r="I619" i="1"/>
  <c r="C772" i="1"/>
  <c r="I199" i="1"/>
  <c r="C434" i="1"/>
  <c r="I300" i="1"/>
  <c r="I691" i="1"/>
  <c r="C721" i="1"/>
  <c r="I777" i="1"/>
  <c r="I144" i="1"/>
  <c r="I742" i="1"/>
  <c r="I143" i="1"/>
  <c r="I708" i="1"/>
  <c r="I719" i="1"/>
  <c r="I429" i="1"/>
  <c r="I646" i="1"/>
  <c r="L64" i="17"/>
  <c r="I477" i="1"/>
  <c r="I709" i="1"/>
  <c r="I516" i="1"/>
  <c r="C738" i="1"/>
  <c r="I743" i="1"/>
  <c r="I425" i="1"/>
  <c r="I608" i="1"/>
  <c r="C722" i="1"/>
  <c r="I663" i="1"/>
  <c r="I4" i="1"/>
  <c r="I568" i="1"/>
  <c r="I198" i="1"/>
  <c r="I548" i="1"/>
  <c r="I741" i="1"/>
  <c r="I658" i="1"/>
  <c r="I711" i="1"/>
  <c r="I718" i="1"/>
  <c r="I445" i="1"/>
  <c r="I357" i="1"/>
  <c r="I689" i="1"/>
  <c r="C427" i="1"/>
  <c r="I665" i="1"/>
  <c r="C475" i="1"/>
  <c r="L70" i="88"/>
  <c r="I845" i="1"/>
  <c r="I449" i="1"/>
  <c r="I288" i="1"/>
  <c r="C185" i="1"/>
  <c r="C318" i="1"/>
  <c r="C209" i="1"/>
  <c r="C554" i="1"/>
  <c r="C562" i="1"/>
  <c r="C810" i="1"/>
  <c r="C845" i="1"/>
  <c r="C447" i="1"/>
  <c r="C288" i="1"/>
  <c r="I270" i="1"/>
  <c r="C189" i="1"/>
  <c r="C359" i="1"/>
  <c r="I381" i="1"/>
  <c r="I63" i="1"/>
  <c r="C626" i="1"/>
  <c r="C636" i="1"/>
  <c r="C545" i="1"/>
  <c r="C760" i="1"/>
  <c r="C270" i="1"/>
  <c r="I206" i="1"/>
  <c r="C344" i="1"/>
  <c r="C399" i="1"/>
  <c r="C409" i="1"/>
  <c r="C379" i="1"/>
  <c r="C645" i="1"/>
  <c r="C677" i="1"/>
  <c r="C346" i="1"/>
  <c r="C431" i="1"/>
  <c r="I478" i="1"/>
  <c r="C61" i="1"/>
  <c r="I210" i="1"/>
  <c r="C576" i="1"/>
  <c r="C808" i="1"/>
  <c r="C343" i="1"/>
  <c r="C408" i="1"/>
  <c r="I626" i="1"/>
  <c r="I584" i="1"/>
  <c r="I534" i="1"/>
  <c r="I346" i="1"/>
  <c r="C417" i="1"/>
  <c r="I402" i="1"/>
  <c r="I403" i="1"/>
  <c r="I345" i="1"/>
  <c r="C345" i="1"/>
  <c r="C400" i="1"/>
  <c r="C534" i="1"/>
  <c r="I760" i="1"/>
  <c r="I645" i="1"/>
  <c r="I616" i="1"/>
  <c r="L70" i="56"/>
  <c r="I417" i="1"/>
  <c r="I467" i="1"/>
  <c r="I399" i="1"/>
  <c r="I343" i="1"/>
  <c r="I187" i="1"/>
  <c r="I94" i="1"/>
  <c r="C94" i="1"/>
  <c r="C97" i="1"/>
  <c r="I251" i="1"/>
  <c r="C251" i="1"/>
  <c r="I821" i="1"/>
  <c r="I813" i="1"/>
  <c r="L76" i="31"/>
  <c r="I823" i="1"/>
  <c r="C819" i="1"/>
  <c r="I596" i="1"/>
  <c r="I431" i="1"/>
  <c r="I475" i="1"/>
  <c r="I408" i="1"/>
  <c r="I677" i="1"/>
  <c r="I189" i="1"/>
  <c r="C95" i="1"/>
  <c r="I254" i="1"/>
  <c r="C253" i="1"/>
  <c r="I822" i="1"/>
  <c r="I817" i="1"/>
  <c r="C818" i="1"/>
  <c r="C817" i="1"/>
  <c r="I562" i="1"/>
  <c r="I421" i="1"/>
  <c r="I401" i="1"/>
  <c r="I186" i="1"/>
  <c r="C98" i="1"/>
  <c r="I98" i="1"/>
  <c r="C252" i="1"/>
  <c r="C821" i="1"/>
  <c r="C816" i="1"/>
  <c r="I816" i="1"/>
  <c r="I554" i="1"/>
  <c r="C421" i="1"/>
  <c r="I400" i="1"/>
  <c r="I185" i="1"/>
  <c r="I96" i="1"/>
  <c r="I253" i="1"/>
  <c r="C820" i="1"/>
  <c r="C814" i="1"/>
  <c r="I820" i="1"/>
  <c r="I818" i="1"/>
  <c r="I545" i="1"/>
  <c r="I97" i="1"/>
  <c r="C823" i="1"/>
  <c r="C815" i="1"/>
  <c r="L69" i="8"/>
  <c r="I409" i="1"/>
  <c r="C254" i="1"/>
  <c r="I814" i="1"/>
  <c r="I344" i="1"/>
  <c r="C96" i="1"/>
  <c r="C822" i="1"/>
  <c r="C813" i="1"/>
  <c r="I636" i="1"/>
  <c r="K62" i="72"/>
  <c r="I188" i="1"/>
  <c r="I252" i="1"/>
  <c r="I819" i="1"/>
  <c r="I815" i="1"/>
  <c r="L76" i="86"/>
  <c r="I606" i="1"/>
  <c r="I95" i="1"/>
  <c r="N12" i="88"/>
  <c r="R9" i="88"/>
  <c r="R10" i="88" s="1"/>
  <c r="R11" i="88" s="1"/>
  <c r="R12" i="88" s="1"/>
  <c r="R13" i="88" s="1"/>
  <c r="R14" i="88" s="1"/>
  <c r="S8" i="88"/>
  <c r="U8" i="88"/>
  <c r="T8" i="88"/>
  <c r="O7" i="88"/>
  <c r="O8" i="88" s="1"/>
  <c r="D59" i="88"/>
  <c r="C13" i="87"/>
  <c r="A58" i="87" s="1"/>
  <c r="B9" i="87"/>
  <c r="D59" i="87" s="1"/>
  <c r="O7" i="87"/>
  <c r="O8" i="87" s="1"/>
  <c r="N12" i="87"/>
  <c r="U8" i="87"/>
  <c r="T8" i="87"/>
  <c r="R9" i="87"/>
  <c r="R10" i="87" s="1"/>
  <c r="R11" i="87" s="1"/>
  <c r="R12" i="87" s="1"/>
  <c r="R13" i="87" s="1"/>
  <c r="R14" i="87" s="1"/>
  <c r="S8" i="87"/>
  <c r="N13" i="31"/>
  <c r="N14" i="31" s="1"/>
  <c r="M14" i="31"/>
  <c r="M17" i="31" s="1"/>
  <c r="D55" i="37"/>
  <c r="A54" i="37"/>
  <c r="I576" i="1"/>
  <c r="I465" i="1"/>
  <c r="I336" i="1"/>
  <c r="I675" i="1"/>
  <c r="I175" i="1"/>
  <c r="I91" i="1"/>
  <c r="C91" i="1"/>
  <c r="I239" i="1"/>
  <c r="C240" i="1"/>
  <c r="C236" i="1"/>
  <c r="L75" i="31"/>
  <c r="L75" i="86"/>
  <c r="I625" i="1"/>
  <c r="I594" i="1"/>
  <c r="I574" i="1"/>
  <c r="L69" i="56"/>
  <c r="I410" i="1"/>
  <c r="I335" i="1"/>
  <c r="I177" i="1"/>
  <c r="C90" i="1"/>
  <c r="I93" i="1"/>
  <c r="I238" i="1"/>
  <c r="C239" i="1"/>
  <c r="I635" i="1"/>
  <c r="I604" i="1"/>
  <c r="I563" i="1"/>
  <c r="I532" i="1"/>
  <c r="I476" i="1"/>
  <c r="I334" i="1"/>
  <c r="C93" i="1"/>
  <c r="I178" i="1"/>
  <c r="I90" i="1"/>
  <c r="C89" i="1"/>
  <c r="C92" i="1"/>
  <c r="I237" i="1"/>
  <c r="C238" i="1"/>
  <c r="I644" i="1"/>
  <c r="I614" i="1"/>
  <c r="I585" i="1"/>
  <c r="I555" i="1"/>
  <c r="I543" i="1"/>
  <c r="I176" i="1"/>
  <c r="I179" i="1"/>
  <c r="I89" i="1"/>
  <c r="I92" i="1"/>
  <c r="I240" i="1"/>
  <c r="I236" i="1"/>
  <c r="C237" i="1"/>
  <c r="L74" i="86"/>
  <c r="I450" i="1"/>
  <c r="I363" i="1"/>
  <c r="I479" i="1"/>
  <c r="I290" i="1"/>
  <c r="C831" i="1"/>
  <c r="I293" i="1"/>
  <c r="I274" i="1"/>
  <c r="I829" i="1"/>
  <c r="I830" i="1"/>
  <c r="L70" i="86"/>
  <c r="I452" i="1"/>
  <c r="I362" i="1"/>
  <c r="I521" i="1"/>
  <c r="C830" i="1"/>
  <c r="C828" i="1"/>
  <c r="I273" i="1"/>
  <c r="I833" i="1"/>
  <c r="I834" i="1"/>
  <c r="I20" i="1"/>
  <c r="I174" i="1"/>
  <c r="I134" i="1"/>
  <c r="I331" i="1"/>
  <c r="I588" i="1"/>
  <c r="I621" i="1"/>
  <c r="I51" i="1"/>
  <c r="C428" i="1"/>
  <c r="I234" i="1"/>
  <c r="I53" i="1"/>
  <c r="I610" i="1"/>
  <c r="I641" i="1"/>
  <c r="I763" i="1"/>
  <c r="I651" i="1"/>
  <c r="C232" i="1"/>
  <c r="I235" i="1"/>
  <c r="I804" i="1"/>
  <c r="I451" i="1"/>
  <c r="K69" i="53"/>
  <c r="C829" i="1"/>
  <c r="C834" i="1"/>
  <c r="I292" i="1"/>
  <c r="I276" i="1"/>
  <c r="I828" i="1"/>
  <c r="I831" i="1"/>
  <c r="I21" i="1"/>
  <c r="I173" i="1"/>
  <c r="I172" i="1"/>
  <c r="I557" i="1"/>
  <c r="I420" i="1"/>
  <c r="C231" i="1"/>
  <c r="I49" i="1"/>
  <c r="I231" i="1"/>
  <c r="I674" i="1"/>
  <c r="I792" i="1"/>
  <c r="L67" i="56"/>
  <c r="I474" i="1"/>
  <c r="I130" i="1"/>
  <c r="I395" i="1"/>
  <c r="I578" i="1"/>
  <c r="I232" i="1"/>
  <c r="I361" i="1"/>
  <c r="I482" i="1"/>
  <c r="C833" i="1"/>
  <c r="I291" i="1"/>
  <c r="C832" i="1"/>
  <c r="I275" i="1"/>
  <c r="I812" i="1"/>
  <c r="K58" i="80"/>
  <c r="I832" i="1"/>
  <c r="I627" i="1"/>
  <c r="I131" i="1"/>
  <c r="I23" i="1"/>
  <c r="I170" i="1"/>
  <c r="I416" i="1"/>
  <c r="C420" i="1"/>
  <c r="I22" i="1"/>
  <c r="I396" i="1"/>
  <c r="I428" i="1"/>
  <c r="C416" i="1"/>
  <c r="I330" i="1"/>
  <c r="I463" i="1"/>
  <c r="I531" i="1"/>
  <c r="I171" i="1"/>
  <c r="I394" i="1"/>
  <c r="I599" i="1"/>
  <c r="I567" i="1"/>
  <c r="C234" i="1"/>
  <c r="I233" i="1"/>
  <c r="I333" i="1"/>
  <c r="I133" i="1"/>
  <c r="I398" i="1"/>
  <c r="L74" i="31"/>
  <c r="I52" i="1"/>
  <c r="I19" i="1"/>
  <c r="I132" i="1"/>
  <c r="I329" i="1"/>
  <c r="C235" i="1"/>
  <c r="I50" i="1"/>
  <c r="C233" i="1"/>
  <c r="I547" i="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2" i="56"/>
  <c r="G24" i="37"/>
  <c r="G22" i="46"/>
  <c r="G20" i="47"/>
  <c r="G22" i="34"/>
  <c r="G22" i="58"/>
  <c r="G25" i="54"/>
  <c r="G25" i="4"/>
  <c r="G24" i="74"/>
  <c r="G28" i="51"/>
  <c r="C482" i="1"/>
  <c r="C621" i="1"/>
  <c r="C610" i="1"/>
  <c r="C599" i="1"/>
  <c r="C588" i="1"/>
  <c r="C131" i="1"/>
  <c r="C171" i="1"/>
  <c r="C22" i="1"/>
  <c r="C50" i="1"/>
  <c r="C474" i="1"/>
  <c r="C132" i="1"/>
  <c r="C172" i="1"/>
  <c r="C19" i="1"/>
  <c r="C23" i="1"/>
  <c r="C51" i="1"/>
  <c r="C463" i="1"/>
  <c r="C290" i="1"/>
  <c r="C363" i="1"/>
  <c r="C451" i="1"/>
  <c r="C578" i="1"/>
  <c r="C133" i="1"/>
  <c r="C173" i="1"/>
  <c r="C20" i="1"/>
  <c r="C52" i="1"/>
  <c r="C130" i="1"/>
  <c r="C134" i="1"/>
  <c r="C170" i="1"/>
  <c r="C174" i="1"/>
  <c r="C21" i="1"/>
  <c r="C49" i="1"/>
  <c r="C53" i="1"/>
  <c r="C291" i="1"/>
  <c r="C521" i="1"/>
  <c r="C361" i="1"/>
  <c r="C450" i="1"/>
  <c r="C641" i="1"/>
  <c r="C567" i="1"/>
  <c r="C292" i="1"/>
  <c r="C362" i="1"/>
  <c r="C452" i="1"/>
  <c r="C479" i="1"/>
  <c r="C651" i="1"/>
  <c r="C627" i="1"/>
  <c r="C557" i="1"/>
  <c r="C792" i="1"/>
  <c r="C804" i="1"/>
  <c r="C763" i="1"/>
  <c r="C293" i="1"/>
  <c r="C274" i="1"/>
  <c r="C330" i="1"/>
  <c r="C275" i="1"/>
  <c r="C674" i="1"/>
  <c r="C331" i="1"/>
  <c r="C394" i="1"/>
  <c r="C398" i="1"/>
  <c r="C547" i="1"/>
  <c r="C531" i="1"/>
  <c r="C273" i="1"/>
  <c r="C681" i="1"/>
  <c r="C329" i="1"/>
  <c r="C333" i="1"/>
  <c r="C396" i="1"/>
  <c r="C395" i="1"/>
  <c r="C276" i="1"/>
  <c r="C430" i="1"/>
  <c r="C401" i="1"/>
  <c r="C594" i="1"/>
  <c r="C175" i="1"/>
  <c r="C179" i="1"/>
  <c r="C476" i="1"/>
  <c r="C614" i="1"/>
  <c r="C585" i="1"/>
  <c r="C176" i="1"/>
  <c r="C635" i="1"/>
  <c r="C403" i="1"/>
  <c r="C177" i="1"/>
  <c r="C465" i="1"/>
  <c r="G465" i="1" s="1"/>
  <c r="C402" i="1"/>
  <c r="C604" i="1"/>
  <c r="C178" i="1"/>
  <c r="C543" i="1"/>
  <c r="C807" i="1"/>
  <c r="C563" i="1"/>
  <c r="C574" i="1"/>
  <c r="C644" i="1"/>
  <c r="C625" i="1"/>
  <c r="C555" i="1"/>
  <c r="C334" i="1"/>
  <c r="C335" i="1"/>
  <c r="C806" i="1"/>
  <c r="C532" i="1"/>
  <c r="C675" i="1"/>
  <c r="C336" i="1"/>
  <c r="B31" i="19" l="1"/>
  <c r="B34" i="85"/>
  <c r="B34" i="54"/>
  <c r="B30" i="44"/>
  <c r="B34" i="6"/>
  <c r="B34" i="87"/>
  <c r="K34" i="87" s="1"/>
  <c r="B34" i="7"/>
  <c r="A32" i="87"/>
  <c r="A32" i="88"/>
  <c r="K39" i="71"/>
  <c r="F39" i="71"/>
  <c r="G39" i="71" s="1"/>
  <c r="K37" i="71"/>
  <c r="F37" i="71"/>
  <c r="G37" i="71" s="1"/>
  <c r="D37" i="72"/>
  <c r="J37" i="72" s="1"/>
  <c r="D38" i="72"/>
  <c r="J38" i="72" s="1"/>
  <c r="A12" i="37"/>
  <c r="B27" i="8"/>
  <c r="E27" i="8" s="1"/>
  <c r="F27" i="8" s="1"/>
  <c r="G27" i="8" s="1"/>
  <c r="B34" i="30"/>
  <c r="B31" i="61"/>
  <c r="B31" i="70"/>
  <c r="R26" i="30"/>
  <c r="S26" i="30" s="1"/>
  <c r="R28" i="30"/>
  <c r="S28" i="30" s="1"/>
  <c r="V28" i="30" s="1"/>
  <c r="R23" i="30"/>
  <c r="S23" i="30" s="1"/>
  <c r="V23" i="30" s="1"/>
  <c r="M26" i="30" s="1"/>
  <c r="M27" i="30" s="1"/>
  <c r="U17" i="30"/>
  <c r="U9" i="30" s="1"/>
  <c r="R31" i="30"/>
  <c r="S31" i="30" s="1"/>
  <c r="U31" i="30" s="1"/>
  <c r="R27" i="30"/>
  <c r="S27" i="30" s="1"/>
  <c r="T17" i="30"/>
  <c r="T9" i="30" s="1"/>
  <c r="R25" i="30"/>
  <c r="S25" i="30" s="1"/>
  <c r="U25" i="30" s="1"/>
  <c r="R22" i="30"/>
  <c r="S22" i="30" s="1"/>
  <c r="U22" i="30" s="1"/>
  <c r="M25" i="30" s="1"/>
  <c r="R24" i="30"/>
  <c r="S24" i="30" s="1"/>
  <c r="S17" i="30"/>
  <c r="S9" i="30" s="1"/>
  <c r="R30" i="30"/>
  <c r="S30" i="30" s="1"/>
  <c r="R29" i="30"/>
  <c r="S29" i="30" s="1"/>
  <c r="T29" i="30" s="1"/>
  <c r="R21" i="30"/>
  <c r="S21" i="30" s="1"/>
  <c r="T21" i="30" s="1"/>
  <c r="M24" i="30" s="1"/>
  <c r="M29" i="30" s="1"/>
  <c r="B38" i="30" s="1"/>
  <c r="R32" i="30"/>
  <c r="S32" i="30" s="1"/>
  <c r="T33" i="78"/>
  <c r="S33" i="78"/>
  <c r="T29" i="78"/>
  <c r="U29" i="78"/>
  <c r="U28" i="78"/>
  <c r="S28" i="78"/>
  <c r="T26" i="78"/>
  <c r="S26" i="78"/>
  <c r="U35" i="78"/>
  <c r="S35" i="78"/>
  <c r="L29" i="78"/>
  <c r="L31" i="78"/>
  <c r="L13" i="53"/>
  <c r="M13" i="53" s="1"/>
  <c r="M18" i="53"/>
  <c r="Q27" i="53"/>
  <c r="R27" i="53" s="1"/>
  <c r="T27" i="53" s="1"/>
  <c r="Q29" i="53"/>
  <c r="R29" i="53" s="1"/>
  <c r="Q34" i="53"/>
  <c r="R34" i="53" s="1"/>
  <c r="T34" i="53" s="1"/>
  <c r="Q24" i="53"/>
  <c r="R24" i="53" s="1"/>
  <c r="T24" i="53" s="1"/>
  <c r="L27" i="53" s="1"/>
  <c r="S19" i="53"/>
  <c r="S9" i="53" s="1"/>
  <c r="Q25" i="53"/>
  <c r="R25" i="53" s="1"/>
  <c r="U25" i="53" s="1"/>
  <c r="L28" i="53" s="1"/>
  <c r="Q30" i="53"/>
  <c r="R30" i="53" s="1"/>
  <c r="U30" i="53" s="1"/>
  <c r="T19" i="53"/>
  <c r="T9" i="53" s="1"/>
  <c r="Q23" i="53"/>
  <c r="R23" i="53" s="1"/>
  <c r="S23" i="53" s="1"/>
  <c r="L26" i="53" s="1"/>
  <c r="R19" i="53"/>
  <c r="R9" i="53" s="1"/>
  <c r="Q33" i="53"/>
  <c r="R33" i="53" s="1"/>
  <c r="Q31" i="53"/>
  <c r="R31" i="53" s="1"/>
  <c r="S31" i="53" s="1"/>
  <c r="Q35" i="53"/>
  <c r="R35" i="53" s="1"/>
  <c r="Q26" i="53"/>
  <c r="R26" i="53" s="1"/>
  <c r="Q28" i="53"/>
  <c r="R28" i="53" s="1"/>
  <c r="R15" i="81"/>
  <c r="R9" i="81" s="1"/>
  <c r="Q29" i="81"/>
  <c r="R29" i="81" s="1"/>
  <c r="Q27" i="81"/>
  <c r="R27" i="81" s="1"/>
  <c r="S27" i="81" s="1"/>
  <c r="Q19" i="81"/>
  <c r="R19" i="81" s="1"/>
  <c r="S19" i="81" s="1"/>
  <c r="L22" i="81" s="1"/>
  <c r="Q31" i="81"/>
  <c r="R31" i="81" s="1"/>
  <c r="Q22" i="81"/>
  <c r="R22" i="81" s="1"/>
  <c r="Q24" i="81"/>
  <c r="R24" i="81" s="1"/>
  <c r="Q25" i="81"/>
  <c r="R25" i="81" s="1"/>
  <c r="Q30" i="81"/>
  <c r="R30" i="81" s="1"/>
  <c r="T30" i="81" s="1"/>
  <c r="S15" i="81"/>
  <c r="S9" i="81" s="1"/>
  <c r="Q23" i="81"/>
  <c r="R23" i="81" s="1"/>
  <c r="T23" i="81" s="1"/>
  <c r="Q20" i="81"/>
  <c r="R20" i="81" s="1"/>
  <c r="T20" i="81" s="1"/>
  <c r="L23" i="81" s="1"/>
  <c r="Q21" i="81"/>
  <c r="R21" i="81" s="1"/>
  <c r="U21" i="81" s="1"/>
  <c r="L24" i="81" s="1"/>
  <c r="T15" i="81"/>
  <c r="T9" i="81" s="1"/>
  <c r="Q26" i="81"/>
  <c r="R26" i="81" s="1"/>
  <c r="U26" i="81" s="1"/>
  <c r="L13" i="81"/>
  <c r="M13" i="81" s="1"/>
  <c r="M14" i="81"/>
  <c r="Q22" i="80"/>
  <c r="R22" i="80" s="1"/>
  <c r="Q19" i="80"/>
  <c r="R19" i="80" s="1"/>
  <c r="S19" i="80" s="1"/>
  <c r="L22" i="80" s="1"/>
  <c r="Q27" i="80"/>
  <c r="R27" i="80" s="1"/>
  <c r="S27" i="80" s="1"/>
  <c r="Q24" i="80"/>
  <c r="R24" i="80" s="1"/>
  <c r="Q29" i="80"/>
  <c r="R29" i="80" s="1"/>
  <c r="Q31" i="80"/>
  <c r="R31" i="80" s="1"/>
  <c r="R15" i="80"/>
  <c r="R9" i="80" s="1"/>
  <c r="Q20" i="80"/>
  <c r="R20" i="80" s="1"/>
  <c r="T20" i="80" s="1"/>
  <c r="L23" i="80" s="1"/>
  <c r="Q23" i="80"/>
  <c r="R23" i="80" s="1"/>
  <c r="T23" i="80" s="1"/>
  <c r="S15" i="80"/>
  <c r="S9" i="80" s="1"/>
  <c r="Q25" i="80"/>
  <c r="R25" i="80" s="1"/>
  <c r="Q30" i="80"/>
  <c r="R30" i="80" s="1"/>
  <c r="T30" i="80" s="1"/>
  <c r="Q26" i="80"/>
  <c r="R26" i="80" s="1"/>
  <c r="U26" i="80" s="1"/>
  <c r="Q21" i="80"/>
  <c r="R21" i="80" s="1"/>
  <c r="U21" i="80" s="1"/>
  <c r="L24" i="80" s="1"/>
  <c r="T15" i="80"/>
  <c r="T9" i="80" s="1"/>
  <c r="T34" i="51"/>
  <c r="S34" i="51"/>
  <c r="L13" i="51"/>
  <c r="M13" i="51" s="1"/>
  <c r="M14" i="51"/>
  <c r="U30" i="51"/>
  <c r="T30" i="51"/>
  <c r="T27" i="51"/>
  <c r="S27" i="51"/>
  <c r="L34" i="51"/>
  <c r="M32" i="51"/>
  <c r="D38" i="55"/>
  <c r="J38" i="55" s="1"/>
  <c r="D40" i="55"/>
  <c r="J40" i="55" s="1"/>
  <c r="E41" i="55"/>
  <c r="B39" i="55"/>
  <c r="I39" i="55" s="1"/>
  <c r="E39" i="55"/>
  <c r="B41" i="55"/>
  <c r="I41" i="55" s="1"/>
  <c r="M33" i="55"/>
  <c r="C39" i="55"/>
  <c r="C41" i="55"/>
  <c r="Q9" i="7"/>
  <c r="Q10" i="7" s="1"/>
  <c r="Q11" i="7" s="1"/>
  <c r="Q12" i="7" s="1"/>
  <c r="Q13" i="7" s="1"/>
  <c r="Q14" i="7" s="1"/>
  <c r="S8" i="7"/>
  <c r="R8" i="7"/>
  <c r="T8" i="7"/>
  <c r="N7" i="7"/>
  <c r="N8" i="7" s="1"/>
  <c r="N10" i="7"/>
  <c r="N11" i="7" s="1"/>
  <c r="L14" i="7"/>
  <c r="L17" i="7" s="1"/>
  <c r="M12" i="7"/>
  <c r="S43" i="54"/>
  <c r="U43" i="54"/>
  <c r="T31" i="54"/>
  <c r="S31" i="54"/>
  <c r="S24" i="54"/>
  <c r="T24" i="54"/>
  <c r="L27" i="54"/>
  <c r="L29" i="54"/>
  <c r="S26" i="54"/>
  <c r="U26" i="54"/>
  <c r="U27" i="54"/>
  <c r="T27" i="54"/>
  <c r="N29" i="5"/>
  <c r="M30" i="5"/>
  <c r="N14" i="6"/>
  <c r="M13" i="6"/>
  <c r="N13" i="6" s="1"/>
  <c r="R31" i="6"/>
  <c r="S31" i="6" s="1"/>
  <c r="U31" i="6" s="1"/>
  <c r="R22" i="6"/>
  <c r="S22" i="6" s="1"/>
  <c r="U22" i="6" s="1"/>
  <c r="M25" i="6" s="1"/>
  <c r="T17" i="6"/>
  <c r="T9" i="6" s="1"/>
  <c r="R27" i="6"/>
  <c r="S27" i="6" s="1"/>
  <c r="R25" i="6"/>
  <c r="S25" i="6" s="1"/>
  <c r="U25" i="6" s="1"/>
  <c r="R26" i="6"/>
  <c r="S26" i="6" s="1"/>
  <c r="R24" i="6"/>
  <c r="S24" i="6" s="1"/>
  <c r="R29" i="6"/>
  <c r="S29" i="6" s="1"/>
  <c r="T29" i="6" s="1"/>
  <c r="S17" i="6"/>
  <c r="S9" i="6" s="1"/>
  <c r="R32" i="6"/>
  <c r="S32" i="6" s="1"/>
  <c r="R21" i="6"/>
  <c r="S21" i="6" s="1"/>
  <c r="T21" i="6" s="1"/>
  <c r="M24" i="6" s="1"/>
  <c r="R30" i="6"/>
  <c r="S30" i="6" s="1"/>
  <c r="R23" i="6"/>
  <c r="S23" i="6" s="1"/>
  <c r="V23" i="6" s="1"/>
  <c r="M26" i="6" s="1"/>
  <c r="R28" i="6"/>
  <c r="S28" i="6" s="1"/>
  <c r="V28" i="6" s="1"/>
  <c r="U17" i="6"/>
  <c r="U9" i="6" s="1"/>
  <c r="M13" i="86"/>
  <c r="N13" i="86" s="1"/>
  <c r="N14" i="86"/>
  <c r="N14" i="4"/>
  <c r="M13" i="4"/>
  <c r="N13" i="4" s="1"/>
  <c r="R31" i="4"/>
  <c r="S31" i="4" s="1"/>
  <c r="U31" i="4" s="1"/>
  <c r="T17" i="4"/>
  <c r="T9" i="4" s="1"/>
  <c r="R22" i="4"/>
  <c r="S22" i="4" s="1"/>
  <c r="U22" i="4" s="1"/>
  <c r="M25" i="4" s="1"/>
  <c r="R27" i="4"/>
  <c r="S27" i="4" s="1"/>
  <c r="R25" i="4"/>
  <c r="S25" i="4" s="1"/>
  <c r="U25" i="4" s="1"/>
  <c r="U17" i="4"/>
  <c r="U9" i="4" s="1"/>
  <c r="R28" i="4"/>
  <c r="S28" i="4" s="1"/>
  <c r="V28" i="4" s="1"/>
  <c r="R23" i="4"/>
  <c r="S23" i="4" s="1"/>
  <c r="V23" i="4" s="1"/>
  <c r="M26" i="4" s="1"/>
  <c r="S17" i="4"/>
  <c r="S9" i="4" s="1"/>
  <c r="R26" i="4"/>
  <c r="S26" i="4" s="1"/>
  <c r="R21" i="4"/>
  <c r="S21" i="4" s="1"/>
  <c r="T21" i="4" s="1"/>
  <c r="M24" i="4" s="1"/>
  <c r="R30" i="4"/>
  <c r="S30" i="4" s="1"/>
  <c r="R32" i="4"/>
  <c r="S32" i="4" s="1"/>
  <c r="R24" i="4"/>
  <c r="S24" i="4" s="1"/>
  <c r="R29" i="4"/>
  <c r="S29" i="4" s="1"/>
  <c r="T29" i="4" s="1"/>
  <c r="V26" i="85"/>
  <c r="T26" i="85"/>
  <c r="T30" i="85"/>
  <c r="U30" i="85"/>
  <c r="V27" i="85"/>
  <c r="U27" i="85"/>
  <c r="U24" i="85"/>
  <c r="T24" i="85"/>
  <c r="V32" i="85"/>
  <c r="T32" i="85"/>
  <c r="M13" i="85"/>
  <c r="N13" i="85" s="1"/>
  <c r="N14" i="85"/>
  <c r="M29" i="85"/>
  <c r="M27" i="85"/>
  <c r="M27" i="86"/>
  <c r="M29" i="86"/>
  <c r="V27" i="86"/>
  <c r="U27" i="86"/>
  <c r="U30" i="86"/>
  <c r="T30" i="86"/>
  <c r="V26" i="86"/>
  <c r="T26" i="86"/>
  <c r="T32" i="86"/>
  <c r="V32" i="86"/>
  <c r="T24" i="86"/>
  <c r="U24" i="86"/>
  <c r="M14" i="3"/>
  <c r="M17" i="3" s="1"/>
  <c r="U17" i="3"/>
  <c r="U9" i="3" s="1"/>
  <c r="R23" i="3"/>
  <c r="S23" i="3" s="1"/>
  <c r="V23" i="3" s="1"/>
  <c r="R28" i="3"/>
  <c r="S28" i="3" s="1"/>
  <c r="V28" i="3" s="1"/>
  <c r="R29" i="3"/>
  <c r="S29" i="3" s="1"/>
  <c r="T29" i="3" s="1"/>
  <c r="R32" i="3"/>
  <c r="S32" i="3" s="1"/>
  <c r="R26" i="3"/>
  <c r="S26" i="3" s="1"/>
  <c r="R21" i="3"/>
  <c r="S21" i="3" s="1"/>
  <c r="T21" i="3" s="1"/>
  <c r="S17" i="3"/>
  <c r="S9" i="3" s="1"/>
  <c r="R24" i="3"/>
  <c r="S24" i="3" s="1"/>
  <c r="R30" i="3"/>
  <c r="S30" i="3" s="1"/>
  <c r="R25" i="3"/>
  <c r="S25" i="3" s="1"/>
  <c r="U25" i="3" s="1"/>
  <c r="R31" i="3"/>
  <c r="S31" i="3" s="1"/>
  <c r="U31" i="3" s="1"/>
  <c r="R27" i="3"/>
  <c r="S27" i="3" s="1"/>
  <c r="T17" i="3"/>
  <c r="T9" i="3" s="1"/>
  <c r="R22" i="3"/>
  <c r="S22" i="3" s="1"/>
  <c r="U22" i="3" s="1"/>
  <c r="B26" i="17"/>
  <c r="E26" i="17" s="1"/>
  <c r="F26" i="17" s="1"/>
  <c r="D60" i="34"/>
  <c r="D60" i="18"/>
  <c r="D59" i="70"/>
  <c r="D59" i="33"/>
  <c r="D52" i="47"/>
  <c r="D60" i="19"/>
  <c r="D62" i="17"/>
  <c r="D57" i="48"/>
  <c r="D58" i="44"/>
  <c r="D55" i="46"/>
  <c r="D59" i="20"/>
  <c r="B38" i="51"/>
  <c r="C38" i="51" s="1"/>
  <c r="B34" i="5"/>
  <c r="B26" i="44"/>
  <c r="B26" i="20"/>
  <c r="C26" i="20" s="1"/>
  <c r="B29" i="30"/>
  <c r="E29" i="30" s="1"/>
  <c r="F29" i="30" s="1"/>
  <c r="B5" i="85"/>
  <c r="B5" i="34"/>
  <c r="B5" i="6"/>
  <c r="B5" i="17"/>
  <c r="B5" i="4"/>
  <c r="B5" i="30"/>
  <c r="B5" i="5"/>
  <c r="B5" i="18"/>
  <c r="B5" i="71"/>
  <c r="B5" i="56"/>
  <c r="B5" i="8"/>
  <c r="B5" i="87"/>
  <c r="B5" i="88"/>
  <c r="B5" i="86"/>
  <c r="B5" i="31"/>
  <c r="A29" i="86"/>
  <c r="A29" i="54"/>
  <c r="A29" i="7"/>
  <c r="A29" i="30"/>
  <c r="A29" i="6"/>
  <c r="A26" i="62"/>
  <c r="A27" i="81"/>
  <c r="A26" i="58"/>
  <c r="A27" i="80"/>
  <c r="A31" i="78"/>
  <c r="A31" i="53"/>
  <c r="A29" i="31"/>
  <c r="A29" i="5"/>
  <c r="A28" i="74"/>
  <c r="A32" i="51"/>
  <c r="A26" i="61"/>
  <c r="A31" i="55"/>
  <c r="A29" i="71"/>
  <c r="A28" i="37"/>
  <c r="A29" i="87"/>
  <c r="A29" i="88"/>
  <c r="A33" i="20"/>
  <c r="A33" i="70"/>
  <c r="A32" i="44"/>
  <c r="A33" i="33"/>
  <c r="A31" i="48"/>
  <c r="A55" i="86"/>
  <c r="A56" i="7"/>
  <c r="A54" i="30"/>
  <c r="A55" i="31"/>
  <c r="B26" i="18"/>
  <c r="C26" i="18" s="1"/>
  <c r="A7" i="37"/>
  <c r="A7" i="74"/>
  <c r="A7" i="58"/>
  <c r="A7" i="78"/>
  <c r="A7" i="51"/>
  <c r="A7" i="53"/>
  <c r="A11" i="51"/>
  <c r="A9" i="58"/>
  <c r="A11" i="53"/>
  <c r="A11" i="78"/>
  <c r="A28" i="86"/>
  <c r="A28" i="71"/>
  <c r="A30" i="55"/>
  <c r="A28" i="54"/>
  <c r="A25" i="61"/>
  <c r="A28" i="31"/>
  <c r="A31" i="51"/>
  <c r="A28" i="5"/>
  <c r="A27" i="74"/>
  <c r="A28" i="7"/>
  <c r="A27" i="37"/>
  <c r="A26" i="81"/>
  <c r="A26" i="80"/>
  <c r="A25" i="58"/>
  <c r="A30" i="53"/>
  <c r="A30" i="78"/>
  <c r="A25" i="62"/>
  <c r="A28" i="30"/>
  <c r="A28" i="6"/>
  <c r="A28" i="88"/>
  <c r="A28" i="87"/>
  <c r="A52" i="31"/>
  <c r="A52" i="71"/>
  <c r="A51" i="30"/>
  <c r="A52" i="86"/>
  <c r="A4" i="88"/>
  <c r="A4" i="58"/>
  <c r="A4" i="30"/>
  <c r="A4" i="4"/>
  <c r="A4" i="74"/>
  <c r="A4" i="7"/>
  <c r="A4" i="71"/>
  <c r="A4" i="51"/>
  <c r="A4" i="46"/>
  <c r="A4" i="5"/>
  <c r="A4" i="80"/>
  <c r="A4" i="56"/>
  <c r="A4" i="37"/>
  <c r="A4" i="34"/>
  <c r="A4" i="8"/>
  <c r="A4" i="54"/>
  <c r="A4" i="61"/>
  <c r="A4" i="47"/>
  <c r="A4" i="31"/>
  <c r="A4" i="6"/>
  <c r="A4" i="62"/>
  <c r="A4" i="78"/>
  <c r="A4" i="81"/>
  <c r="A4" i="55"/>
  <c r="A4" i="53"/>
  <c r="A4" i="87"/>
  <c r="A4" i="85"/>
  <c r="A4" i="86"/>
  <c r="A12" i="51"/>
  <c r="A12" i="53"/>
  <c r="A12" i="78"/>
  <c r="A10" i="37"/>
  <c r="A10" i="74"/>
  <c r="A10" i="58"/>
  <c r="B24" i="48"/>
  <c r="J24" i="48" s="1"/>
  <c r="B26" i="34"/>
  <c r="J26" i="34" s="1"/>
  <c r="B34" i="4"/>
  <c r="C34" i="4" s="1"/>
  <c r="B27" i="34"/>
  <c r="I27" i="34" s="1"/>
  <c r="B29" i="71"/>
  <c r="I29" i="71" s="1"/>
  <c r="B29" i="5"/>
  <c r="E29" i="5" s="1"/>
  <c r="F29" i="5" s="1"/>
  <c r="C27" i="71"/>
  <c r="C27" i="6"/>
  <c r="B29" i="6"/>
  <c r="I29" i="6" s="1"/>
  <c r="B25" i="44"/>
  <c r="J25" i="44" s="1"/>
  <c r="B47" i="78"/>
  <c r="I47" i="78" s="1"/>
  <c r="B52" i="71"/>
  <c r="C52" i="71" s="1"/>
  <c r="B26" i="19"/>
  <c r="K26" i="19" s="1"/>
  <c r="B26" i="70"/>
  <c r="C26" i="70" s="1"/>
  <c r="B35" i="72"/>
  <c r="E35" i="72" s="1"/>
  <c r="F35" i="72" s="1"/>
  <c r="G35" i="72" s="1"/>
  <c r="B39" i="72"/>
  <c r="C39" i="72" s="1"/>
  <c r="B38" i="72"/>
  <c r="C38" i="72" s="1"/>
  <c r="C24" i="20"/>
  <c r="C23" i="44"/>
  <c r="C22" i="48"/>
  <c r="C24" i="33"/>
  <c r="C24" i="19"/>
  <c r="C24" i="70"/>
  <c r="C24" i="17"/>
  <c r="B37" i="72"/>
  <c r="C37" i="72" s="1"/>
  <c r="B30" i="72"/>
  <c r="E30" i="72" s="1"/>
  <c r="B48" i="78"/>
  <c r="C48" i="78" s="1"/>
  <c r="S22" i="31"/>
  <c r="U22" i="31" s="1"/>
  <c r="S23" i="31"/>
  <c r="V23" i="31" s="1"/>
  <c r="D23" i="44"/>
  <c r="D24" i="18"/>
  <c r="D24" i="19"/>
  <c r="D22" i="48"/>
  <c r="D24" i="33"/>
  <c r="D24" i="20"/>
  <c r="D24" i="70"/>
  <c r="D24" i="17"/>
  <c r="D27" i="71"/>
  <c r="D27" i="6"/>
  <c r="A9" i="37"/>
  <c r="A9" i="74"/>
  <c r="A9" i="51"/>
  <c r="A9" i="53"/>
  <c r="A9" i="78"/>
  <c r="E27" i="85"/>
  <c r="E24" i="46"/>
  <c r="E26" i="74"/>
  <c r="E22" i="47"/>
  <c r="E25" i="80"/>
  <c r="E29" i="78"/>
  <c r="E25" i="8"/>
  <c r="E27" i="7"/>
  <c r="E24" i="61"/>
  <c r="E30" i="51"/>
  <c r="E24" i="56"/>
  <c r="E26" i="37"/>
  <c r="E25" i="81"/>
  <c r="E27" i="4"/>
  <c r="E27" i="5"/>
  <c r="E24" i="58"/>
  <c r="E24" i="62"/>
  <c r="E29" i="55"/>
  <c r="E29" i="53"/>
  <c r="E27" i="54"/>
  <c r="E24" i="34"/>
  <c r="A23" i="47"/>
  <c r="A25" i="18"/>
  <c r="A25" i="19"/>
  <c r="A25" i="20"/>
  <c r="A25" i="46"/>
  <c r="A25" i="70"/>
  <c r="A24" i="44"/>
  <c r="A23" i="48"/>
  <c r="A25" i="33"/>
  <c r="A25" i="34"/>
  <c r="A25" i="17"/>
  <c r="A22" i="44"/>
  <c r="A23" i="19"/>
  <c r="A21" i="48"/>
  <c r="A23" i="17"/>
  <c r="A23" i="20"/>
  <c r="A23" i="70"/>
  <c r="A23" i="33"/>
  <c r="A23" i="18"/>
  <c r="D43" i="53"/>
  <c r="D41" i="7"/>
  <c r="D34" i="80"/>
  <c r="D41" i="71"/>
  <c r="D34" i="81"/>
  <c r="D41" i="31"/>
  <c r="D34" i="8"/>
  <c r="D41" i="4"/>
  <c r="D38" i="74"/>
  <c r="D41" i="54"/>
  <c r="D41" i="6"/>
  <c r="D45" i="51"/>
  <c r="D33" i="56"/>
  <c r="D41" i="30"/>
  <c r="D41" i="5"/>
  <c r="D43" i="78"/>
  <c r="D38" i="37"/>
  <c r="D43" i="55"/>
  <c r="D41" i="86"/>
  <c r="D41" i="87"/>
  <c r="D41" i="88"/>
  <c r="D41" i="85"/>
  <c r="A27" i="70"/>
  <c r="A27" i="19"/>
  <c r="A27" i="17"/>
  <c r="A27" i="34"/>
  <c r="A25" i="48"/>
  <c r="A27" i="20"/>
  <c r="A26" i="44"/>
  <c r="A27" i="33"/>
  <c r="A30" i="86"/>
  <c r="A30" i="87"/>
  <c r="A30" i="7"/>
  <c r="A27" i="61"/>
  <c r="A30" i="30"/>
  <c r="A30" i="31"/>
  <c r="A30" i="54"/>
  <c r="A27" i="58"/>
  <c r="A27" i="62"/>
  <c r="A30" i="5"/>
  <c r="A30" i="71"/>
  <c r="A30" i="6"/>
  <c r="A30" i="88"/>
  <c r="C34" i="87"/>
  <c r="E34" i="87"/>
  <c r="F34" i="87" s="1"/>
  <c r="G34" i="87" s="1"/>
  <c r="I34" i="87"/>
  <c r="B32" i="80"/>
  <c r="I32" i="80" s="1"/>
  <c r="B27" i="18"/>
  <c r="C27" i="18" s="1"/>
  <c r="B27" i="17"/>
  <c r="C27" i="17" s="1"/>
  <c r="B31" i="72"/>
  <c r="I31" i="72" s="1"/>
  <c r="B30" i="71"/>
  <c r="E30" i="71" s="1"/>
  <c r="F30" i="71" s="1"/>
  <c r="G30" i="71" s="1"/>
  <c r="B27" i="20"/>
  <c r="I27" i="20" s="1"/>
  <c r="B30" i="30"/>
  <c r="I30" i="30" s="1"/>
  <c r="B36" i="53"/>
  <c r="I36" i="53" s="1"/>
  <c r="B30" i="6"/>
  <c r="I30" i="6" s="1"/>
  <c r="B27" i="70"/>
  <c r="I27" i="70" s="1"/>
  <c r="B30" i="5"/>
  <c r="I30" i="5" s="1"/>
  <c r="B25" i="48"/>
  <c r="I25" i="48" s="1"/>
  <c r="B29" i="3"/>
  <c r="C29" i="3" s="1"/>
  <c r="B27" i="19"/>
  <c r="C27" i="19" s="1"/>
  <c r="B31" i="58"/>
  <c r="E31" i="58" s="1"/>
  <c r="F31" i="58" s="1"/>
  <c r="G31" i="58" s="1"/>
  <c r="B52" i="7"/>
  <c r="I52" i="7" s="1"/>
  <c r="B34" i="86"/>
  <c r="I34" i="86" s="1"/>
  <c r="B51" i="8"/>
  <c r="E51" i="8" s="1"/>
  <c r="F51" i="8" s="1"/>
  <c r="G51" i="8" s="1"/>
  <c r="B29" i="31"/>
  <c r="E29" i="31" s="1"/>
  <c r="F29" i="31" s="1"/>
  <c r="G29" i="31" s="1"/>
  <c r="B28" i="31"/>
  <c r="E28" i="31" s="1"/>
  <c r="B51" i="34"/>
  <c r="I51" i="34" s="1"/>
  <c r="B51" i="56"/>
  <c r="C51" i="56" s="1"/>
  <c r="B34" i="88"/>
  <c r="K34" i="88" s="1"/>
  <c r="B52" i="86"/>
  <c r="C52" i="86" s="1"/>
  <c r="B32" i="8"/>
  <c r="C32" i="8" s="1"/>
  <c r="B50" i="19"/>
  <c r="E50" i="19" s="1"/>
  <c r="F50" i="19" s="1"/>
  <c r="G50" i="19" s="1"/>
  <c r="B31" i="53"/>
  <c r="J31" i="53" s="1"/>
  <c r="B52" i="4"/>
  <c r="B36" i="86"/>
  <c r="I36" i="86" s="1"/>
  <c r="B30" i="85"/>
  <c r="E30" i="85" s="1"/>
  <c r="F30" i="85" s="1"/>
  <c r="G30" i="85" s="1"/>
  <c r="B50" i="70"/>
  <c r="I50" i="70" s="1"/>
  <c r="B50" i="56"/>
  <c r="C50" i="56" s="1"/>
  <c r="B54" i="56"/>
  <c r="I54" i="56" s="1"/>
  <c r="B49" i="46"/>
  <c r="B50" i="61"/>
  <c r="I50" i="61" s="1"/>
  <c r="B31" i="62"/>
  <c r="E31" i="62" s="1"/>
  <c r="F31" i="62" s="1"/>
  <c r="G31" i="62" s="1"/>
  <c r="B51" i="58"/>
  <c r="I51" i="58" s="1"/>
  <c r="B45" i="47"/>
  <c r="I45" i="47" s="1"/>
  <c r="B50" i="17"/>
  <c r="C50" i="17" s="1"/>
  <c r="B38" i="81"/>
  <c r="I38" i="81" s="1"/>
  <c r="B52" i="54"/>
  <c r="C52" i="54" s="1"/>
  <c r="B34" i="3"/>
  <c r="C34" i="3" s="1"/>
  <c r="B50" i="44"/>
  <c r="C50" i="44" s="1"/>
  <c r="B47" i="46"/>
  <c r="C47" i="46" s="1"/>
  <c r="B28" i="4"/>
  <c r="J28" i="4" s="1"/>
  <c r="B28" i="86"/>
  <c r="C28" i="86" s="1"/>
  <c r="B49" i="34"/>
  <c r="B52" i="8"/>
  <c r="C52" i="8" s="1"/>
  <c r="B51" i="61"/>
  <c r="I51" i="61" s="1"/>
  <c r="B47" i="33"/>
  <c r="C47" i="33" s="1"/>
  <c r="B47" i="53"/>
  <c r="I47" i="53" s="1"/>
  <c r="B51" i="6"/>
  <c r="I51" i="6" s="1"/>
  <c r="B51" i="3"/>
  <c r="I51" i="3" s="1"/>
  <c r="B49" i="18"/>
  <c r="I49" i="18" s="1"/>
  <c r="B49" i="19"/>
  <c r="C49" i="19" s="1"/>
  <c r="B49" i="61"/>
  <c r="I49" i="61" s="1"/>
  <c r="B51" i="18"/>
  <c r="I51" i="18" s="1"/>
  <c r="B51" i="20"/>
  <c r="I51" i="20" s="1"/>
  <c r="B51" i="5"/>
  <c r="I51" i="5" s="1"/>
  <c r="B51" i="30"/>
  <c r="E51" i="30" s="1"/>
  <c r="F51" i="30" s="1"/>
  <c r="G51" i="30" s="1"/>
  <c r="B49" i="20"/>
  <c r="I49" i="20" s="1"/>
  <c r="B49" i="17"/>
  <c r="I49" i="17" s="1"/>
  <c r="B47" i="48"/>
  <c r="C47" i="48" s="1"/>
  <c r="B51" i="70"/>
  <c r="E51" i="70" s="1"/>
  <c r="F51" i="70" s="1"/>
  <c r="G51" i="70" s="1"/>
  <c r="B49" i="56"/>
  <c r="E49" i="56" s="1"/>
  <c r="F49" i="56" s="1"/>
  <c r="G49" i="56" s="1"/>
  <c r="B51" i="19"/>
  <c r="C51" i="19" s="1"/>
  <c r="B51" i="62"/>
  <c r="C51" i="62" s="1"/>
  <c r="B50" i="8"/>
  <c r="I50" i="8" s="1"/>
  <c r="B38" i="80"/>
  <c r="E38" i="80" s="1"/>
  <c r="F38" i="80" s="1"/>
  <c r="G38" i="80" s="1"/>
  <c r="B51" i="85"/>
  <c r="I51" i="85" s="1"/>
  <c r="B48" i="44"/>
  <c r="E48" i="44" s="1"/>
  <c r="F48" i="44" s="1"/>
  <c r="G48" i="44" s="1"/>
  <c r="B49" i="70"/>
  <c r="I49" i="70" s="1"/>
  <c r="B40" i="78"/>
  <c r="B27" i="33"/>
  <c r="J27" i="33" s="1"/>
  <c r="B30" i="88"/>
  <c r="C30" i="88" s="1"/>
  <c r="B31" i="33"/>
  <c r="C31" i="33" s="1"/>
  <c r="B29" i="88"/>
  <c r="K29" i="88" s="1"/>
  <c r="K34" i="4"/>
  <c r="J34" i="4"/>
  <c r="B30" i="86"/>
  <c r="I30" i="86" s="1"/>
  <c r="B38" i="71"/>
  <c r="B38" i="6"/>
  <c r="B38" i="85"/>
  <c r="B38" i="86"/>
  <c r="B38" i="5"/>
  <c r="B28" i="30"/>
  <c r="B28" i="85"/>
  <c r="B25" i="70"/>
  <c r="B28" i="71"/>
  <c r="B24" i="44"/>
  <c r="B28" i="5"/>
  <c r="B29" i="72"/>
  <c r="B28" i="6"/>
  <c r="B25" i="19"/>
  <c r="B25" i="17"/>
  <c r="B25" i="18"/>
  <c r="B25" i="34"/>
  <c r="B28" i="3"/>
  <c r="B23" i="48"/>
  <c r="B28" i="87"/>
  <c r="B25" i="20"/>
  <c r="B28" i="88"/>
  <c r="B25" i="33"/>
  <c r="I34" i="85"/>
  <c r="C34" i="85"/>
  <c r="J34" i="85"/>
  <c r="E34" i="85"/>
  <c r="F34" i="85" s="1"/>
  <c r="G34" i="85" s="1"/>
  <c r="K34" i="85"/>
  <c r="I30" i="44"/>
  <c r="J30" i="44"/>
  <c r="E30" i="44"/>
  <c r="F30" i="44" s="1"/>
  <c r="G30" i="44" s="1"/>
  <c r="C30" i="44"/>
  <c r="B25" i="46"/>
  <c r="B23" i="47"/>
  <c r="B40" i="51"/>
  <c r="B38" i="78"/>
  <c r="B36" i="6"/>
  <c r="B36" i="5"/>
  <c r="B36" i="85"/>
  <c r="B36" i="71"/>
  <c r="B31" i="78"/>
  <c r="B31" i="55"/>
  <c r="B32" i="51"/>
  <c r="B27" i="81"/>
  <c r="I31" i="61"/>
  <c r="C31" i="61"/>
  <c r="E31" i="61"/>
  <c r="F31" i="61" s="1"/>
  <c r="G31" i="61" s="1"/>
  <c r="J31" i="61"/>
  <c r="B52" i="87"/>
  <c r="B52" i="88"/>
  <c r="I31" i="20"/>
  <c r="E31" i="20"/>
  <c r="F31" i="20" s="1"/>
  <c r="G31" i="20" s="1"/>
  <c r="J31" i="20"/>
  <c r="C31" i="20"/>
  <c r="I30" i="46"/>
  <c r="C30" i="46"/>
  <c r="E30" i="46"/>
  <c r="F30" i="46" s="1"/>
  <c r="G30" i="46" s="1"/>
  <c r="J30" i="46"/>
  <c r="B46" i="70"/>
  <c r="B46" i="19"/>
  <c r="B46" i="20"/>
  <c r="B46" i="17"/>
  <c r="B46" i="18"/>
  <c r="B46" i="34"/>
  <c r="B46" i="62"/>
  <c r="B44" i="48"/>
  <c r="B45" i="44"/>
  <c r="B46" i="61"/>
  <c r="B46" i="58"/>
  <c r="B31" i="18"/>
  <c r="C31" i="18" s="1"/>
  <c r="B50" i="62"/>
  <c r="B50" i="58"/>
  <c r="B27" i="80"/>
  <c r="B42" i="51"/>
  <c r="B40" i="55"/>
  <c r="B35" i="37"/>
  <c r="B35" i="74"/>
  <c r="B30" i="55"/>
  <c r="B30" i="78"/>
  <c r="B31" i="51"/>
  <c r="B26" i="80"/>
  <c r="B30" i="53"/>
  <c r="B26" i="81"/>
  <c r="B29" i="7"/>
  <c r="B26" i="58"/>
  <c r="B26" i="61"/>
  <c r="B29" i="54"/>
  <c r="B26" i="62"/>
  <c r="I34" i="7"/>
  <c r="C34" i="7"/>
  <c r="J34" i="7"/>
  <c r="E34" i="7"/>
  <c r="F34" i="7" s="1"/>
  <c r="G34" i="7" s="1"/>
  <c r="B28" i="74"/>
  <c r="B28" i="37"/>
  <c r="I36" i="55"/>
  <c r="J36" i="55"/>
  <c r="C36" i="55"/>
  <c r="E36" i="55"/>
  <c r="F36" i="55" s="1"/>
  <c r="G36" i="55" s="1"/>
  <c r="B34" i="72"/>
  <c r="B33" i="88"/>
  <c r="B33" i="87"/>
  <c r="B27" i="61"/>
  <c r="B30" i="54"/>
  <c r="B30" i="7"/>
  <c r="B27" i="58"/>
  <c r="B27" i="62"/>
  <c r="B53" i="87"/>
  <c r="B53" i="88"/>
  <c r="I31" i="70"/>
  <c r="K31" i="70"/>
  <c r="E31" i="70"/>
  <c r="F31" i="70" s="1"/>
  <c r="G31" i="70" s="1"/>
  <c r="C31" i="70"/>
  <c r="B26" i="46"/>
  <c r="B24" i="47"/>
  <c r="B53" i="54"/>
  <c r="B52" i="3"/>
  <c r="B53" i="7"/>
  <c r="B52" i="6"/>
  <c r="B53" i="71"/>
  <c r="B52" i="85"/>
  <c r="B52" i="5"/>
  <c r="B52" i="30"/>
  <c r="B31" i="34"/>
  <c r="B49" i="62"/>
  <c r="B49" i="58"/>
  <c r="B48" i="56"/>
  <c r="B51" i="4"/>
  <c r="C51" i="4" s="1"/>
  <c r="B27" i="56"/>
  <c r="K27" i="56" s="1"/>
  <c r="B49" i="51"/>
  <c r="B47" i="55"/>
  <c r="B48" i="55"/>
  <c r="B49" i="55"/>
  <c r="B38" i="55"/>
  <c r="B50" i="51"/>
  <c r="B51" i="51"/>
  <c r="I34" i="54"/>
  <c r="C34" i="54"/>
  <c r="J34" i="54"/>
  <c r="E34" i="54"/>
  <c r="F34" i="54" s="1"/>
  <c r="G34" i="54" s="1"/>
  <c r="I38" i="51"/>
  <c r="J38" i="51"/>
  <c r="I34" i="6"/>
  <c r="K34" i="6"/>
  <c r="E34" i="6"/>
  <c r="F34" i="6" s="1"/>
  <c r="G34" i="6" s="1"/>
  <c r="C34" i="6"/>
  <c r="B27" i="37"/>
  <c r="B27" i="74"/>
  <c r="B47" i="17"/>
  <c r="B46" i="44"/>
  <c r="B47" i="20"/>
  <c r="B47" i="18"/>
  <c r="B47" i="34"/>
  <c r="B47" i="19"/>
  <c r="B45" i="48"/>
  <c r="B47" i="62"/>
  <c r="B47" i="70"/>
  <c r="B47" i="61"/>
  <c r="B47" i="58"/>
  <c r="B34" i="74"/>
  <c r="B34" i="37"/>
  <c r="B29" i="87"/>
  <c r="B34" i="71"/>
  <c r="B31" i="17"/>
  <c r="B52" i="34"/>
  <c r="B52" i="20"/>
  <c r="B52" i="61"/>
  <c r="B52" i="18"/>
  <c r="B52" i="70"/>
  <c r="B52" i="17"/>
  <c r="B52" i="62"/>
  <c r="B52" i="58"/>
  <c r="B50" i="48"/>
  <c r="B52" i="19"/>
  <c r="B51" i="44"/>
  <c r="B53" i="70"/>
  <c r="B53" i="19"/>
  <c r="B53" i="18"/>
  <c r="B53" i="17"/>
  <c r="B52" i="44"/>
  <c r="B53" i="58"/>
  <c r="B53" i="62"/>
  <c r="B53" i="61"/>
  <c r="B53" i="20"/>
  <c r="B51" i="48"/>
  <c r="B53" i="34"/>
  <c r="B30" i="3"/>
  <c r="K30" i="3" s="1"/>
  <c r="J35" i="72"/>
  <c r="I35" i="72"/>
  <c r="C35" i="72"/>
  <c r="I34" i="30"/>
  <c r="J34" i="30"/>
  <c r="E34" i="30"/>
  <c r="F34" i="30" s="1"/>
  <c r="G34" i="30" s="1"/>
  <c r="K34" i="30"/>
  <c r="C34" i="30"/>
  <c r="I39" i="72"/>
  <c r="K34" i="3"/>
  <c r="B29" i="74"/>
  <c r="B29" i="37"/>
  <c r="I34" i="5"/>
  <c r="K34" i="5"/>
  <c r="E34" i="5"/>
  <c r="F34" i="5" s="1"/>
  <c r="G34" i="5" s="1"/>
  <c r="C34" i="5"/>
  <c r="B25" i="61"/>
  <c r="B28" i="7"/>
  <c r="B25" i="58"/>
  <c r="B25" i="62"/>
  <c r="B28" i="54"/>
  <c r="B44" i="61"/>
  <c r="B44" i="34"/>
  <c r="B44" i="18"/>
  <c r="B42" i="48"/>
  <c r="B44" i="20"/>
  <c r="B44" i="62"/>
  <c r="B44" i="19"/>
  <c r="B44" i="58"/>
  <c r="B43" i="44"/>
  <c r="B44" i="17"/>
  <c r="B44" i="70"/>
  <c r="B36" i="78"/>
  <c r="B32" i="81"/>
  <c r="I31" i="19"/>
  <c r="C31" i="19"/>
  <c r="E31" i="19"/>
  <c r="F31" i="19" s="1"/>
  <c r="G31" i="19" s="1"/>
  <c r="K31" i="19"/>
  <c r="B43" i="48"/>
  <c r="B44" i="44"/>
  <c r="B45" i="18"/>
  <c r="B45" i="34"/>
  <c r="B45" i="19"/>
  <c r="B45" i="20"/>
  <c r="B45" i="17"/>
  <c r="B45" i="70"/>
  <c r="B45" i="61"/>
  <c r="B45" i="58"/>
  <c r="B45" i="62"/>
  <c r="B45" i="33"/>
  <c r="B54" i="62"/>
  <c r="B54" i="58"/>
  <c r="B46" i="33"/>
  <c r="B30" i="87"/>
  <c r="R30" i="88"/>
  <c r="R26" i="88"/>
  <c r="R32" i="88"/>
  <c r="R29" i="88"/>
  <c r="R21" i="88"/>
  <c r="S21" i="88" s="1"/>
  <c r="T21" i="88" s="1"/>
  <c r="S17" i="88"/>
  <c r="S9" i="88" s="1"/>
  <c r="R24" i="88"/>
  <c r="R28" i="88"/>
  <c r="R23" i="88"/>
  <c r="S23" i="88" s="1"/>
  <c r="V23" i="88" s="1"/>
  <c r="U17" i="88"/>
  <c r="U9" i="88" s="1"/>
  <c r="R25" i="88"/>
  <c r="T17" i="88"/>
  <c r="T9" i="88" s="1"/>
  <c r="R27" i="88"/>
  <c r="R31" i="88"/>
  <c r="R22" i="88"/>
  <c r="M13" i="88"/>
  <c r="O10" i="88" s="1"/>
  <c r="O11" i="88" s="1"/>
  <c r="R27" i="87"/>
  <c r="R31" i="87"/>
  <c r="R22" i="87"/>
  <c r="R25" i="87"/>
  <c r="T17" i="87"/>
  <c r="T9" i="87" s="1"/>
  <c r="R28" i="87"/>
  <c r="R23" i="87"/>
  <c r="U17" i="87"/>
  <c r="U9" i="87" s="1"/>
  <c r="R32" i="87"/>
  <c r="R29" i="87"/>
  <c r="R21" i="87"/>
  <c r="S21" i="87" s="1"/>
  <c r="T21" i="87" s="1"/>
  <c r="S17" i="87"/>
  <c r="S9" i="87" s="1"/>
  <c r="R24" i="87"/>
  <c r="R30" i="87"/>
  <c r="R26" i="87"/>
  <c r="M13" i="87"/>
  <c r="I49" i="46"/>
  <c r="E49" i="46"/>
  <c r="F49" i="46" s="1"/>
  <c r="G49" i="46" s="1"/>
  <c r="C49" i="46"/>
  <c r="B34" i="31"/>
  <c r="E24" i="48"/>
  <c r="F24" i="48" s="1"/>
  <c r="G24" i="48" s="1"/>
  <c r="C26" i="17"/>
  <c r="G22" i="33"/>
  <c r="G22" i="17"/>
  <c r="G22" i="20"/>
  <c r="G21" i="44"/>
  <c r="G22" i="70"/>
  <c r="G22" i="19"/>
  <c r="G22" i="18"/>
  <c r="G20" i="48"/>
  <c r="B45" i="80"/>
  <c r="B53" i="31"/>
  <c r="I51" i="8"/>
  <c r="C51" i="8"/>
  <c r="B46" i="8"/>
  <c r="B45" i="56"/>
  <c r="B51" i="33"/>
  <c r="B47" i="80"/>
  <c r="B47" i="81"/>
  <c r="J32" i="8"/>
  <c r="B25" i="56"/>
  <c r="B49" i="33"/>
  <c r="I26" i="44"/>
  <c r="C26" i="44"/>
  <c r="J26" i="44"/>
  <c r="E26" i="44"/>
  <c r="F26" i="44" s="1"/>
  <c r="G26" i="44" s="1"/>
  <c r="B45" i="81"/>
  <c r="B47" i="8"/>
  <c r="B46" i="56"/>
  <c r="B46" i="81"/>
  <c r="B50" i="33"/>
  <c r="B51" i="17"/>
  <c r="B49" i="48"/>
  <c r="B47" i="47"/>
  <c r="B50" i="34"/>
  <c r="B50" i="20"/>
  <c r="B48" i="46"/>
  <c r="B48" i="48"/>
  <c r="B52" i="31"/>
  <c r="B52" i="56"/>
  <c r="B54" i="8"/>
  <c r="B53" i="33"/>
  <c r="B49" i="81"/>
  <c r="B53" i="56"/>
  <c r="B49" i="80"/>
  <c r="C29" i="71"/>
  <c r="C29" i="30"/>
  <c r="B26" i="8"/>
  <c r="C26" i="8" s="1"/>
  <c r="I49" i="34"/>
  <c r="C49" i="34"/>
  <c r="E49" i="34"/>
  <c r="F49" i="34" s="1"/>
  <c r="G49" i="34" s="1"/>
  <c r="B28" i="8"/>
  <c r="C28" i="8" s="1"/>
  <c r="B46" i="80"/>
  <c r="B46" i="47"/>
  <c r="B49" i="44"/>
  <c r="B50" i="18"/>
  <c r="B44" i="56"/>
  <c r="B44" i="33"/>
  <c r="B45" i="8"/>
  <c r="B31" i="56"/>
  <c r="B26" i="33"/>
  <c r="B39" i="81"/>
  <c r="B39" i="80"/>
  <c r="B48" i="53"/>
  <c r="I25" i="44"/>
  <c r="E25" i="44"/>
  <c r="F25" i="44" s="1"/>
  <c r="B53" i="86"/>
  <c r="B30" i="31"/>
  <c r="C25" i="48"/>
  <c r="B30" i="4"/>
  <c r="B48" i="81"/>
  <c r="B53" i="8"/>
  <c r="B48" i="80"/>
  <c r="B52" i="33"/>
  <c r="B52" i="48"/>
  <c r="B54" i="70"/>
  <c r="B54" i="19"/>
  <c r="B54" i="18"/>
  <c r="B54" i="17"/>
  <c r="B55" i="8"/>
  <c r="B50" i="81"/>
  <c r="B53" i="44"/>
  <c r="B54" i="33"/>
  <c r="B54" i="20"/>
  <c r="B50" i="80"/>
  <c r="B54" i="34"/>
  <c r="B54" i="61"/>
  <c r="B47" i="56"/>
  <c r="B48" i="8"/>
  <c r="B30" i="56"/>
  <c r="K30" i="56" s="1"/>
  <c r="B31" i="8"/>
  <c r="B33" i="31"/>
  <c r="K33" i="31" s="1"/>
  <c r="B33" i="86"/>
  <c r="B48" i="33"/>
  <c r="B48" i="62"/>
  <c r="B48" i="58"/>
  <c r="B46" i="48"/>
  <c r="B48" i="70"/>
  <c r="B48" i="19"/>
  <c r="B48" i="18"/>
  <c r="B48" i="17"/>
  <c r="B49" i="8"/>
  <c r="B47" i="44"/>
  <c r="B48" i="20"/>
  <c r="B48" i="61"/>
  <c r="B48" i="34"/>
  <c r="B29" i="4"/>
  <c r="B26" i="56"/>
  <c r="B29" i="85"/>
  <c r="B29" i="86"/>
  <c r="E25" i="48" l="1"/>
  <c r="F25" i="48" s="1"/>
  <c r="G25" i="48" s="1"/>
  <c r="E47" i="33"/>
  <c r="F47" i="33" s="1"/>
  <c r="G47" i="33" s="1"/>
  <c r="C25" i="44"/>
  <c r="I52" i="71"/>
  <c r="E52" i="71"/>
  <c r="F52" i="71" s="1"/>
  <c r="G52" i="71" s="1"/>
  <c r="E32" i="8"/>
  <c r="F32" i="8" s="1"/>
  <c r="G32" i="8" s="1"/>
  <c r="I32" i="8"/>
  <c r="C47" i="78"/>
  <c r="J25" i="48"/>
  <c r="I31" i="53"/>
  <c r="I38" i="80"/>
  <c r="I31" i="62"/>
  <c r="C26" i="34"/>
  <c r="I26" i="34"/>
  <c r="E26" i="34"/>
  <c r="F26" i="34" s="1"/>
  <c r="G26" i="34" s="1"/>
  <c r="K26" i="70"/>
  <c r="E26" i="70"/>
  <c r="F26" i="70" s="1"/>
  <c r="I26" i="70"/>
  <c r="J26" i="20"/>
  <c r="I26" i="20"/>
  <c r="J26" i="17"/>
  <c r="E27" i="17"/>
  <c r="F27" i="17" s="1"/>
  <c r="G27" i="17" s="1"/>
  <c r="E50" i="17"/>
  <c r="F50" i="17" s="1"/>
  <c r="G50" i="17" s="1"/>
  <c r="I26" i="17"/>
  <c r="I27" i="17"/>
  <c r="I50" i="17"/>
  <c r="J27" i="17"/>
  <c r="E26" i="19"/>
  <c r="F26" i="19" s="1"/>
  <c r="I26" i="19"/>
  <c r="C26" i="19"/>
  <c r="E49" i="18"/>
  <c r="F49" i="18" s="1"/>
  <c r="G49" i="18" s="1"/>
  <c r="E38" i="51"/>
  <c r="F38" i="51" s="1"/>
  <c r="G38" i="51" s="1"/>
  <c r="I47" i="33"/>
  <c r="C49" i="18"/>
  <c r="K29" i="5"/>
  <c r="I29" i="5"/>
  <c r="K30" i="5"/>
  <c r="C30" i="5"/>
  <c r="C29" i="5"/>
  <c r="E30" i="5"/>
  <c r="F30" i="5" s="1"/>
  <c r="G30" i="5" s="1"/>
  <c r="K30" i="71"/>
  <c r="C30" i="71"/>
  <c r="I30" i="71"/>
  <c r="K29" i="30"/>
  <c r="I29" i="30"/>
  <c r="I30" i="72"/>
  <c r="C31" i="72"/>
  <c r="E37" i="72"/>
  <c r="F37" i="72" s="1"/>
  <c r="G37" i="72" s="1"/>
  <c r="C30" i="72"/>
  <c r="D30" i="72"/>
  <c r="J30" i="72" s="1"/>
  <c r="E47" i="78"/>
  <c r="F47" i="78" s="1"/>
  <c r="G47" i="78" s="1"/>
  <c r="C49" i="17"/>
  <c r="E50" i="56"/>
  <c r="F50" i="56" s="1"/>
  <c r="G50" i="56" s="1"/>
  <c r="E27" i="70"/>
  <c r="F27" i="70" s="1"/>
  <c r="G27" i="70" s="1"/>
  <c r="I50" i="56"/>
  <c r="K27" i="70"/>
  <c r="C27" i="34"/>
  <c r="I38" i="72"/>
  <c r="K29" i="71"/>
  <c r="J27" i="34"/>
  <c r="E49" i="19"/>
  <c r="F49" i="19" s="1"/>
  <c r="G49" i="19" s="1"/>
  <c r="C27" i="70"/>
  <c r="E27" i="34"/>
  <c r="F27" i="34" s="1"/>
  <c r="G27" i="34" s="1"/>
  <c r="J39" i="72"/>
  <c r="C30" i="6"/>
  <c r="E39" i="72"/>
  <c r="F39" i="72" s="1"/>
  <c r="G39" i="72" s="1"/>
  <c r="E29" i="71"/>
  <c r="F29" i="71" s="1"/>
  <c r="G29" i="71" s="1"/>
  <c r="E51" i="18"/>
  <c r="F51" i="18" s="1"/>
  <c r="G51" i="18" s="1"/>
  <c r="C51" i="18"/>
  <c r="K26" i="18"/>
  <c r="E26" i="18"/>
  <c r="F26" i="18" s="1"/>
  <c r="G26" i="18" s="1"/>
  <c r="I26" i="18"/>
  <c r="K27" i="18"/>
  <c r="E27" i="18"/>
  <c r="F27" i="18" s="1"/>
  <c r="G27" i="18" s="1"/>
  <c r="I27" i="18"/>
  <c r="V32" i="30"/>
  <c r="T32" i="30"/>
  <c r="M30" i="30"/>
  <c r="N29" i="30"/>
  <c r="V27" i="30"/>
  <c r="U27" i="30"/>
  <c r="U30" i="30"/>
  <c r="T30" i="30"/>
  <c r="B36" i="30"/>
  <c r="I36" i="30" s="1"/>
  <c r="U24" i="30"/>
  <c r="T24" i="30"/>
  <c r="J29" i="30"/>
  <c r="V26" i="30"/>
  <c r="T26" i="30"/>
  <c r="M31" i="78"/>
  <c r="L33" i="78"/>
  <c r="C31" i="53"/>
  <c r="E31" i="53"/>
  <c r="F31" i="53" s="1"/>
  <c r="G31" i="53" s="1"/>
  <c r="S26" i="53"/>
  <c r="T26" i="53"/>
  <c r="U35" i="53"/>
  <c r="S35" i="53"/>
  <c r="S33" i="53"/>
  <c r="T33" i="53"/>
  <c r="U29" i="53"/>
  <c r="T29" i="53"/>
  <c r="L29" i="53"/>
  <c r="L31" i="53"/>
  <c r="U28" i="53"/>
  <c r="S28" i="53"/>
  <c r="T25" i="81"/>
  <c r="U25" i="81"/>
  <c r="U24" i="81"/>
  <c r="S24" i="81"/>
  <c r="S22" i="81"/>
  <c r="T22" i="81"/>
  <c r="U31" i="81"/>
  <c r="S31" i="81"/>
  <c r="L27" i="81"/>
  <c r="L25" i="81"/>
  <c r="T29" i="81"/>
  <c r="S29" i="81"/>
  <c r="S31" i="80"/>
  <c r="U31" i="80"/>
  <c r="S29" i="80"/>
  <c r="T29" i="80"/>
  <c r="S24" i="80"/>
  <c r="U24" i="80"/>
  <c r="T25" i="80"/>
  <c r="U25" i="80"/>
  <c r="L25" i="80"/>
  <c r="L27" i="80"/>
  <c r="T22" i="80"/>
  <c r="S22" i="80"/>
  <c r="D42" i="51"/>
  <c r="J42" i="51" s="1"/>
  <c r="D40" i="51"/>
  <c r="J40" i="51" s="1"/>
  <c r="B41" i="51"/>
  <c r="I41" i="51" s="1"/>
  <c r="C43" i="51"/>
  <c r="M34" i="51"/>
  <c r="C41" i="51"/>
  <c r="B43" i="51"/>
  <c r="I43" i="51" s="1"/>
  <c r="E43" i="51"/>
  <c r="E41" i="51"/>
  <c r="D39" i="55"/>
  <c r="J39" i="55" s="1"/>
  <c r="D41" i="55"/>
  <c r="J41" i="55" s="1"/>
  <c r="F39" i="55"/>
  <c r="G39" i="55" s="1"/>
  <c r="F41" i="55"/>
  <c r="G41" i="55" s="1"/>
  <c r="L13" i="7"/>
  <c r="M13" i="7" s="1"/>
  <c r="M14" i="7"/>
  <c r="Q28" i="7"/>
  <c r="R28" i="7" s="1"/>
  <c r="U28" i="7" s="1"/>
  <c r="Q23" i="7"/>
  <c r="R23" i="7" s="1"/>
  <c r="U23" i="7" s="1"/>
  <c r="L26" i="7" s="1"/>
  <c r="T17" i="7"/>
  <c r="T9" i="7" s="1"/>
  <c r="Q31" i="7"/>
  <c r="R31" i="7" s="1"/>
  <c r="Q29" i="7"/>
  <c r="R29" i="7" s="1"/>
  <c r="S29" i="7" s="1"/>
  <c r="Q21" i="7"/>
  <c r="R21" i="7" s="1"/>
  <c r="S21" i="7" s="1"/>
  <c r="L24" i="7" s="1"/>
  <c r="Q26" i="7"/>
  <c r="R26" i="7" s="1"/>
  <c r="Q24" i="7"/>
  <c r="R24" i="7" s="1"/>
  <c r="Q43" i="7"/>
  <c r="R43" i="7" s="1"/>
  <c r="R17" i="7"/>
  <c r="R9" i="7" s="1"/>
  <c r="Q27" i="7"/>
  <c r="R27" i="7" s="1"/>
  <c r="Q32" i="7"/>
  <c r="R32" i="7" s="1"/>
  <c r="T32" i="7" s="1"/>
  <c r="Q25" i="7"/>
  <c r="R25" i="7" s="1"/>
  <c r="T25" i="7" s="1"/>
  <c r="Q22" i="7"/>
  <c r="R22" i="7" s="1"/>
  <c r="T22" i="7" s="1"/>
  <c r="L25" i="7" s="1"/>
  <c r="S17" i="7"/>
  <c r="S9" i="7" s="1"/>
  <c r="L31" i="54"/>
  <c r="M29" i="54"/>
  <c r="B36" i="54"/>
  <c r="B38" i="54"/>
  <c r="I38" i="54" s="1"/>
  <c r="C37" i="5"/>
  <c r="B37" i="5"/>
  <c r="I37" i="5" s="1"/>
  <c r="B39" i="5"/>
  <c r="I39" i="5" s="1"/>
  <c r="E37" i="5"/>
  <c r="E39" i="5"/>
  <c r="N30" i="5"/>
  <c r="C39" i="5"/>
  <c r="D36" i="5"/>
  <c r="K36" i="5" s="1"/>
  <c r="D38" i="5"/>
  <c r="K38" i="5" s="1"/>
  <c r="T26" i="6"/>
  <c r="V26" i="6"/>
  <c r="T30" i="6"/>
  <c r="U30" i="6"/>
  <c r="U27" i="6"/>
  <c r="V27" i="6"/>
  <c r="M27" i="6"/>
  <c r="M29" i="6"/>
  <c r="T32" i="6"/>
  <c r="V32" i="6"/>
  <c r="T24" i="6"/>
  <c r="U24" i="6"/>
  <c r="E34" i="4"/>
  <c r="F34" i="4" s="1"/>
  <c r="G34" i="4" s="1"/>
  <c r="I34" i="4"/>
  <c r="I29" i="3"/>
  <c r="T24" i="4"/>
  <c r="U24" i="4"/>
  <c r="U30" i="4"/>
  <c r="T30" i="4"/>
  <c r="V27" i="4"/>
  <c r="U27" i="4"/>
  <c r="V32" i="4"/>
  <c r="T32" i="4"/>
  <c r="M29" i="4"/>
  <c r="M27" i="4"/>
  <c r="V26" i="4"/>
  <c r="T26" i="4"/>
  <c r="E51" i="85"/>
  <c r="F51" i="85" s="1"/>
  <c r="G51" i="85" s="1"/>
  <c r="M30" i="85"/>
  <c r="N29" i="85"/>
  <c r="M30" i="86"/>
  <c r="N29" i="86"/>
  <c r="C34" i="86"/>
  <c r="T26" i="3"/>
  <c r="V26" i="3"/>
  <c r="U27" i="3"/>
  <c r="V27" i="3"/>
  <c r="V32" i="3"/>
  <c r="T32" i="3"/>
  <c r="U30" i="3"/>
  <c r="T30" i="3"/>
  <c r="T24" i="3"/>
  <c r="U24" i="3"/>
  <c r="E34" i="3"/>
  <c r="F34" i="3" s="1"/>
  <c r="G34" i="3" s="1"/>
  <c r="E29" i="3"/>
  <c r="F29" i="3" s="1"/>
  <c r="G29" i="3" s="1"/>
  <c r="I34" i="3"/>
  <c r="K29" i="3"/>
  <c r="E51" i="3"/>
  <c r="F51" i="3" s="1"/>
  <c r="G51" i="3" s="1"/>
  <c r="C54" i="56"/>
  <c r="I49" i="56"/>
  <c r="C49" i="56"/>
  <c r="E29" i="6"/>
  <c r="F29" i="6" s="1"/>
  <c r="G29" i="6" s="1"/>
  <c r="C24" i="48"/>
  <c r="I37" i="72"/>
  <c r="C29" i="6"/>
  <c r="I24" i="48"/>
  <c r="K29" i="6"/>
  <c r="E26" i="20"/>
  <c r="F26" i="20" s="1"/>
  <c r="G26" i="20" s="1"/>
  <c r="E38" i="72"/>
  <c r="F38" i="72" s="1"/>
  <c r="G38" i="72" s="1"/>
  <c r="I48" i="56"/>
  <c r="E48" i="56"/>
  <c r="F48" i="56" s="1"/>
  <c r="G48" i="56" s="1"/>
  <c r="C48" i="56"/>
  <c r="B5" i="33"/>
  <c r="B5" i="70"/>
  <c r="B5" i="48"/>
  <c r="B5" i="19"/>
  <c r="B5" i="44"/>
  <c r="B5" i="20"/>
  <c r="A4" i="17"/>
  <c r="A4" i="44"/>
  <c r="A4" i="48"/>
  <c r="A4" i="20"/>
  <c r="A4" i="70"/>
  <c r="A4" i="19"/>
  <c r="A4" i="18"/>
  <c r="A4" i="33"/>
  <c r="E48" i="78"/>
  <c r="F48" i="78" s="1"/>
  <c r="G48" i="78" s="1"/>
  <c r="I48" i="78"/>
  <c r="S24" i="31"/>
  <c r="U24" i="31" s="1"/>
  <c r="C38" i="80"/>
  <c r="E34" i="86"/>
  <c r="F34" i="86" s="1"/>
  <c r="G34" i="86" s="1"/>
  <c r="E30" i="6"/>
  <c r="F30" i="6" s="1"/>
  <c r="G30" i="6" s="1"/>
  <c r="J32" i="80"/>
  <c r="K34" i="86"/>
  <c r="C51" i="3"/>
  <c r="K30" i="6"/>
  <c r="E45" i="47"/>
  <c r="F45" i="47" s="1"/>
  <c r="G45" i="47" s="1"/>
  <c r="E32" i="80"/>
  <c r="F32" i="80" s="1"/>
  <c r="G32" i="80" s="1"/>
  <c r="E50" i="70"/>
  <c r="F50" i="70" s="1"/>
  <c r="G50" i="70" s="1"/>
  <c r="E49" i="20"/>
  <c r="F49" i="20" s="1"/>
  <c r="G49" i="20" s="1"/>
  <c r="C45" i="47"/>
  <c r="C32" i="80"/>
  <c r="C50" i="70"/>
  <c r="C49" i="20"/>
  <c r="E52" i="86"/>
  <c r="F52" i="86" s="1"/>
  <c r="G52" i="86" s="1"/>
  <c r="I52" i="86"/>
  <c r="E54" i="56"/>
  <c r="F54" i="56" s="1"/>
  <c r="G54" i="56" s="1"/>
  <c r="C38" i="81"/>
  <c r="I49" i="19"/>
  <c r="C48" i="44"/>
  <c r="I47" i="48"/>
  <c r="K30" i="86"/>
  <c r="I52" i="8"/>
  <c r="C30" i="86"/>
  <c r="E30" i="86"/>
  <c r="F30" i="86" s="1"/>
  <c r="G30" i="86" s="1"/>
  <c r="D33" i="62"/>
  <c r="D33" i="61"/>
  <c r="D33" i="18"/>
  <c r="D32" i="46"/>
  <c r="D33" i="19"/>
  <c r="D33" i="33"/>
  <c r="D31" i="48"/>
  <c r="D33" i="34"/>
  <c r="D33" i="20"/>
  <c r="D33" i="70"/>
  <c r="D33" i="58"/>
  <c r="D32" i="44"/>
  <c r="D33" i="17"/>
  <c r="D30" i="47"/>
  <c r="E27" i="6"/>
  <c r="E27" i="71"/>
  <c r="E24" i="33"/>
  <c r="E24" i="18"/>
  <c r="E24" i="19"/>
  <c r="E24" i="70"/>
  <c r="E23" i="44"/>
  <c r="E24" i="20"/>
  <c r="E22" i="48"/>
  <c r="E24" i="17"/>
  <c r="I51" i="70"/>
  <c r="D31" i="72"/>
  <c r="J31" i="72" s="1"/>
  <c r="E51" i="61"/>
  <c r="F51" i="61" s="1"/>
  <c r="G51" i="61" s="1"/>
  <c r="E49" i="70"/>
  <c r="F49" i="70" s="1"/>
  <c r="G49" i="70" s="1"/>
  <c r="E31" i="72"/>
  <c r="E49" i="61"/>
  <c r="F49" i="61" s="1"/>
  <c r="G49" i="61" s="1"/>
  <c r="C49" i="61"/>
  <c r="C51" i="61"/>
  <c r="C49" i="70"/>
  <c r="I52" i="54"/>
  <c r="C51" i="70"/>
  <c r="J27" i="20"/>
  <c r="E50" i="44"/>
  <c r="F50" i="44" s="1"/>
  <c r="G50" i="44" s="1"/>
  <c r="I30" i="3"/>
  <c r="J27" i="8"/>
  <c r="C27" i="20"/>
  <c r="E51" i="34"/>
  <c r="F51" i="34" s="1"/>
  <c r="G51" i="34" s="1"/>
  <c r="C51" i="34"/>
  <c r="C31" i="58"/>
  <c r="I27" i="33"/>
  <c r="E27" i="19"/>
  <c r="F27" i="19" s="1"/>
  <c r="G27" i="19" s="1"/>
  <c r="K30" i="30"/>
  <c r="C47" i="53"/>
  <c r="I51" i="56"/>
  <c r="E27" i="20"/>
  <c r="F27" i="20" s="1"/>
  <c r="G27" i="20" s="1"/>
  <c r="J30" i="30"/>
  <c r="I50" i="44"/>
  <c r="I27" i="19"/>
  <c r="C31" i="62"/>
  <c r="E47" i="46"/>
  <c r="F47" i="46" s="1"/>
  <c r="G47" i="46" s="1"/>
  <c r="C30" i="30"/>
  <c r="E47" i="53"/>
  <c r="F47" i="53" s="1"/>
  <c r="G47" i="53" s="1"/>
  <c r="I47" i="46"/>
  <c r="E30" i="30"/>
  <c r="F30" i="30" s="1"/>
  <c r="G30" i="30" s="1"/>
  <c r="E50" i="61"/>
  <c r="F50" i="61" s="1"/>
  <c r="G50" i="61" s="1"/>
  <c r="E51" i="5"/>
  <c r="F51" i="5" s="1"/>
  <c r="G51" i="5" s="1"/>
  <c r="E51" i="20"/>
  <c r="F51" i="20" s="1"/>
  <c r="G51" i="20" s="1"/>
  <c r="I31" i="58"/>
  <c r="J31" i="58"/>
  <c r="E51" i="62"/>
  <c r="F51" i="62" s="1"/>
  <c r="G51" i="62" s="1"/>
  <c r="E36" i="86"/>
  <c r="C50" i="61"/>
  <c r="E51" i="19"/>
  <c r="F51" i="19" s="1"/>
  <c r="G51" i="19" s="1"/>
  <c r="I51" i="62"/>
  <c r="C36" i="86"/>
  <c r="K27" i="19"/>
  <c r="E51" i="56"/>
  <c r="F51" i="56" s="1"/>
  <c r="G51" i="56" s="1"/>
  <c r="E51" i="58"/>
  <c r="F51" i="58" s="1"/>
  <c r="G51" i="58" s="1"/>
  <c r="C36" i="53"/>
  <c r="J31" i="62"/>
  <c r="E36" i="53"/>
  <c r="F36" i="53" s="1"/>
  <c r="G36" i="53" s="1"/>
  <c r="C51" i="58"/>
  <c r="I30" i="85"/>
  <c r="J36" i="53"/>
  <c r="E52" i="7"/>
  <c r="F52" i="7" s="1"/>
  <c r="G52" i="7" s="1"/>
  <c r="C52" i="7"/>
  <c r="I51" i="30"/>
  <c r="I28" i="86"/>
  <c r="I28" i="31"/>
  <c r="D28" i="86"/>
  <c r="K28" i="86" s="1"/>
  <c r="E28" i="86"/>
  <c r="I27" i="56"/>
  <c r="E27" i="56"/>
  <c r="F27" i="56" s="1"/>
  <c r="G27" i="56" s="1"/>
  <c r="I28" i="4"/>
  <c r="C30" i="3"/>
  <c r="J30" i="85"/>
  <c r="C51" i="30"/>
  <c r="C51" i="6"/>
  <c r="C50" i="8"/>
  <c r="I51" i="4"/>
  <c r="J31" i="33"/>
  <c r="E31" i="33"/>
  <c r="F31" i="33" s="1"/>
  <c r="G31" i="33" s="1"/>
  <c r="E51" i="6"/>
  <c r="F51" i="6" s="1"/>
  <c r="G51" i="6" s="1"/>
  <c r="E50" i="8"/>
  <c r="F50" i="8" s="1"/>
  <c r="G50" i="8" s="1"/>
  <c r="E34" i="88"/>
  <c r="F34" i="88" s="1"/>
  <c r="G34" i="88" s="1"/>
  <c r="K28" i="4"/>
  <c r="E30" i="3"/>
  <c r="F30" i="3" s="1"/>
  <c r="G30" i="3" s="1"/>
  <c r="C28" i="4"/>
  <c r="K30" i="85"/>
  <c r="D28" i="31"/>
  <c r="K28" i="31" s="1"/>
  <c r="K29" i="31"/>
  <c r="C29" i="31"/>
  <c r="C28" i="31"/>
  <c r="I29" i="31"/>
  <c r="E52" i="54"/>
  <c r="F52" i="54" s="1"/>
  <c r="G52" i="54" s="1"/>
  <c r="E28" i="4"/>
  <c r="F28" i="4" s="1"/>
  <c r="G28" i="4" s="1"/>
  <c r="C30" i="85"/>
  <c r="E52" i="8"/>
  <c r="F52" i="8" s="1"/>
  <c r="G52" i="8" s="1"/>
  <c r="I48" i="44"/>
  <c r="E47" i="48"/>
  <c r="F47" i="48" s="1"/>
  <c r="G47" i="48" s="1"/>
  <c r="I27" i="8"/>
  <c r="I50" i="19"/>
  <c r="C51" i="5"/>
  <c r="C27" i="8"/>
  <c r="C50" i="19"/>
  <c r="E51" i="4"/>
  <c r="F51" i="4" s="1"/>
  <c r="G51" i="4" s="1"/>
  <c r="C34" i="88"/>
  <c r="I34" i="88"/>
  <c r="E30" i="88"/>
  <c r="F30" i="88" s="1"/>
  <c r="G30" i="88" s="1"/>
  <c r="C29" i="88"/>
  <c r="C52" i="4"/>
  <c r="E52" i="4"/>
  <c r="F52" i="4" s="1"/>
  <c r="G52" i="4" s="1"/>
  <c r="I52" i="4"/>
  <c r="I51" i="19"/>
  <c r="E38" i="81"/>
  <c r="F38" i="81" s="1"/>
  <c r="G38" i="81" s="1"/>
  <c r="C51" i="85"/>
  <c r="E49" i="17"/>
  <c r="F49" i="17" s="1"/>
  <c r="G49" i="17" s="1"/>
  <c r="C51" i="20"/>
  <c r="C27" i="33"/>
  <c r="I30" i="88"/>
  <c r="E27" i="33"/>
  <c r="F27" i="33" s="1"/>
  <c r="G27" i="33" s="1"/>
  <c r="K30" i="88"/>
  <c r="I31" i="33"/>
  <c r="I40" i="78"/>
  <c r="C40" i="78"/>
  <c r="E40" i="78"/>
  <c r="C27" i="56"/>
  <c r="E29" i="88"/>
  <c r="F29" i="88" s="1"/>
  <c r="G29" i="88" s="1"/>
  <c r="I29" i="88"/>
  <c r="K30" i="87"/>
  <c r="I30" i="87"/>
  <c r="E30" i="87"/>
  <c r="F30" i="87" s="1"/>
  <c r="G30" i="87" s="1"/>
  <c r="C30" i="87"/>
  <c r="C45" i="62"/>
  <c r="E45" i="62"/>
  <c r="F45" i="62" s="1"/>
  <c r="G45" i="62" s="1"/>
  <c r="I45" i="62"/>
  <c r="I45" i="17"/>
  <c r="E45" i="17"/>
  <c r="F45" i="17" s="1"/>
  <c r="G45" i="17" s="1"/>
  <c r="C45" i="17"/>
  <c r="I45" i="18"/>
  <c r="C45" i="18"/>
  <c r="E45" i="18"/>
  <c r="F45" i="18" s="1"/>
  <c r="G45" i="18" s="1"/>
  <c r="C36" i="78"/>
  <c r="E36" i="78"/>
  <c r="F36" i="78" s="1"/>
  <c r="G36" i="78" s="1"/>
  <c r="I36" i="78"/>
  <c r="J36" i="78"/>
  <c r="C44" i="58"/>
  <c r="E44" i="58"/>
  <c r="F44" i="58" s="1"/>
  <c r="G44" i="58" s="1"/>
  <c r="I44" i="58"/>
  <c r="I42" i="48"/>
  <c r="C42" i="48"/>
  <c r="E42" i="48"/>
  <c r="F42" i="48" s="1"/>
  <c r="G42" i="48" s="1"/>
  <c r="C28" i="54"/>
  <c r="I28" i="54"/>
  <c r="J28" i="54"/>
  <c r="E28" i="54"/>
  <c r="F28" i="54" s="1"/>
  <c r="G28" i="54" s="1"/>
  <c r="I25" i="61"/>
  <c r="J25" i="61"/>
  <c r="C25" i="61"/>
  <c r="E25" i="61"/>
  <c r="F25" i="61" s="1"/>
  <c r="G25" i="61" s="1"/>
  <c r="C53" i="34"/>
  <c r="E53" i="34"/>
  <c r="F53" i="34" s="1"/>
  <c r="G53" i="34" s="1"/>
  <c r="I53" i="34"/>
  <c r="E53" i="62"/>
  <c r="F53" i="62" s="1"/>
  <c r="G53" i="62" s="1"/>
  <c r="I53" i="62"/>
  <c r="C53" i="62"/>
  <c r="I53" i="18"/>
  <c r="C53" i="18"/>
  <c r="E53" i="18"/>
  <c r="F53" i="18" s="1"/>
  <c r="G53" i="18" s="1"/>
  <c r="I52" i="19"/>
  <c r="C52" i="19"/>
  <c r="E52" i="19"/>
  <c r="F52" i="19" s="1"/>
  <c r="G52" i="19" s="1"/>
  <c r="I52" i="17"/>
  <c r="C52" i="17"/>
  <c r="E52" i="17"/>
  <c r="F52" i="17" s="1"/>
  <c r="G52" i="17" s="1"/>
  <c r="I52" i="20"/>
  <c r="C52" i="20"/>
  <c r="E52" i="20"/>
  <c r="F52" i="20" s="1"/>
  <c r="G52" i="20" s="1"/>
  <c r="K29" i="87"/>
  <c r="I29" i="87"/>
  <c r="E29" i="87"/>
  <c r="F29" i="87" s="1"/>
  <c r="G29" i="87" s="1"/>
  <c r="C29" i="87"/>
  <c r="E47" i="61"/>
  <c r="F47" i="61" s="1"/>
  <c r="G47" i="61" s="1"/>
  <c r="C47" i="61"/>
  <c r="I47" i="61"/>
  <c r="I47" i="19"/>
  <c r="C47" i="19"/>
  <c r="E47" i="19"/>
  <c r="F47" i="19" s="1"/>
  <c r="G47" i="19" s="1"/>
  <c r="I46" i="44"/>
  <c r="C46" i="44"/>
  <c r="E46" i="44"/>
  <c r="F46" i="44" s="1"/>
  <c r="G46" i="44" s="1"/>
  <c r="I50" i="51"/>
  <c r="C50" i="51"/>
  <c r="E50" i="51"/>
  <c r="F50" i="51" s="1"/>
  <c r="G50" i="51" s="1"/>
  <c r="I47" i="55"/>
  <c r="C47" i="55"/>
  <c r="E47" i="55"/>
  <c r="F47" i="55" s="1"/>
  <c r="G47" i="55" s="1"/>
  <c r="E31" i="34"/>
  <c r="F31" i="34" s="1"/>
  <c r="G31" i="34" s="1"/>
  <c r="C31" i="34"/>
  <c r="J31" i="34"/>
  <c r="I31" i="34"/>
  <c r="I53" i="71"/>
  <c r="E53" i="71"/>
  <c r="F53" i="71" s="1"/>
  <c r="G53" i="71" s="1"/>
  <c r="C53" i="71"/>
  <c r="I53" i="54"/>
  <c r="C53" i="54"/>
  <c r="E53" i="54"/>
  <c r="F53" i="54" s="1"/>
  <c r="G53" i="54" s="1"/>
  <c r="I53" i="87"/>
  <c r="E53" i="87"/>
  <c r="F53" i="87" s="1"/>
  <c r="G53" i="87" s="1"/>
  <c r="C53" i="87"/>
  <c r="I30" i="54"/>
  <c r="C30" i="54"/>
  <c r="J30" i="54"/>
  <c r="E30" i="54"/>
  <c r="F30" i="54" s="1"/>
  <c r="G30" i="54" s="1"/>
  <c r="I34" i="72"/>
  <c r="C34" i="72"/>
  <c r="E34" i="72"/>
  <c r="F34" i="72" s="1"/>
  <c r="G34" i="72" s="1"/>
  <c r="I29" i="54"/>
  <c r="E29" i="54"/>
  <c r="F29" i="54" s="1"/>
  <c r="G29" i="54" s="1"/>
  <c r="J29" i="54"/>
  <c r="C29" i="54"/>
  <c r="C26" i="81"/>
  <c r="E26" i="81"/>
  <c r="F26" i="81" s="1"/>
  <c r="G26" i="81" s="1"/>
  <c r="I26" i="81"/>
  <c r="J26" i="81"/>
  <c r="I30" i="78"/>
  <c r="C30" i="78"/>
  <c r="E30" i="78"/>
  <c r="F30" i="78" s="1"/>
  <c r="J30" i="78"/>
  <c r="E40" i="55"/>
  <c r="F40" i="55" s="1"/>
  <c r="G40" i="55" s="1"/>
  <c r="I40" i="55"/>
  <c r="C40" i="55"/>
  <c r="I50" i="62"/>
  <c r="C50" i="62"/>
  <c r="E50" i="62"/>
  <c r="F50" i="62" s="1"/>
  <c r="G50" i="62" s="1"/>
  <c r="I45" i="44"/>
  <c r="C45" i="44"/>
  <c r="E45" i="44"/>
  <c r="F45" i="44" s="1"/>
  <c r="G45" i="44" s="1"/>
  <c r="I46" i="18"/>
  <c r="C46" i="18"/>
  <c r="E46" i="18"/>
  <c r="F46" i="18" s="1"/>
  <c r="G46" i="18" s="1"/>
  <c r="I46" i="70"/>
  <c r="E46" i="70"/>
  <c r="F46" i="70" s="1"/>
  <c r="G46" i="70" s="1"/>
  <c r="C46" i="70"/>
  <c r="I32" i="51"/>
  <c r="E32" i="51"/>
  <c r="F32" i="51" s="1"/>
  <c r="G32" i="51" s="1"/>
  <c r="J32" i="51"/>
  <c r="C32" i="51"/>
  <c r="E36" i="30"/>
  <c r="I40" i="51"/>
  <c r="C40" i="51"/>
  <c r="E40" i="51"/>
  <c r="F40" i="51" s="1"/>
  <c r="G40" i="51" s="1"/>
  <c r="C28" i="88"/>
  <c r="I28" i="88"/>
  <c r="E28" i="88"/>
  <c r="D28" i="88"/>
  <c r="K28" i="88" s="1"/>
  <c r="E28" i="3"/>
  <c r="F28" i="3" s="1"/>
  <c r="G28" i="3" s="1"/>
  <c r="K28" i="3"/>
  <c r="I28" i="3"/>
  <c r="C28" i="3"/>
  <c r="I25" i="19"/>
  <c r="E25" i="19"/>
  <c r="D25" i="19"/>
  <c r="K25" i="19" s="1"/>
  <c r="C25" i="19"/>
  <c r="I24" i="44"/>
  <c r="J24" i="44"/>
  <c r="J61" i="44" s="1"/>
  <c r="N61" i="44" s="1"/>
  <c r="A61" i="44" s="1"/>
  <c r="C24" i="44"/>
  <c r="E24" i="44"/>
  <c r="F24" i="44" s="1"/>
  <c r="G24" i="44" s="1"/>
  <c r="I28" i="30"/>
  <c r="K28" i="30"/>
  <c r="C28" i="30"/>
  <c r="E28" i="30"/>
  <c r="F28" i="30" s="1"/>
  <c r="G28" i="30" s="1"/>
  <c r="I38" i="86"/>
  <c r="C38" i="86"/>
  <c r="E38" i="86"/>
  <c r="I38" i="6"/>
  <c r="C38" i="6"/>
  <c r="E38" i="6"/>
  <c r="I46" i="33"/>
  <c r="C46" i="33"/>
  <c r="E46" i="33"/>
  <c r="F46" i="33" s="1"/>
  <c r="G46" i="33" s="1"/>
  <c r="C45" i="58"/>
  <c r="E45" i="58"/>
  <c r="F45" i="58" s="1"/>
  <c r="G45" i="58" s="1"/>
  <c r="I45" i="58"/>
  <c r="I45" i="20"/>
  <c r="E45" i="20"/>
  <c r="F45" i="20" s="1"/>
  <c r="G45" i="20" s="1"/>
  <c r="C45" i="20"/>
  <c r="I44" i="44"/>
  <c r="C44" i="44"/>
  <c r="E44" i="44"/>
  <c r="F44" i="44" s="1"/>
  <c r="G44" i="44" s="1"/>
  <c r="E44" i="70"/>
  <c r="F44" i="70" s="1"/>
  <c r="G44" i="70" s="1"/>
  <c r="I44" i="70"/>
  <c r="C44" i="70"/>
  <c r="I44" i="19"/>
  <c r="E44" i="19"/>
  <c r="F44" i="19" s="1"/>
  <c r="G44" i="19" s="1"/>
  <c r="C44" i="19"/>
  <c r="E44" i="18"/>
  <c r="F44" i="18" s="1"/>
  <c r="G44" i="18" s="1"/>
  <c r="I44" i="18"/>
  <c r="C44" i="18"/>
  <c r="C25" i="62"/>
  <c r="J25" i="62"/>
  <c r="E25" i="62"/>
  <c r="F25" i="62" s="1"/>
  <c r="G25" i="62" s="1"/>
  <c r="I25" i="62"/>
  <c r="I29" i="37"/>
  <c r="J29" i="37"/>
  <c r="C29" i="37"/>
  <c r="E29" i="37"/>
  <c r="F29" i="37" s="1"/>
  <c r="G29" i="37" s="1"/>
  <c r="C51" i="48"/>
  <c r="E51" i="48"/>
  <c r="F51" i="48" s="1"/>
  <c r="G51" i="48" s="1"/>
  <c r="I51" i="48"/>
  <c r="E53" i="58"/>
  <c r="F53" i="58" s="1"/>
  <c r="G53" i="58" s="1"/>
  <c r="I53" i="58"/>
  <c r="C53" i="58"/>
  <c r="I53" i="19"/>
  <c r="C53" i="19"/>
  <c r="E53" i="19"/>
  <c r="F53" i="19" s="1"/>
  <c r="G53" i="19" s="1"/>
  <c r="I50" i="48"/>
  <c r="E50" i="48"/>
  <c r="F50" i="48" s="1"/>
  <c r="G50" i="48" s="1"/>
  <c r="C50" i="48"/>
  <c r="I52" i="70"/>
  <c r="C52" i="70"/>
  <c r="E52" i="70"/>
  <c r="F52" i="70" s="1"/>
  <c r="G52" i="70" s="1"/>
  <c r="I52" i="34"/>
  <c r="C52" i="34"/>
  <c r="E52" i="34"/>
  <c r="F52" i="34" s="1"/>
  <c r="G52" i="34" s="1"/>
  <c r="I18" i="37"/>
  <c r="I34" i="37"/>
  <c r="E34" i="37"/>
  <c r="F34" i="37" s="1"/>
  <c r="G34" i="37" s="1"/>
  <c r="J34" i="37"/>
  <c r="C34" i="37"/>
  <c r="C47" i="70"/>
  <c r="E47" i="70"/>
  <c r="F47" i="70" s="1"/>
  <c r="G47" i="70" s="1"/>
  <c r="I47" i="70"/>
  <c r="I47" i="34"/>
  <c r="E47" i="34"/>
  <c r="F47" i="34" s="1"/>
  <c r="G47" i="34" s="1"/>
  <c r="C47" i="34"/>
  <c r="I47" i="17"/>
  <c r="C47" i="17"/>
  <c r="E47" i="17"/>
  <c r="F47" i="17" s="1"/>
  <c r="G47" i="17" s="1"/>
  <c r="I38" i="55"/>
  <c r="C38" i="55"/>
  <c r="E38" i="55"/>
  <c r="F38" i="55" s="1"/>
  <c r="G38" i="55" s="1"/>
  <c r="I49" i="51"/>
  <c r="C49" i="51"/>
  <c r="E49" i="51"/>
  <c r="F49" i="51" s="1"/>
  <c r="G49" i="51" s="1"/>
  <c r="I52" i="30"/>
  <c r="C52" i="30"/>
  <c r="E52" i="30"/>
  <c r="F52" i="30" s="1"/>
  <c r="G52" i="30" s="1"/>
  <c r="I52" i="6"/>
  <c r="C52" i="6"/>
  <c r="E52" i="6"/>
  <c r="F52" i="6" s="1"/>
  <c r="G52" i="6" s="1"/>
  <c r="I24" i="47"/>
  <c r="J24" i="47"/>
  <c r="E24" i="47"/>
  <c r="F24" i="47" s="1"/>
  <c r="G24" i="47" s="1"/>
  <c r="C24" i="47"/>
  <c r="C27" i="62"/>
  <c r="J27" i="62"/>
  <c r="E27" i="62"/>
  <c r="F27" i="62" s="1"/>
  <c r="G27" i="62" s="1"/>
  <c r="I27" i="62"/>
  <c r="I27" i="61"/>
  <c r="C27" i="61"/>
  <c r="J27" i="61"/>
  <c r="E27" i="61"/>
  <c r="F27" i="61" s="1"/>
  <c r="G27" i="61" s="1"/>
  <c r="C28" i="37"/>
  <c r="J28" i="37"/>
  <c r="I28" i="37"/>
  <c r="E28" i="37"/>
  <c r="F28" i="37" s="1"/>
  <c r="G28" i="37" s="1"/>
  <c r="E26" i="61"/>
  <c r="F26" i="61" s="1"/>
  <c r="G26" i="61" s="1"/>
  <c r="I26" i="61"/>
  <c r="J26" i="61"/>
  <c r="C26" i="61"/>
  <c r="E30" i="53"/>
  <c r="F30" i="53" s="1"/>
  <c r="G30" i="53" s="1"/>
  <c r="J30" i="53"/>
  <c r="C30" i="53"/>
  <c r="I30" i="53"/>
  <c r="I30" i="55"/>
  <c r="E30" i="55"/>
  <c r="F30" i="55" s="1"/>
  <c r="C30" i="55"/>
  <c r="J30" i="55"/>
  <c r="C42" i="51"/>
  <c r="I42" i="51"/>
  <c r="E42" i="51"/>
  <c r="F42" i="51" s="1"/>
  <c r="G42" i="51" s="1"/>
  <c r="I31" i="18"/>
  <c r="E31" i="18"/>
  <c r="F31" i="18" s="1"/>
  <c r="G31" i="18" s="1"/>
  <c r="K31" i="18"/>
  <c r="C44" i="48"/>
  <c r="E44" i="48"/>
  <c r="F44" i="48" s="1"/>
  <c r="G44" i="48" s="1"/>
  <c r="I44" i="48"/>
  <c r="I46" i="17"/>
  <c r="C46" i="17"/>
  <c r="E46" i="17"/>
  <c r="F46" i="17" s="1"/>
  <c r="G46" i="17" s="1"/>
  <c r="I52" i="88"/>
  <c r="E52" i="88"/>
  <c r="F52" i="88" s="1"/>
  <c r="G52" i="88" s="1"/>
  <c r="C52" i="88"/>
  <c r="I31" i="55"/>
  <c r="J31" i="55"/>
  <c r="C31" i="55"/>
  <c r="E31" i="55"/>
  <c r="F31" i="55" s="1"/>
  <c r="G31" i="55" s="1"/>
  <c r="E36" i="5"/>
  <c r="C36" i="5"/>
  <c r="I36" i="5"/>
  <c r="I23" i="47"/>
  <c r="E23" i="47"/>
  <c r="F23" i="47" s="1"/>
  <c r="G23" i="47" s="1"/>
  <c r="G41" i="47" s="1"/>
  <c r="J23" i="47"/>
  <c r="C23" i="47"/>
  <c r="J25" i="20"/>
  <c r="I25" i="20"/>
  <c r="E25" i="20"/>
  <c r="F25" i="20" s="1"/>
  <c r="G25" i="20" s="1"/>
  <c r="C25" i="20"/>
  <c r="E25" i="34"/>
  <c r="F25" i="34" s="1"/>
  <c r="G25" i="34" s="1"/>
  <c r="C25" i="34"/>
  <c r="J25" i="34"/>
  <c r="I25" i="34"/>
  <c r="I28" i="6"/>
  <c r="C28" i="6"/>
  <c r="D28" i="6"/>
  <c r="K28" i="6" s="1"/>
  <c r="E28" i="6"/>
  <c r="I28" i="71"/>
  <c r="D28" i="71"/>
  <c r="K28" i="71" s="1"/>
  <c r="E28" i="71"/>
  <c r="C28" i="71"/>
  <c r="E38" i="54"/>
  <c r="I38" i="71"/>
  <c r="C38" i="71"/>
  <c r="E38" i="71"/>
  <c r="F38" i="71" s="1"/>
  <c r="G38" i="71" s="1"/>
  <c r="I54" i="58"/>
  <c r="C54" i="58"/>
  <c r="E54" i="58"/>
  <c r="F54" i="58" s="1"/>
  <c r="G54" i="58" s="1"/>
  <c r="I45" i="61"/>
  <c r="C45" i="61"/>
  <c r="E45" i="61"/>
  <c r="F45" i="61" s="1"/>
  <c r="G45" i="61" s="1"/>
  <c r="I45" i="19"/>
  <c r="C45" i="19"/>
  <c r="E45" i="19"/>
  <c r="F45" i="19" s="1"/>
  <c r="G45" i="19" s="1"/>
  <c r="I43" i="48"/>
  <c r="C43" i="48"/>
  <c r="E43" i="48"/>
  <c r="F43" i="48" s="1"/>
  <c r="G43" i="48" s="1"/>
  <c r="I44" i="17"/>
  <c r="E44" i="17"/>
  <c r="F44" i="17" s="1"/>
  <c r="G44" i="17" s="1"/>
  <c r="C44" i="17"/>
  <c r="I44" i="62"/>
  <c r="E44" i="62"/>
  <c r="F44" i="62" s="1"/>
  <c r="G44" i="62" s="1"/>
  <c r="C44" i="62"/>
  <c r="I44" i="34"/>
  <c r="C44" i="34"/>
  <c r="E44" i="34"/>
  <c r="F44" i="34" s="1"/>
  <c r="G44" i="34" s="1"/>
  <c r="I25" i="58"/>
  <c r="E25" i="58"/>
  <c r="F25" i="58" s="1"/>
  <c r="G25" i="58" s="1"/>
  <c r="C25" i="58"/>
  <c r="J25" i="58"/>
  <c r="E29" i="74"/>
  <c r="F29" i="74" s="1"/>
  <c r="G29" i="74" s="1"/>
  <c r="J29" i="74"/>
  <c r="C29" i="74"/>
  <c r="I29" i="74"/>
  <c r="E53" i="20"/>
  <c r="F53" i="20" s="1"/>
  <c r="G53" i="20" s="1"/>
  <c r="C53" i="20"/>
  <c r="I53" i="20"/>
  <c r="C52" i="44"/>
  <c r="E52" i="44"/>
  <c r="F52" i="44" s="1"/>
  <c r="G52" i="44" s="1"/>
  <c r="I52" i="44"/>
  <c r="I53" i="70"/>
  <c r="C53" i="70"/>
  <c r="E53" i="70"/>
  <c r="F53" i="70" s="1"/>
  <c r="G53" i="70" s="1"/>
  <c r="I52" i="58"/>
  <c r="C52" i="58"/>
  <c r="E52" i="58"/>
  <c r="F52" i="58" s="1"/>
  <c r="G52" i="58" s="1"/>
  <c r="I52" i="18"/>
  <c r="C52" i="18"/>
  <c r="E52" i="18"/>
  <c r="F52" i="18" s="1"/>
  <c r="G52" i="18" s="1"/>
  <c r="I31" i="17"/>
  <c r="C31" i="17"/>
  <c r="E31" i="17"/>
  <c r="F31" i="17" s="1"/>
  <c r="G31" i="17" s="1"/>
  <c r="J31" i="17"/>
  <c r="C34" i="74"/>
  <c r="E34" i="74"/>
  <c r="F34" i="74" s="1"/>
  <c r="G34" i="74" s="1"/>
  <c r="I34" i="74"/>
  <c r="J34" i="74"/>
  <c r="C47" i="62"/>
  <c r="I47" i="62"/>
  <c r="E47" i="62"/>
  <c r="F47" i="62" s="1"/>
  <c r="G47" i="62" s="1"/>
  <c r="I47" i="18"/>
  <c r="C47" i="18"/>
  <c r="E47" i="18"/>
  <c r="F47" i="18" s="1"/>
  <c r="G47" i="18" s="1"/>
  <c r="C27" i="74"/>
  <c r="E27" i="74"/>
  <c r="F27" i="74" s="1"/>
  <c r="J27" i="74"/>
  <c r="J64" i="74" s="1"/>
  <c r="M64" i="74" s="1"/>
  <c r="A64" i="74" s="1"/>
  <c r="I27" i="74"/>
  <c r="I49" i="55"/>
  <c r="C49" i="55"/>
  <c r="E49" i="55"/>
  <c r="F49" i="55" s="1"/>
  <c r="G49" i="55" s="1"/>
  <c r="I49" i="58"/>
  <c r="C49" i="58"/>
  <c r="E49" i="58"/>
  <c r="F49" i="58" s="1"/>
  <c r="G49" i="58" s="1"/>
  <c r="I52" i="5"/>
  <c r="C52" i="5"/>
  <c r="E52" i="5"/>
  <c r="F52" i="5" s="1"/>
  <c r="G52" i="5" s="1"/>
  <c r="I53" i="7"/>
  <c r="C53" i="7"/>
  <c r="E53" i="7"/>
  <c r="F53" i="7" s="1"/>
  <c r="G53" i="7" s="1"/>
  <c r="I26" i="46"/>
  <c r="E26" i="46"/>
  <c r="F26" i="46" s="1"/>
  <c r="G26" i="46" s="1"/>
  <c r="J26" i="46"/>
  <c r="C26" i="46"/>
  <c r="J27" i="58"/>
  <c r="C27" i="58"/>
  <c r="E27" i="58"/>
  <c r="F27" i="58" s="1"/>
  <c r="G27" i="58" s="1"/>
  <c r="I27" i="58"/>
  <c r="C33" i="87"/>
  <c r="I33" i="87"/>
  <c r="E33" i="87"/>
  <c r="F33" i="87" s="1"/>
  <c r="G33" i="87" s="1"/>
  <c r="K33" i="87"/>
  <c r="J28" i="74"/>
  <c r="E28" i="74"/>
  <c r="F28" i="74" s="1"/>
  <c r="G28" i="74" s="1"/>
  <c r="I28" i="74"/>
  <c r="C28" i="74"/>
  <c r="C26" i="58"/>
  <c r="E26" i="58"/>
  <c r="F26" i="58" s="1"/>
  <c r="G26" i="58" s="1"/>
  <c r="I26" i="58"/>
  <c r="J26" i="58"/>
  <c r="C26" i="80"/>
  <c r="I26" i="80"/>
  <c r="J26" i="80"/>
  <c r="E26" i="80"/>
  <c r="F26" i="80" s="1"/>
  <c r="G26" i="80" s="1"/>
  <c r="I35" i="74"/>
  <c r="E35" i="74"/>
  <c r="F35" i="74" s="1"/>
  <c r="G35" i="74" s="1"/>
  <c r="C35" i="74"/>
  <c r="J35" i="74"/>
  <c r="I27" i="80"/>
  <c r="C27" i="80"/>
  <c r="J27" i="80"/>
  <c r="E27" i="80"/>
  <c r="F27" i="80" s="1"/>
  <c r="G27" i="80" s="1"/>
  <c r="I46" i="58"/>
  <c r="E46" i="58"/>
  <c r="F46" i="58" s="1"/>
  <c r="G46" i="58" s="1"/>
  <c r="C46" i="58"/>
  <c r="I46" i="62"/>
  <c r="E46" i="62"/>
  <c r="F46" i="62" s="1"/>
  <c r="G46" i="62" s="1"/>
  <c r="C46" i="62"/>
  <c r="I46" i="20"/>
  <c r="C46" i="20"/>
  <c r="E46" i="20"/>
  <c r="F46" i="20" s="1"/>
  <c r="G46" i="20" s="1"/>
  <c r="I52" i="87"/>
  <c r="C52" i="87"/>
  <c r="E52" i="87"/>
  <c r="F52" i="87" s="1"/>
  <c r="G52" i="87" s="1"/>
  <c r="I31" i="78"/>
  <c r="C31" i="78"/>
  <c r="E31" i="78"/>
  <c r="F31" i="78" s="1"/>
  <c r="G31" i="78" s="1"/>
  <c r="J31" i="78"/>
  <c r="I36" i="54"/>
  <c r="E36" i="54"/>
  <c r="C36" i="54"/>
  <c r="I36" i="6"/>
  <c r="E36" i="6"/>
  <c r="C36" i="6"/>
  <c r="I25" i="46"/>
  <c r="C25" i="46"/>
  <c r="J25" i="46"/>
  <c r="E25" i="46"/>
  <c r="F25" i="46" s="1"/>
  <c r="G25" i="46" s="1"/>
  <c r="C28" i="87"/>
  <c r="I28" i="87"/>
  <c r="E28" i="87"/>
  <c r="D28" i="87"/>
  <c r="K28" i="87" s="1"/>
  <c r="I25" i="18"/>
  <c r="C25" i="18"/>
  <c r="E25" i="18"/>
  <c r="D25" i="18"/>
  <c r="K25" i="18" s="1"/>
  <c r="I29" i="72"/>
  <c r="E29" i="72"/>
  <c r="C29" i="72"/>
  <c r="D29" i="72"/>
  <c r="J29" i="72" s="1"/>
  <c r="I25" i="70"/>
  <c r="C25" i="70"/>
  <c r="E25" i="70"/>
  <c r="F25" i="70" s="1"/>
  <c r="G25" i="70" s="1"/>
  <c r="K25" i="70"/>
  <c r="K62" i="70" s="1"/>
  <c r="N62" i="70" s="1"/>
  <c r="A62" i="70" s="1"/>
  <c r="I38" i="5"/>
  <c r="C38" i="5"/>
  <c r="E38" i="5"/>
  <c r="F38" i="5" s="1"/>
  <c r="G38" i="5" s="1"/>
  <c r="C38" i="30"/>
  <c r="I38" i="30"/>
  <c r="E38" i="30"/>
  <c r="I54" i="62"/>
  <c r="C54" i="62"/>
  <c r="E54" i="62"/>
  <c r="F54" i="62" s="1"/>
  <c r="G54" i="62" s="1"/>
  <c r="E45" i="33"/>
  <c r="F45" i="33" s="1"/>
  <c r="G45" i="33" s="1"/>
  <c r="C45" i="33"/>
  <c r="I45" i="33"/>
  <c r="I45" i="70"/>
  <c r="C45" i="70"/>
  <c r="E45" i="70"/>
  <c r="F45" i="70" s="1"/>
  <c r="G45" i="70" s="1"/>
  <c r="I45" i="34"/>
  <c r="C45" i="34"/>
  <c r="E45" i="34"/>
  <c r="F45" i="34" s="1"/>
  <c r="G45" i="34" s="1"/>
  <c r="I32" i="81"/>
  <c r="J32" i="81"/>
  <c r="C32" i="81"/>
  <c r="E32" i="81"/>
  <c r="F32" i="81" s="1"/>
  <c r="G32" i="81" s="1"/>
  <c r="I43" i="44"/>
  <c r="C43" i="44"/>
  <c r="E43" i="44"/>
  <c r="F43" i="44" s="1"/>
  <c r="G43" i="44" s="1"/>
  <c r="I44" i="20"/>
  <c r="C44" i="20"/>
  <c r="E44" i="20"/>
  <c r="F44" i="20" s="1"/>
  <c r="G44" i="20" s="1"/>
  <c r="I44" i="61"/>
  <c r="C44" i="61"/>
  <c r="E44" i="61"/>
  <c r="F44" i="61" s="1"/>
  <c r="G44" i="61" s="1"/>
  <c r="I28" i="7"/>
  <c r="J28" i="7"/>
  <c r="E28" i="7"/>
  <c r="F28" i="7" s="1"/>
  <c r="G28" i="7" s="1"/>
  <c r="C28" i="7"/>
  <c r="I53" i="61"/>
  <c r="C53" i="61"/>
  <c r="E53" i="61"/>
  <c r="F53" i="61" s="1"/>
  <c r="G53" i="61" s="1"/>
  <c r="I53" i="17"/>
  <c r="C53" i="17"/>
  <c r="E53" i="17"/>
  <c r="F53" i="17" s="1"/>
  <c r="G53" i="17" s="1"/>
  <c r="C51" i="44"/>
  <c r="E51" i="44"/>
  <c r="F51" i="44" s="1"/>
  <c r="G51" i="44" s="1"/>
  <c r="I51" i="44"/>
  <c r="I52" i="62"/>
  <c r="C52" i="62"/>
  <c r="E52" i="62"/>
  <c r="F52" i="62" s="1"/>
  <c r="G52" i="62" s="1"/>
  <c r="I52" i="61"/>
  <c r="E52" i="61"/>
  <c r="F52" i="61" s="1"/>
  <c r="G52" i="61" s="1"/>
  <c r="C52" i="61"/>
  <c r="I34" i="71"/>
  <c r="C34" i="71"/>
  <c r="E34" i="71"/>
  <c r="F34" i="71" s="1"/>
  <c r="G34" i="71" s="1"/>
  <c r="K34" i="71"/>
  <c r="C47" i="58"/>
  <c r="E47" i="58"/>
  <c r="F47" i="58" s="1"/>
  <c r="G47" i="58" s="1"/>
  <c r="I47" i="58"/>
  <c r="E45" i="48"/>
  <c r="F45" i="48" s="1"/>
  <c r="G45" i="48" s="1"/>
  <c r="I45" i="48"/>
  <c r="C45" i="48"/>
  <c r="I47" i="20"/>
  <c r="E47" i="20"/>
  <c r="F47" i="20" s="1"/>
  <c r="G47" i="20" s="1"/>
  <c r="C47" i="20"/>
  <c r="I27" i="37"/>
  <c r="C27" i="37"/>
  <c r="E27" i="37"/>
  <c r="F27" i="37" s="1"/>
  <c r="J27" i="37"/>
  <c r="J72" i="37" s="1"/>
  <c r="M72" i="37" s="1"/>
  <c r="A72" i="37" s="1"/>
  <c r="I51" i="51"/>
  <c r="E51" i="51"/>
  <c r="F51" i="51" s="1"/>
  <c r="G51" i="51" s="1"/>
  <c r="C51" i="51"/>
  <c r="I48" i="55"/>
  <c r="E48" i="55"/>
  <c r="F48" i="55" s="1"/>
  <c r="G48" i="55" s="1"/>
  <c r="C48" i="55"/>
  <c r="I49" i="62"/>
  <c r="E49" i="62"/>
  <c r="F49" i="62" s="1"/>
  <c r="G49" i="62" s="1"/>
  <c r="C49" i="62"/>
  <c r="I52" i="85"/>
  <c r="C52" i="85"/>
  <c r="E52" i="85"/>
  <c r="F52" i="85" s="1"/>
  <c r="G52" i="85" s="1"/>
  <c r="I52" i="3"/>
  <c r="C52" i="3"/>
  <c r="E52" i="3"/>
  <c r="F52" i="3" s="1"/>
  <c r="G52" i="3" s="1"/>
  <c r="I53" i="88"/>
  <c r="E53" i="88"/>
  <c r="F53" i="88" s="1"/>
  <c r="G53" i="88" s="1"/>
  <c r="C53" i="88"/>
  <c r="I30" i="7"/>
  <c r="E30" i="7"/>
  <c r="F30" i="7" s="1"/>
  <c r="G30" i="7" s="1"/>
  <c r="C30" i="7"/>
  <c r="J30" i="7"/>
  <c r="C33" i="88"/>
  <c r="K33" i="88"/>
  <c r="E33" i="88"/>
  <c r="F33" i="88" s="1"/>
  <c r="G33" i="88" s="1"/>
  <c r="I33" i="88"/>
  <c r="J26" i="62"/>
  <c r="I26" i="62"/>
  <c r="C26" i="62"/>
  <c r="E26" i="62"/>
  <c r="F26" i="62" s="1"/>
  <c r="G26" i="62" s="1"/>
  <c r="I29" i="7"/>
  <c r="C29" i="7"/>
  <c r="E29" i="7"/>
  <c r="F29" i="7" s="1"/>
  <c r="G29" i="7" s="1"/>
  <c r="J29" i="7"/>
  <c r="I31" i="51"/>
  <c r="J31" i="51"/>
  <c r="C31" i="51"/>
  <c r="E31" i="51"/>
  <c r="F31" i="51" s="1"/>
  <c r="E35" i="37"/>
  <c r="F35" i="37" s="1"/>
  <c r="G35" i="37" s="1"/>
  <c r="I35" i="37"/>
  <c r="C35" i="37"/>
  <c r="J35" i="37"/>
  <c r="I50" i="58"/>
  <c r="E50" i="58"/>
  <c r="F50" i="58" s="1"/>
  <c r="G50" i="58" s="1"/>
  <c r="C50" i="58"/>
  <c r="I46" i="61"/>
  <c r="C46" i="61"/>
  <c r="E46" i="61"/>
  <c r="F46" i="61" s="1"/>
  <c r="G46" i="61" s="1"/>
  <c r="I46" i="34"/>
  <c r="C46" i="34"/>
  <c r="E46" i="34"/>
  <c r="F46" i="34" s="1"/>
  <c r="G46" i="34" s="1"/>
  <c r="I46" i="19"/>
  <c r="C46" i="19"/>
  <c r="E46" i="19"/>
  <c r="F46" i="19" s="1"/>
  <c r="G46" i="19" s="1"/>
  <c r="C27" i="81"/>
  <c r="I27" i="81"/>
  <c r="J27" i="81"/>
  <c r="E27" i="81"/>
  <c r="F27" i="81" s="1"/>
  <c r="G27" i="81" s="1"/>
  <c r="E36" i="71"/>
  <c r="F36" i="71" s="1"/>
  <c r="G36" i="71" s="1"/>
  <c r="I36" i="71"/>
  <c r="C36" i="71"/>
  <c r="E36" i="85"/>
  <c r="C36" i="85"/>
  <c r="I36" i="85"/>
  <c r="I38" i="78"/>
  <c r="C38" i="78"/>
  <c r="E38" i="78"/>
  <c r="C25" i="33"/>
  <c r="J25" i="33"/>
  <c r="I25" i="33"/>
  <c r="E25" i="33"/>
  <c r="F25" i="33" s="1"/>
  <c r="G25" i="33" s="1"/>
  <c r="E23" i="48"/>
  <c r="F23" i="48" s="1"/>
  <c r="G23" i="48" s="1"/>
  <c r="J23" i="48"/>
  <c r="J60" i="48" s="1"/>
  <c r="N60" i="48" s="1"/>
  <c r="A60" i="48" s="1"/>
  <c r="I23" i="48"/>
  <c r="C23" i="48"/>
  <c r="I25" i="17"/>
  <c r="E25" i="17"/>
  <c r="C25" i="17"/>
  <c r="D25" i="17"/>
  <c r="J25" i="17" s="1"/>
  <c r="I28" i="5"/>
  <c r="C28" i="5"/>
  <c r="E28" i="5"/>
  <c r="D28" i="5"/>
  <c r="K28" i="5" s="1"/>
  <c r="I28" i="85"/>
  <c r="K28" i="85"/>
  <c r="E28" i="85"/>
  <c r="F28" i="85" s="1"/>
  <c r="G28" i="85" s="1"/>
  <c r="J28" i="85"/>
  <c r="C28" i="85"/>
  <c r="I38" i="85"/>
  <c r="C38" i="85"/>
  <c r="E3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I29" i="86"/>
  <c r="C29" i="86"/>
  <c r="K29" i="86"/>
  <c r="E29" i="86"/>
  <c r="F29" i="86" s="1"/>
  <c r="G29" i="86" s="1"/>
  <c r="I49" i="8"/>
  <c r="C49" i="8"/>
  <c r="E49" i="8"/>
  <c r="F49" i="8" s="1"/>
  <c r="G49" i="8" s="1"/>
  <c r="I48" i="70"/>
  <c r="C48" i="70"/>
  <c r="E48" i="70"/>
  <c r="F48" i="70" s="1"/>
  <c r="G48" i="70" s="1"/>
  <c r="I54" i="34"/>
  <c r="C54" i="34"/>
  <c r="E54" i="34"/>
  <c r="F54" i="34" s="1"/>
  <c r="G54" i="34" s="1"/>
  <c r="I54" i="18"/>
  <c r="C54" i="18"/>
  <c r="E54" i="18"/>
  <c r="F54" i="18" s="1"/>
  <c r="G54" i="18" s="1"/>
  <c r="I45" i="8"/>
  <c r="C45" i="8"/>
  <c r="E45" i="8"/>
  <c r="F45" i="8" s="1"/>
  <c r="G45" i="8" s="1"/>
  <c r="I46" i="47"/>
  <c r="C46" i="47"/>
  <c r="E46" i="47"/>
  <c r="F46" i="47" s="1"/>
  <c r="I48" i="61"/>
  <c r="C48" i="61"/>
  <c r="E48" i="61"/>
  <c r="F48" i="61" s="1"/>
  <c r="I33" i="86"/>
  <c r="E33" i="86"/>
  <c r="F33" i="86" s="1"/>
  <c r="G33" i="86" s="1"/>
  <c r="C33" i="86"/>
  <c r="I50" i="81"/>
  <c r="E50" i="81"/>
  <c r="F50" i="81" s="1"/>
  <c r="G50" i="81" s="1"/>
  <c r="C50" i="81"/>
  <c r="E30" i="31"/>
  <c r="F30" i="31" s="1"/>
  <c r="G30" i="31" s="1"/>
  <c r="I30" i="31"/>
  <c r="C30" i="31"/>
  <c r="K30" i="31"/>
  <c r="I39" i="81"/>
  <c r="E39" i="81"/>
  <c r="F39" i="81" s="1"/>
  <c r="G39" i="81" s="1"/>
  <c r="C39" i="81"/>
  <c r="E46" i="80"/>
  <c r="F46" i="80" s="1"/>
  <c r="G46" i="80" s="1"/>
  <c r="C46" i="80"/>
  <c r="I46" i="80"/>
  <c r="I48" i="46"/>
  <c r="C48" i="46"/>
  <c r="E48" i="46"/>
  <c r="F48" i="46" s="1"/>
  <c r="G48" i="46" s="1"/>
  <c r="I26" i="56"/>
  <c r="E26" i="56"/>
  <c r="F26" i="56" s="1"/>
  <c r="G26" i="56" s="1"/>
  <c r="K26" i="56"/>
  <c r="C26" i="56"/>
  <c r="I48" i="20"/>
  <c r="C48" i="20"/>
  <c r="E48" i="20"/>
  <c r="F48" i="20" s="1"/>
  <c r="I48" i="18"/>
  <c r="C48" i="18"/>
  <c r="E48" i="18"/>
  <c r="F48" i="18" s="1"/>
  <c r="G48" i="18" s="1"/>
  <c r="I48" i="58"/>
  <c r="C48" i="58"/>
  <c r="E48" i="58"/>
  <c r="F48" i="58" s="1"/>
  <c r="I33" i="31"/>
  <c r="C33" i="31"/>
  <c r="E33" i="31"/>
  <c r="F33" i="31" s="1"/>
  <c r="G33" i="31" s="1"/>
  <c r="I47" i="56"/>
  <c r="C47" i="56"/>
  <c r="E47" i="56"/>
  <c r="F47" i="56" s="1"/>
  <c r="G47" i="56" s="1"/>
  <c r="I54" i="20"/>
  <c r="C54" i="20"/>
  <c r="E54" i="20"/>
  <c r="F54" i="20" s="1"/>
  <c r="G54" i="20" s="1"/>
  <c r="I54" i="70"/>
  <c r="C54" i="70"/>
  <c r="E54" i="70"/>
  <c r="F54" i="70" s="1"/>
  <c r="G54" i="70" s="1"/>
  <c r="K26" i="33"/>
  <c r="C26" i="33"/>
  <c r="I26" i="33"/>
  <c r="E26" i="33"/>
  <c r="F26" i="33" s="1"/>
  <c r="I50" i="18"/>
  <c r="E50" i="18"/>
  <c r="F50" i="18" s="1"/>
  <c r="G50" i="18" s="1"/>
  <c r="C50" i="18"/>
  <c r="E28" i="8"/>
  <c r="F28" i="8" s="1"/>
  <c r="G28" i="8" s="1"/>
  <c r="J28" i="8"/>
  <c r="I28" i="8"/>
  <c r="F30" i="72"/>
  <c r="I53" i="56"/>
  <c r="C53" i="56"/>
  <c r="E53" i="56"/>
  <c r="F53" i="56" s="1"/>
  <c r="G53" i="56" s="1"/>
  <c r="J29" i="4"/>
  <c r="I29" i="4"/>
  <c r="K29" i="4"/>
  <c r="I47" i="44"/>
  <c r="C47" i="44"/>
  <c r="E47" i="44"/>
  <c r="F47" i="44" s="1"/>
  <c r="G47" i="44" s="1"/>
  <c r="I48" i="19"/>
  <c r="C48" i="19"/>
  <c r="E48" i="19"/>
  <c r="F48" i="19" s="1"/>
  <c r="G48" i="19" s="1"/>
  <c r="I48" i="62"/>
  <c r="C48" i="62"/>
  <c r="E48" i="62"/>
  <c r="F48" i="62" s="1"/>
  <c r="I31" i="8"/>
  <c r="E31" i="8"/>
  <c r="F31" i="8" s="1"/>
  <c r="G31" i="8" s="1"/>
  <c r="C31" i="8"/>
  <c r="I54" i="61"/>
  <c r="C54" i="61"/>
  <c r="E54" i="61"/>
  <c r="F54" i="61" s="1"/>
  <c r="G54" i="61" s="1"/>
  <c r="I54" i="33"/>
  <c r="C54" i="33"/>
  <c r="E54" i="33"/>
  <c r="F54" i="33" s="1"/>
  <c r="G54" i="33" s="1"/>
  <c r="I54" i="17"/>
  <c r="C54" i="17"/>
  <c r="E54" i="17"/>
  <c r="F54" i="17" s="1"/>
  <c r="G54" i="17" s="1"/>
  <c r="I52" i="48"/>
  <c r="E52" i="48"/>
  <c r="F52" i="48" s="1"/>
  <c r="G52" i="48" s="1"/>
  <c r="C52" i="48"/>
  <c r="I48" i="81"/>
  <c r="C48" i="81"/>
  <c r="E48" i="81"/>
  <c r="F48" i="81" s="1"/>
  <c r="G48" i="81" s="1"/>
  <c r="I53" i="86"/>
  <c r="C53" i="86"/>
  <c r="E53" i="86"/>
  <c r="F53" i="86" s="1"/>
  <c r="G53" i="86" s="1"/>
  <c r="E48" i="53"/>
  <c r="F48" i="53" s="1"/>
  <c r="I48" i="53"/>
  <c r="C48" i="53"/>
  <c r="I31" i="56"/>
  <c r="K31" i="56"/>
  <c r="E31" i="56"/>
  <c r="F31" i="56" s="1"/>
  <c r="G31" i="56" s="1"/>
  <c r="C31" i="56"/>
  <c r="I49" i="44"/>
  <c r="E49" i="44"/>
  <c r="F49" i="44" s="1"/>
  <c r="G49" i="44" s="1"/>
  <c r="C49" i="44"/>
  <c r="I49" i="81"/>
  <c r="C49" i="81"/>
  <c r="E49" i="81"/>
  <c r="F49" i="81" s="1"/>
  <c r="G49" i="81" s="1"/>
  <c r="I52" i="31"/>
  <c r="C52" i="31"/>
  <c r="E52" i="31"/>
  <c r="F52" i="31" s="1"/>
  <c r="G52" i="31" s="1"/>
  <c r="I50" i="34"/>
  <c r="E50" i="34"/>
  <c r="F50" i="34" s="1"/>
  <c r="G50" i="34" s="1"/>
  <c r="C50" i="34"/>
  <c r="E50" i="33"/>
  <c r="F50" i="33" s="1"/>
  <c r="G50" i="33" s="1"/>
  <c r="I50" i="33"/>
  <c r="C50" i="33"/>
  <c r="E49" i="33"/>
  <c r="F49" i="33" s="1"/>
  <c r="G49" i="33" s="1"/>
  <c r="C49" i="33"/>
  <c r="I49" i="33"/>
  <c r="G26" i="70"/>
  <c r="C47" i="80"/>
  <c r="E47" i="80"/>
  <c r="F47" i="80" s="1"/>
  <c r="G47" i="80" s="1"/>
  <c r="I47" i="80"/>
  <c r="I53" i="31"/>
  <c r="C53" i="31"/>
  <c r="E53" i="31"/>
  <c r="F53" i="31" s="1"/>
  <c r="G53" i="31" s="1"/>
  <c r="I30" i="56"/>
  <c r="C30" i="56"/>
  <c r="E30" i="56"/>
  <c r="F30" i="56" s="1"/>
  <c r="G30" i="56" s="1"/>
  <c r="I53" i="44"/>
  <c r="E53" i="44"/>
  <c r="F53" i="44" s="1"/>
  <c r="G53" i="44" s="1"/>
  <c r="C53" i="44"/>
  <c r="G25" i="44"/>
  <c r="I39" i="80"/>
  <c r="C39" i="80"/>
  <c r="E39" i="80"/>
  <c r="F39" i="80" s="1"/>
  <c r="I26" i="8"/>
  <c r="E26" i="8"/>
  <c r="D26" i="8"/>
  <c r="J26" i="8" s="1"/>
  <c r="G29" i="5"/>
  <c r="G29" i="30"/>
  <c r="I53" i="33"/>
  <c r="C53" i="33"/>
  <c r="E53" i="33"/>
  <c r="F53" i="33" s="1"/>
  <c r="G53" i="33" s="1"/>
  <c r="I48" i="48"/>
  <c r="C48" i="48"/>
  <c r="E48" i="48"/>
  <c r="F48" i="48" s="1"/>
  <c r="G48" i="48" s="1"/>
  <c r="I47" i="47"/>
  <c r="C47" i="47"/>
  <c r="E47" i="47"/>
  <c r="F47" i="47" s="1"/>
  <c r="G47" i="47" s="1"/>
  <c r="E46" i="81"/>
  <c r="F46" i="81" s="1"/>
  <c r="G46" i="81" s="1"/>
  <c r="C46" i="81"/>
  <c r="I46" i="81"/>
  <c r="E51" i="33"/>
  <c r="F51" i="33" s="1"/>
  <c r="G51" i="33" s="1"/>
  <c r="C51" i="33"/>
  <c r="I51" i="33"/>
  <c r="C45" i="80"/>
  <c r="E45" i="80"/>
  <c r="F45" i="80" s="1"/>
  <c r="G45" i="80" s="1"/>
  <c r="I45" i="80"/>
  <c r="I30" i="4"/>
  <c r="J30" i="4"/>
  <c r="K30" i="4"/>
  <c r="E30" i="4"/>
  <c r="F30" i="4" s="1"/>
  <c r="G30" i="4" s="1"/>
  <c r="C30" i="4"/>
  <c r="I29" i="85"/>
  <c r="C29" i="85"/>
  <c r="K29" i="85"/>
  <c r="J29" i="85"/>
  <c r="E29" i="85"/>
  <c r="F29" i="85" s="1"/>
  <c r="I48" i="17"/>
  <c r="C48" i="17"/>
  <c r="E48" i="17"/>
  <c r="F48" i="17" s="1"/>
  <c r="G48" i="17" s="1"/>
  <c r="I46" i="48"/>
  <c r="C46" i="48"/>
  <c r="E46" i="48"/>
  <c r="F46" i="48" s="1"/>
  <c r="G46" i="48" s="1"/>
  <c r="I48" i="8"/>
  <c r="C48" i="8"/>
  <c r="E48" i="8"/>
  <c r="F48" i="8" s="1"/>
  <c r="G48" i="8" s="1"/>
  <c r="I50" i="80"/>
  <c r="C50" i="80"/>
  <c r="E50" i="80"/>
  <c r="F50" i="80" s="1"/>
  <c r="G50" i="80" s="1"/>
  <c r="I54" i="19"/>
  <c r="C54" i="19"/>
  <c r="E54" i="19"/>
  <c r="F54" i="19" s="1"/>
  <c r="G54" i="19" s="1"/>
  <c r="I48" i="80"/>
  <c r="E48" i="80"/>
  <c r="F48" i="80" s="1"/>
  <c r="G48" i="80" s="1"/>
  <c r="C48" i="80"/>
  <c r="I44" i="33"/>
  <c r="C44" i="33"/>
  <c r="E44" i="33"/>
  <c r="F44" i="33" s="1"/>
  <c r="G44" i="33" s="1"/>
  <c r="I54" i="8"/>
  <c r="C54" i="8"/>
  <c r="E54" i="8"/>
  <c r="F54" i="8" s="1"/>
  <c r="G54" i="8" s="1"/>
  <c r="I46" i="56"/>
  <c r="E46" i="56"/>
  <c r="F46" i="56" s="1"/>
  <c r="G46" i="56" s="1"/>
  <c r="C46" i="56"/>
  <c r="I45" i="56"/>
  <c r="E45" i="56"/>
  <c r="F45" i="56" s="1"/>
  <c r="G45" i="56" s="1"/>
  <c r="C45" i="56"/>
  <c r="G26" i="19"/>
  <c r="I34" i="31"/>
  <c r="C34" i="31"/>
  <c r="E34" i="31"/>
  <c r="F34" i="31" s="1"/>
  <c r="G34" i="31" s="1"/>
  <c r="K34" i="31"/>
  <c r="I48" i="34"/>
  <c r="C48" i="34"/>
  <c r="E48" i="34"/>
  <c r="F48" i="34" s="1"/>
  <c r="I52" i="33"/>
  <c r="C52" i="33"/>
  <c r="E52" i="33"/>
  <c r="F52" i="33" s="1"/>
  <c r="G52" i="33" s="1"/>
  <c r="I49" i="80"/>
  <c r="C49" i="80"/>
  <c r="E49" i="80"/>
  <c r="F49" i="80" s="1"/>
  <c r="G49" i="80" s="1"/>
  <c r="I49" i="48"/>
  <c r="C49" i="48"/>
  <c r="E49" i="48"/>
  <c r="F49" i="48" s="1"/>
  <c r="G49" i="48" s="1"/>
  <c r="I55" i="8"/>
  <c r="C55" i="8"/>
  <c r="E55" i="8"/>
  <c r="F55" i="8" s="1"/>
  <c r="G55" i="8" s="1"/>
  <c r="I53" i="8"/>
  <c r="E53" i="8"/>
  <c r="F53" i="8" s="1"/>
  <c r="G53" i="8" s="1"/>
  <c r="C53" i="8"/>
  <c r="I44" i="56"/>
  <c r="E44" i="56"/>
  <c r="F44" i="56" s="1"/>
  <c r="G44" i="56" s="1"/>
  <c r="C44" i="56"/>
  <c r="I52" i="56"/>
  <c r="E52" i="56"/>
  <c r="F52" i="56" s="1"/>
  <c r="G52" i="56" s="1"/>
  <c r="C52" i="56"/>
  <c r="I50" i="20"/>
  <c r="C50" i="20"/>
  <c r="E50" i="20"/>
  <c r="F50" i="20" s="1"/>
  <c r="G50" i="20" s="1"/>
  <c r="I51" i="17"/>
  <c r="E51" i="17"/>
  <c r="F51" i="17" s="1"/>
  <c r="G51" i="17" s="1"/>
  <c r="C51" i="17"/>
  <c r="I47" i="8"/>
  <c r="E47" i="8"/>
  <c r="F47" i="8" s="1"/>
  <c r="G47" i="8" s="1"/>
  <c r="C47" i="8"/>
  <c r="C45" i="81"/>
  <c r="E45" i="81"/>
  <c r="F45" i="81" s="1"/>
  <c r="G45" i="81" s="1"/>
  <c r="I45" i="81"/>
  <c r="I25" i="56"/>
  <c r="C25" i="56"/>
  <c r="E25" i="56"/>
  <c r="D25" i="56"/>
  <c r="K25" i="56" s="1"/>
  <c r="C47" i="81"/>
  <c r="I47" i="81"/>
  <c r="E47" i="81"/>
  <c r="F47" i="81" s="1"/>
  <c r="G47" i="81" s="1"/>
  <c r="I46" i="8"/>
  <c r="C46" i="8"/>
  <c r="E46" i="8"/>
  <c r="F46" i="8" s="1"/>
  <c r="G46" i="8" s="1"/>
  <c r="G26" i="17"/>
  <c r="E29" i="4"/>
  <c r="F29" i="4" s="1"/>
  <c r="G29" i="4" s="1"/>
  <c r="C29" i="4"/>
  <c r="E48" i="33"/>
  <c r="F48" i="33" s="1"/>
  <c r="G48" i="33" s="1"/>
  <c r="C48" i="33"/>
  <c r="I48" i="33"/>
  <c r="C36" i="30" l="1"/>
  <c r="C38" i="54"/>
  <c r="M26" i="3"/>
  <c r="M25" i="3"/>
  <c r="M24" i="3"/>
  <c r="D36" i="30"/>
  <c r="F36" i="30" s="1"/>
  <c r="G36" i="30" s="1"/>
  <c r="G67" i="30" s="1"/>
  <c r="D38" i="30"/>
  <c r="F38" i="30" s="1"/>
  <c r="G38" i="30" s="1"/>
  <c r="C37" i="30"/>
  <c r="E39" i="30"/>
  <c r="E37" i="30"/>
  <c r="B37" i="30"/>
  <c r="I37" i="30" s="1"/>
  <c r="N30" i="30"/>
  <c r="C39" i="30"/>
  <c r="B39" i="30"/>
  <c r="I39" i="30" s="1"/>
  <c r="J62" i="20"/>
  <c r="N62" i="20" s="1"/>
  <c r="A62" i="20" s="1"/>
  <c r="K70" i="71"/>
  <c r="N70" i="71" s="1"/>
  <c r="A70" i="71" s="1"/>
  <c r="E39" i="78"/>
  <c r="B39" i="78"/>
  <c r="I39" i="78" s="1"/>
  <c r="B41" i="78"/>
  <c r="I41" i="78" s="1"/>
  <c r="E41" i="78"/>
  <c r="M33" i="78"/>
  <c r="C41" i="78"/>
  <c r="C39" i="78"/>
  <c r="F38" i="78"/>
  <c r="G38" i="78" s="1"/>
  <c r="D40" i="78"/>
  <c r="J40" i="78" s="1"/>
  <c r="D38" i="78"/>
  <c r="J38" i="78" s="1"/>
  <c r="J69" i="78" s="1"/>
  <c r="M69" i="78" s="1"/>
  <c r="A69" i="78" s="1"/>
  <c r="M31" i="53"/>
  <c r="L33" i="53"/>
  <c r="B40" i="53"/>
  <c r="B38" i="53"/>
  <c r="L29" i="81"/>
  <c r="M29" i="81" s="1"/>
  <c r="M27" i="81"/>
  <c r="M27" i="80"/>
  <c r="L29" i="80"/>
  <c r="M29" i="80" s="1"/>
  <c r="K63" i="18"/>
  <c r="N63" i="18" s="1"/>
  <c r="A63" i="18" s="1"/>
  <c r="D41" i="51"/>
  <c r="J41" i="51" s="1"/>
  <c r="D43" i="51"/>
  <c r="J43" i="51" s="1"/>
  <c r="L29" i="7"/>
  <c r="L27" i="7"/>
  <c r="T31" i="7"/>
  <c r="S31" i="7"/>
  <c r="U27" i="7"/>
  <c r="T27" i="7"/>
  <c r="U43" i="7"/>
  <c r="S43" i="7"/>
  <c r="T24" i="7"/>
  <c r="S24" i="7"/>
  <c r="U26" i="7"/>
  <c r="S26" i="7"/>
  <c r="D36" i="54"/>
  <c r="J36" i="54" s="1"/>
  <c r="J70" i="54" s="1"/>
  <c r="M70" i="54" s="1"/>
  <c r="A70" i="54" s="1"/>
  <c r="D38" i="54"/>
  <c r="J38" i="54" s="1"/>
  <c r="F36" i="54"/>
  <c r="G36" i="54" s="1"/>
  <c r="G67" i="54" s="1"/>
  <c r="C39" i="54"/>
  <c r="M31" i="54"/>
  <c r="B37" i="54"/>
  <c r="I37" i="54" s="1"/>
  <c r="B39" i="54"/>
  <c r="I39" i="54" s="1"/>
  <c r="E39" i="54"/>
  <c r="E37" i="54"/>
  <c r="C37" i="54"/>
  <c r="F36" i="5"/>
  <c r="G36" i="5" s="1"/>
  <c r="D37" i="5"/>
  <c r="K37" i="5" s="1"/>
  <c r="D39" i="5"/>
  <c r="K39" i="5" s="1"/>
  <c r="K69" i="5"/>
  <c r="N69" i="5" s="1"/>
  <c r="A69" i="5" s="1"/>
  <c r="N29" i="6"/>
  <c r="M30" i="6"/>
  <c r="M30" i="4"/>
  <c r="N29" i="4"/>
  <c r="B36" i="4"/>
  <c r="B38" i="4"/>
  <c r="D36" i="85"/>
  <c r="F36" i="85" s="1"/>
  <c r="G36" i="85" s="1"/>
  <c r="D38" i="85"/>
  <c r="F38" i="85" s="1"/>
  <c r="G38" i="85" s="1"/>
  <c r="B37" i="85"/>
  <c r="I37" i="85" s="1"/>
  <c r="B39" i="85"/>
  <c r="I39" i="85" s="1"/>
  <c r="E39" i="85"/>
  <c r="E37" i="85"/>
  <c r="N30" i="85"/>
  <c r="C37" i="85"/>
  <c r="C39" i="85"/>
  <c r="D36" i="86"/>
  <c r="K36" i="86" s="1"/>
  <c r="K71" i="86" s="1"/>
  <c r="N71" i="86" s="1"/>
  <c r="A71" i="86" s="1"/>
  <c r="D38" i="86"/>
  <c r="K38" i="86" s="1"/>
  <c r="C37" i="86"/>
  <c r="C39" i="86"/>
  <c r="B39" i="86"/>
  <c r="I39" i="86" s="1"/>
  <c r="E37" i="86"/>
  <c r="N30" i="86"/>
  <c r="E39" i="86"/>
  <c r="B37" i="86"/>
  <c r="I37" i="86" s="1"/>
  <c r="M27" i="3"/>
  <c r="M29" i="3"/>
  <c r="F31" i="72"/>
  <c r="G31" i="72" s="1"/>
  <c r="T24" i="31"/>
  <c r="S25" i="31"/>
  <c r="U25" i="31" s="1"/>
  <c r="J65" i="72"/>
  <c r="M65" i="72" s="1"/>
  <c r="A65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67" i="30"/>
  <c r="K73" i="85"/>
  <c r="N73" i="85" s="1"/>
  <c r="A69" i="85" s="1"/>
  <c r="F59" i="70"/>
  <c r="J63" i="34"/>
  <c r="N63" i="34" s="1"/>
  <c r="A63" i="34" s="1"/>
  <c r="J65" i="17"/>
  <c r="N65" i="17" s="1"/>
  <c r="A65" i="17" s="1"/>
  <c r="J58" i="46"/>
  <c r="N58" i="46" s="1"/>
  <c r="A58" i="46" s="1"/>
  <c r="G59" i="70"/>
  <c r="J63" i="61"/>
  <c r="M63" i="61" s="1"/>
  <c r="A63" i="61" s="1"/>
  <c r="F55" i="46"/>
  <c r="F28" i="71"/>
  <c r="J59" i="80"/>
  <c r="M59" i="80" s="1"/>
  <c r="A59" i="80" s="1"/>
  <c r="F25" i="19"/>
  <c r="G25" i="19" s="1"/>
  <c r="G60" i="19" s="1"/>
  <c r="F25" i="17"/>
  <c r="G25" i="17" s="1"/>
  <c r="G62" i="17" s="1"/>
  <c r="F25" i="18"/>
  <c r="F28" i="87"/>
  <c r="G28" i="87" s="1"/>
  <c r="F28" i="6"/>
  <c r="G30" i="55"/>
  <c r="G65" i="55" s="1"/>
  <c r="F65" i="55"/>
  <c r="J55" i="47"/>
  <c r="N55" i="47" s="1"/>
  <c r="A55" i="47" s="1"/>
  <c r="F28" i="88"/>
  <c r="G28" i="88" s="1"/>
  <c r="G30" i="78"/>
  <c r="F69" i="37"/>
  <c r="G27" i="37"/>
  <c r="G69" i="37" s="1"/>
  <c r="F29" i="72"/>
  <c r="G29" i="72" s="1"/>
  <c r="G55" i="46"/>
  <c r="F28" i="5"/>
  <c r="G31" i="51"/>
  <c r="G69" i="51" s="1"/>
  <c r="F69" i="51"/>
  <c r="J62" i="58"/>
  <c r="N62" i="58" s="1"/>
  <c r="A62" i="58" s="1"/>
  <c r="J68" i="55"/>
  <c r="M68" i="55" s="1"/>
  <c r="A68" i="55" s="1"/>
  <c r="K63" i="56"/>
  <c r="N63" i="56" s="1"/>
  <c r="A63" i="56" s="1"/>
  <c r="G57" i="48"/>
  <c r="G27" i="74"/>
  <c r="G61" i="74" s="1"/>
  <c r="F61" i="74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5" i="56"/>
  <c r="G48" i="34"/>
  <c r="G60" i="34" s="1"/>
  <c r="F60" i="34"/>
  <c r="G29" i="85"/>
  <c r="F58" i="44"/>
  <c r="G26" i="33"/>
  <c r="G59" i="33" s="1"/>
  <c r="F59" i="33"/>
  <c r="F26" i="8"/>
  <c r="G39" i="80"/>
  <c r="G56" i="80" s="1"/>
  <c r="F56" i="80"/>
  <c r="G58" i="44"/>
  <c r="G48" i="53"/>
  <c r="G48" i="58"/>
  <c r="G59" i="58" s="1"/>
  <c r="F59" i="58"/>
  <c r="F57" i="48"/>
  <c r="G30" i="72"/>
  <c r="G46" i="47"/>
  <c r="G52" i="47" s="1"/>
  <c r="F52" i="47"/>
  <c r="G48" i="62"/>
  <c r="G60" i="62" s="1"/>
  <c r="F60" i="62"/>
  <c r="G48" i="20"/>
  <c r="G59" i="20" s="1"/>
  <c r="F59" i="20"/>
  <c r="G48" i="61"/>
  <c r="G60" i="61" s="1"/>
  <c r="F60" i="61"/>
  <c r="F41" i="51" l="1"/>
  <c r="G41" i="51" s="1"/>
  <c r="F36" i="86"/>
  <c r="G36" i="86" s="1"/>
  <c r="F37" i="5"/>
  <c r="G37" i="5" s="1"/>
  <c r="F67" i="54"/>
  <c r="K38" i="30"/>
  <c r="J38" i="30"/>
  <c r="J36" i="30"/>
  <c r="K36" i="30"/>
  <c r="K70" i="30" s="1"/>
  <c r="N70" i="30" s="1"/>
  <c r="A70" i="30" s="1"/>
  <c r="D39" i="30"/>
  <c r="F39" i="30" s="1"/>
  <c r="G39" i="30" s="1"/>
  <c r="D37" i="30"/>
  <c r="F37" i="30" s="1"/>
  <c r="G37" i="30" s="1"/>
  <c r="G68" i="86"/>
  <c r="F40" i="78"/>
  <c r="G40" i="78" s="1"/>
  <c r="F66" i="78"/>
  <c r="D41" i="78"/>
  <c r="J41" i="78" s="1"/>
  <c r="D39" i="78"/>
  <c r="J39" i="78" s="1"/>
  <c r="G66" i="78"/>
  <c r="F41" i="78"/>
  <c r="G41" i="78" s="1"/>
  <c r="D40" i="53"/>
  <c r="J40" i="53" s="1"/>
  <c r="D38" i="53"/>
  <c r="J38" i="53" s="1"/>
  <c r="J70" i="53" s="1"/>
  <c r="M70" i="53" s="1"/>
  <c r="A70" i="53" s="1"/>
  <c r="B41" i="53"/>
  <c r="I41" i="53" s="1"/>
  <c r="E39" i="53"/>
  <c r="M33" i="53"/>
  <c r="B39" i="53"/>
  <c r="I39" i="53" s="1"/>
  <c r="E41" i="53"/>
  <c r="C41" i="53"/>
  <c r="C39" i="53"/>
  <c r="E38" i="53"/>
  <c r="I38" i="53"/>
  <c r="C38" i="53"/>
  <c r="I40" i="53"/>
  <c r="E40" i="53"/>
  <c r="F40" i="53" s="1"/>
  <c r="G40" i="53" s="1"/>
  <c r="C40" i="53"/>
  <c r="F43" i="51"/>
  <c r="G43" i="51" s="1"/>
  <c r="L31" i="7"/>
  <c r="M29" i="7"/>
  <c r="B36" i="7"/>
  <c r="B38" i="7"/>
  <c r="D37" i="54"/>
  <c r="J37" i="54" s="1"/>
  <c r="D39" i="54"/>
  <c r="J39" i="54" s="1"/>
  <c r="F39" i="54"/>
  <c r="G39" i="54" s="1"/>
  <c r="F38" i="54"/>
  <c r="G38" i="54" s="1"/>
  <c r="F39" i="5"/>
  <c r="G39" i="5" s="1"/>
  <c r="E37" i="6"/>
  <c r="N30" i="6"/>
  <c r="E39" i="6"/>
  <c r="B39" i="6"/>
  <c r="I39" i="6" s="1"/>
  <c r="B37" i="6"/>
  <c r="I37" i="6" s="1"/>
  <c r="C39" i="6"/>
  <c r="C37" i="6"/>
  <c r="D38" i="6"/>
  <c r="D36" i="6"/>
  <c r="F66" i="85"/>
  <c r="I38" i="4"/>
  <c r="C38" i="4"/>
  <c r="E38" i="4"/>
  <c r="I36" i="4"/>
  <c r="E36" i="4"/>
  <c r="C36" i="4"/>
  <c r="D36" i="4"/>
  <c r="D38" i="4"/>
  <c r="E39" i="4"/>
  <c r="E37" i="4"/>
  <c r="B37" i="4"/>
  <c r="I37" i="4" s="1"/>
  <c r="N30" i="4"/>
  <c r="B39" i="4"/>
  <c r="I39" i="4" s="1"/>
  <c r="C37" i="4"/>
  <c r="C39" i="4"/>
  <c r="D39" i="85"/>
  <c r="F39" i="85" s="1"/>
  <c r="G39" i="85" s="1"/>
  <c r="D37" i="85"/>
  <c r="F37" i="85" s="1"/>
  <c r="G37" i="85" s="1"/>
  <c r="J38" i="85"/>
  <c r="K38" i="85"/>
  <c r="G66" i="85"/>
  <c r="J36" i="85"/>
  <c r="K36" i="85"/>
  <c r="D37" i="86"/>
  <c r="K37" i="86" s="1"/>
  <c r="D39" i="86"/>
  <c r="K39" i="86" s="1"/>
  <c r="F38" i="86"/>
  <c r="G38" i="86" s="1"/>
  <c r="M30" i="3"/>
  <c r="N29" i="3"/>
  <c r="B38" i="3"/>
  <c r="B36" i="3"/>
  <c r="S26" i="31"/>
  <c r="T26" i="31" s="1"/>
  <c r="F68" i="86"/>
  <c r="F62" i="17"/>
  <c r="F60" i="19"/>
  <c r="F62" i="72"/>
  <c r="G28" i="71"/>
  <c r="G67" i="71" s="1"/>
  <c r="F67" i="71"/>
  <c r="G62" i="72"/>
  <c r="G28" i="6"/>
  <c r="G28" i="5"/>
  <c r="G66" i="5" s="1"/>
  <c r="F66" i="5"/>
  <c r="G25" i="18"/>
  <c r="G60" i="18" s="1"/>
  <c r="F60" i="18"/>
  <c r="U24" i="88"/>
  <c r="T24" i="88"/>
  <c r="S25" i="88"/>
  <c r="U25" i="88" s="1"/>
  <c r="U24" i="87"/>
  <c r="T24" i="87"/>
  <c r="U25" i="87"/>
  <c r="S26" i="87"/>
  <c r="G26" i="8"/>
  <c r="G61" i="8" s="1"/>
  <c r="F61" i="8"/>
  <c r="F60" i="56"/>
  <c r="G25" i="56"/>
  <c r="G60" i="56" s="1"/>
  <c r="F37" i="54" l="1"/>
  <c r="G37" i="54" s="1"/>
  <c r="J37" i="30"/>
  <c r="K37" i="30"/>
  <c r="K39" i="30"/>
  <c r="J39" i="30"/>
  <c r="F39" i="78"/>
  <c r="G39" i="78" s="1"/>
  <c r="D39" i="53"/>
  <c r="J39" i="53" s="1"/>
  <c r="D41" i="53"/>
  <c r="J41" i="53" s="1"/>
  <c r="F38" i="53"/>
  <c r="E37" i="7"/>
  <c r="M31" i="7"/>
  <c r="C39" i="7"/>
  <c r="E39" i="7"/>
  <c r="B37" i="7"/>
  <c r="I37" i="7" s="1"/>
  <c r="B39" i="7"/>
  <c r="I39" i="7" s="1"/>
  <c r="C37" i="7"/>
  <c r="I38" i="7"/>
  <c r="E38" i="7"/>
  <c r="C38" i="7"/>
  <c r="D36" i="7"/>
  <c r="J36" i="7" s="1"/>
  <c r="J71" i="7" s="1"/>
  <c r="M71" i="7" s="1"/>
  <c r="A71" i="7" s="1"/>
  <c r="D38" i="7"/>
  <c r="J38" i="7" s="1"/>
  <c r="I36" i="7"/>
  <c r="E36" i="7"/>
  <c r="F36" i="7" s="1"/>
  <c r="C36" i="7"/>
  <c r="K38" i="6"/>
  <c r="F38" i="6"/>
  <c r="G38" i="6" s="1"/>
  <c r="D37" i="6"/>
  <c r="K37" i="6" s="1"/>
  <c r="D39" i="6"/>
  <c r="K39" i="6" s="1"/>
  <c r="K36" i="6"/>
  <c r="K69" i="6" s="1"/>
  <c r="N69" i="6" s="1"/>
  <c r="A69" i="6" s="1"/>
  <c r="F36" i="6"/>
  <c r="F39" i="86"/>
  <c r="G39" i="86" s="1"/>
  <c r="F37" i="86"/>
  <c r="G37" i="86" s="1"/>
  <c r="F36" i="4"/>
  <c r="G36" i="4" s="1"/>
  <c r="G66" i="4" s="1"/>
  <c r="K38" i="4"/>
  <c r="J38" i="4"/>
  <c r="K36" i="4"/>
  <c r="K73" i="4" s="1"/>
  <c r="N73" i="4" s="1"/>
  <c r="A69" i="4" s="1"/>
  <c r="J36" i="4"/>
  <c r="D37" i="4"/>
  <c r="D39" i="4"/>
  <c r="F39" i="4" s="1"/>
  <c r="G39" i="4" s="1"/>
  <c r="F38" i="4"/>
  <c r="G38" i="4" s="1"/>
  <c r="J39" i="85"/>
  <c r="K39" i="85"/>
  <c r="J37" i="85"/>
  <c r="K37" i="85"/>
  <c r="I36" i="3"/>
  <c r="C36" i="3"/>
  <c r="E36" i="3"/>
  <c r="E38" i="3"/>
  <c r="C38" i="3"/>
  <c r="I38" i="3"/>
  <c r="D36" i="3"/>
  <c r="K36" i="3" s="1"/>
  <c r="D38" i="3"/>
  <c r="K38" i="3" s="1"/>
  <c r="E39" i="3"/>
  <c r="E37" i="3"/>
  <c r="C39" i="3"/>
  <c r="B39" i="3"/>
  <c r="I39" i="3" s="1"/>
  <c r="N30" i="3"/>
  <c r="B37" i="3"/>
  <c r="I37" i="3" s="1"/>
  <c r="C37" i="3"/>
  <c r="V26" i="31"/>
  <c r="S27" i="31"/>
  <c r="S28" i="31" s="1"/>
  <c r="V28" i="31" s="1"/>
  <c r="S26" i="88"/>
  <c r="S27" i="88"/>
  <c r="V26" i="87"/>
  <c r="T26" i="87"/>
  <c r="S27" i="87"/>
  <c r="F38" i="7" l="1"/>
  <c r="G38" i="7" s="1"/>
  <c r="F66" i="4"/>
  <c r="F39" i="53"/>
  <c r="G39" i="53" s="1"/>
  <c r="F41" i="53"/>
  <c r="G41" i="53" s="1"/>
  <c r="G38" i="53"/>
  <c r="G67" i="53" s="1"/>
  <c r="F67" i="53"/>
  <c r="G36" i="7"/>
  <c r="G68" i="7" s="1"/>
  <c r="F68" i="7"/>
  <c r="D37" i="7"/>
  <c r="J37" i="7" s="1"/>
  <c r="D39" i="7"/>
  <c r="J39" i="7" s="1"/>
  <c r="F37" i="7"/>
  <c r="G37" i="7" s="1"/>
  <c r="G36" i="6"/>
  <c r="G66" i="6" s="1"/>
  <c r="F66" i="6"/>
  <c r="F39" i="6"/>
  <c r="G39" i="6" s="1"/>
  <c r="F37" i="6"/>
  <c r="G37" i="6" s="1"/>
  <c r="J39" i="4"/>
  <c r="K39" i="4"/>
  <c r="K37" i="4"/>
  <c r="J37" i="4"/>
  <c r="F37" i="4"/>
  <c r="G37" i="4" s="1"/>
  <c r="F36" i="3"/>
  <c r="D37" i="3"/>
  <c r="K37" i="3" s="1"/>
  <c r="D39" i="3"/>
  <c r="K39" i="3" s="1"/>
  <c r="F38" i="3"/>
  <c r="G38" i="3" s="1"/>
  <c r="V27" i="31"/>
  <c r="U27" i="31"/>
  <c r="S29" i="31"/>
  <c r="T29" i="31" s="1"/>
  <c r="U27" i="88"/>
  <c r="V27" i="88"/>
  <c r="S28" i="88"/>
  <c r="V26" i="88"/>
  <c r="T26" i="88"/>
  <c r="V27" i="87"/>
  <c r="U27" i="87"/>
  <c r="S28" i="87"/>
  <c r="F39" i="7" l="1"/>
  <c r="G39" i="7" s="1"/>
  <c r="F37" i="3"/>
  <c r="G37" i="3" s="1"/>
  <c r="G36" i="3"/>
  <c r="G66" i="3" s="1"/>
  <c r="F66" i="3"/>
  <c r="F39" i="3"/>
  <c r="G39" i="3" s="1"/>
  <c r="S30" i="31"/>
  <c r="V28" i="88"/>
  <c r="S29" i="88"/>
  <c r="V28" i="87"/>
  <c r="S29" i="87"/>
  <c r="T29" i="87" s="1"/>
  <c r="S31" i="31" l="1"/>
  <c r="U31" i="31" s="1"/>
  <c r="U30" i="31"/>
  <c r="T30" i="31"/>
  <c r="T29" i="88"/>
  <c r="S30" i="88"/>
  <c r="S30" i="87"/>
  <c r="T30" i="87" s="1"/>
  <c r="S32" i="31" l="1"/>
  <c r="M25" i="31"/>
  <c r="U30" i="88"/>
  <c r="T30" i="88"/>
  <c r="S31" i="88"/>
  <c r="S31" i="87"/>
  <c r="U31" i="87" s="1"/>
  <c r="U30" i="87"/>
  <c r="T32" i="31" l="1"/>
  <c r="M24" i="31" s="1"/>
  <c r="V32" i="31"/>
  <c r="M26" i="31" s="1"/>
  <c r="M25" i="87"/>
  <c r="U31" i="88"/>
  <c r="M25" i="88" s="1"/>
  <c r="S32" i="88"/>
  <c r="S32" i="87"/>
  <c r="T32" i="87" s="1"/>
  <c r="M24" i="87" s="1"/>
  <c r="M29" i="87" s="1"/>
  <c r="B38" i="87" s="1"/>
  <c r="M27" i="31" l="1"/>
  <c r="M29" i="31"/>
  <c r="T32" i="88"/>
  <c r="M24" i="88" s="1"/>
  <c r="V32" i="88"/>
  <c r="M26" i="88" s="1"/>
  <c r="V32" i="87"/>
  <c r="M26" i="87" s="1"/>
  <c r="M27" i="87" s="1"/>
  <c r="B36" i="87"/>
  <c r="N29" i="87"/>
  <c r="B38" i="31" l="1"/>
  <c r="B36" i="31"/>
  <c r="N29" i="31"/>
  <c r="M30" i="31"/>
  <c r="M29" i="88"/>
  <c r="M27" i="88"/>
  <c r="M30" i="87"/>
  <c r="E38" i="87"/>
  <c r="C38" i="87"/>
  <c r="I38" i="87"/>
  <c r="I36" i="87"/>
  <c r="E36" i="87"/>
  <c r="C36" i="87"/>
  <c r="D38" i="87"/>
  <c r="K38" i="87" s="1"/>
  <c r="D36" i="87"/>
  <c r="K36" i="87" s="1"/>
  <c r="K71" i="87"/>
  <c r="N71" i="87" s="1"/>
  <c r="A71" i="87" s="1"/>
  <c r="E38" i="31" l="1"/>
  <c r="C38" i="31"/>
  <c r="I38" i="31"/>
  <c r="B39" i="31"/>
  <c r="I39" i="31" s="1"/>
  <c r="B37" i="31"/>
  <c r="I37" i="31" s="1"/>
  <c r="N30" i="31"/>
  <c r="D36" i="31"/>
  <c r="K36" i="31" s="1"/>
  <c r="D38" i="31"/>
  <c r="K38" i="31" s="1"/>
  <c r="I36" i="31"/>
  <c r="E36" i="31"/>
  <c r="C36" i="31"/>
  <c r="N30" i="87"/>
  <c r="D39" i="87" s="1"/>
  <c r="B39" i="87"/>
  <c r="I39" i="87" s="1"/>
  <c r="B37" i="87"/>
  <c r="I37" i="87" s="1"/>
  <c r="B38" i="88"/>
  <c r="B36" i="88"/>
  <c r="M30" i="88"/>
  <c r="N29" i="88"/>
  <c r="E39" i="87"/>
  <c r="F36" i="87"/>
  <c r="G36" i="87" s="1"/>
  <c r="C37" i="87"/>
  <c r="F38" i="87"/>
  <c r="G38" i="87" s="1"/>
  <c r="D37" i="87" l="1"/>
  <c r="F38" i="31"/>
  <c r="G38" i="31" s="1"/>
  <c r="E39" i="31"/>
  <c r="C37" i="31"/>
  <c r="C39" i="31"/>
  <c r="E37" i="31"/>
  <c r="D37" i="31"/>
  <c r="K37" i="31" s="1"/>
  <c r="D39" i="31"/>
  <c r="K39" i="31" s="1"/>
  <c r="F36" i="31"/>
  <c r="C39" i="87"/>
  <c r="E37" i="87"/>
  <c r="F37" i="87" s="1"/>
  <c r="D38" i="88"/>
  <c r="K38" i="88" s="1"/>
  <c r="D36" i="88"/>
  <c r="K36" i="88" s="1"/>
  <c r="C39" i="88"/>
  <c r="C37" i="88"/>
  <c r="N30" i="88"/>
  <c r="B39" i="88"/>
  <c r="I39" i="88" s="1"/>
  <c r="B37" i="88"/>
  <c r="I37" i="88" s="1"/>
  <c r="C36" i="88"/>
  <c r="I36" i="88"/>
  <c r="E36" i="88"/>
  <c r="C38" i="88"/>
  <c r="I38" i="88"/>
  <c r="E38" i="88"/>
  <c r="K37" i="87"/>
  <c r="K39" i="87"/>
  <c r="F39" i="87"/>
  <c r="G39" i="87" s="1"/>
  <c r="K71" i="31" l="1"/>
  <c r="N71" i="31" s="1"/>
  <c r="A71" i="31" s="1"/>
  <c r="F37" i="31"/>
  <c r="G37" i="31" s="1"/>
  <c r="F39" i="31"/>
  <c r="G39" i="31" s="1"/>
  <c r="G36" i="31"/>
  <c r="E37" i="88"/>
  <c r="E39" i="88"/>
  <c r="F36" i="88"/>
  <c r="G36" i="88" s="1"/>
  <c r="F38" i="88"/>
  <c r="G38" i="88" s="1"/>
  <c r="D39" i="88"/>
  <c r="K39" i="88" s="1"/>
  <c r="D37" i="88"/>
  <c r="K37" i="88" s="1"/>
  <c r="G37" i="87"/>
  <c r="G68" i="87" s="1"/>
  <c r="F68" i="87"/>
  <c r="G68" i="31" l="1"/>
  <c r="F68" i="31"/>
  <c r="K71" i="88"/>
  <c r="N71" i="88" s="1"/>
  <c r="A71" i="88" s="1"/>
  <c r="F37" i="88"/>
  <c r="F39" i="88"/>
  <c r="G39" i="88" s="1"/>
  <c r="G37" i="88" l="1"/>
  <c r="G68" i="88" s="1"/>
  <c r="F68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sharedStrings.xml><?xml version="1.0" encoding="utf-8"?>
<sst xmlns="http://schemas.openxmlformats.org/spreadsheetml/2006/main" count="15778" uniqueCount="6566">
  <si>
    <t>název sk</t>
  </si>
  <si>
    <t>název CZ</t>
  </si>
  <si>
    <t>název PL</t>
  </si>
  <si>
    <t>kód</t>
  </si>
  <si>
    <t>www.demos-trade.com</t>
  </si>
  <si>
    <t>TYTAN</t>
  </si>
  <si>
    <t>počet dveří: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</si>
  <si>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</si>
  <si>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</si>
  <si>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</si>
  <si>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</si>
  <si>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</si>
  <si>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</si>
  <si>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</si>
  <si>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</si>
  <si>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</si>
  <si>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</si>
  <si>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</si>
  <si>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</si>
  <si>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</si>
  <si>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</si>
  <si>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</si>
  <si>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</si>
  <si>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</si>
  <si>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</si>
  <si>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</si>
  <si>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</si>
  <si>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</si>
  <si>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</si>
  <si>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</si>
  <si>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</si>
  <si>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</si>
  <si>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</si>
  <si>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</si>
  <si>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</si>
  <si>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</si>
  <si>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</si>
  <si>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</si>
  <si>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</si>
  <si>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</si>
  <si>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</si>
  <si>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</si>
  <si>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</si>
  <si>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</si>
  <si>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Julie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</si>
  <si>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</si>
  <si>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</si>
  <si>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</si>
  <si>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</si>
  <si>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</si>
  <si>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</si>
  <si>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</si>
  <si>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</si>
  <si>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</si>
  <si>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</si>
  <si>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</si>
  <si>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</si>
  <si>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</si>
  <si>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</si>
  <si>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</si>
  <si>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</si>
  <si>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</si>
  <si>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</si>
  <si>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</si>
  <si>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</si>
  <si>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</si>
  <si>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</si>
  <si>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</si>
  <si>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Délka úchytového profilu (+ 2 mm 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</si>
  <si>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</si>
  <si>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</si>
  <si>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</si>
  <si>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</si>
  <si>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</si>
  <si>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</si>
  <si>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</si>
  <si>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</si>
  <si>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</si>
  <si>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</si>
  <si>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</si>
  <si>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</si>
  <si>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</si>
  <si>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</si>
  <si>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</si>
  <si>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</si>
  <si>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Future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</si>
  <si>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</si>
  <si>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</si>
  <si>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</si>
  <si>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</si>
  <si>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</si>
  <si>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</si>
  <si>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</si>
  <si>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</si>
  <si>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</si>
  <si>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</si>
  <si>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</si>
  <si>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</si>
  <si>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</si>
  <si>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</si>
  <si>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</si>
  <si>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</si>
  <si>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</si>
  <si>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</si>
  <si>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</si>
  <si>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jazyk (1 CZ, 2SK, 3PL, 4HU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</si>
  <si>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</si>
  <si>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</si>
  <si>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</si>
  <si>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</si>
  <si>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</si>
  <si>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</si>
  <si>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</si>
  <si>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</si>
  <si>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Měna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</si>
  <si>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</si>
  <si>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</si>
  <si>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</si>
  <si>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</si>
  <si>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</si>
  <si>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</si>
  <si>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</si>
  <si>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</si>
  <si>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</si>
  <si>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</si>
  <si>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</si>
  <si>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</si>
  <si>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</si>
  <si>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</si>
  <si>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</si>
  <si>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</si>
  <si>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</si>
  <si>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</si>
  <si>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</si>
  <si>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</si>
  <si>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</si>
  <si>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</si>
  <si>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</si>
  <si>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</si>
  <si>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</si>
  <si>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</si>
  <si>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</si>
  <si>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</si>
  <si>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</si>
  <si>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</si>
  <si>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</si>
  <si>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m, pokud je prosklených více křídel, nutno vynásobit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</si>
  <si>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</si>
  <si>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</si>
  <si>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</si>
  <si>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</si>
  <si>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</si>
  <si>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</si>
  <si>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</si>
  <si>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</si>
  <si>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</si>
  <si>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</si>
  <si>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</si>
  <si>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</si>
  <si>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</si>
  <si>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</si>
  <si>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</si>
  <si>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</si>
  <si>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</si>
  <si>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</si>
  <si>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</si>
  <si>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</si>
  <si>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</si>
  <si>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</si>
  <si>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</si>
  <si>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</si>
  <si>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</si>
  <si>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</si>
  <si>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</si>
  <si>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</si>
  <si>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</si>
  <si>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</si>
  <si>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</si>
  <si>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</si>
  <si>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</si>
  <si>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</si>
  <si>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Fogantyú profil hossza (+2mm)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</si>
  <si>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</si>
  <si>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</si>
  <si>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</si>
  <si>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</si>
  <si>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</si>
  <si>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</si>
  <si>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</si>
  <si>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</si>
  <si>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</si>
  <si>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</si>
  <si>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</si>
  <si>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</si>
  <si>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</si>
  <si>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</si>
  <si>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</si>
  <si>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</si>
  <si>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</si>
  <si>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</si>
  <si>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</si>
  <si>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</si>
  <si>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</si>
  <si>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</si>
  <si>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</si>
  <si>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</si>
  <si>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</si>
  <si>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</si>
  <si>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</si>
  <si>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</si>
  <si>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</si>
  <si>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</si>
  <si>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</si>
  <si>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</si>
  <si>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</si>
  <si>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</si>
  <si>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</si>
  <si>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</si>
  <si>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</si>
  <si>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</si>
  <si>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</si>
  <si>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r>
      <t xml:space="preserve">Prosper  </t>
    </r>
    <r>
      <rPr>
        <b/>
        <u/>
        <sz val="10"/>
        <color indexed="12"/>
        <rFont val="Arial"/>
        <family val="2"/>
        <charset val="238"/>
      </rPr>
      <t>systém Maxim</t>
    </r>
  </si>
  <si>
    <t>VNITŘNÍ ROZMĚR SKŘÍNĚ:</t>
  </si>
  <si>
    <t>odpočet na těsnění: 2mm/1strana</t>
  </si>
  <si>
    <t>Objednací kody, ceny:</t>
  </si>
  <si>
    <t>Horní profil: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</si>
  <si>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</si>
  <si>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</si>
  <si>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</si>
  <si>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</si>
  <si>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</si>
  <si>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</si>
  <si>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</si>
  <si>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</si>
  <si>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</si>
  <si>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</si>
  <si>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</si>
  <si>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</si>
  <si>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</si>
  <si>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</si>
  <si>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</si>
  <si>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</si>
  <si>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</si>
  <si>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</si>
  <si>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</si>
  <si>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</si>
  <si>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</si>
  <si>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</si>
  <si>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</si>
  <si>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</si>
  <si>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</si>
  <si>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</si>
  <si>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</si>
  <si>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</si>
  <si>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</si>
  <si>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</si>
  <si>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</si>
  <si>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</si>
  <si>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</si>
  <si>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</si>
  <si>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</si>
  <si>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</si>
  <si>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</si>
  <si>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</si>
  <si>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</si>
  <si>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</si>
  <si>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</si>
  <si>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</si>
  <si>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</si>
  <si>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</si>
  <si>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počet dverí: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</si>
  <si>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</si>
  <si>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</si>
  <si>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</si>
  <si>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</si>
  <si>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</si>
  <si>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</si>
  <si>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</si>
  <si>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</si>
  <si>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</si>
  <si>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</si>
  <si>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</si>
  <si>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</si>
  <si>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</si>
  <si>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</si>
  <si>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</si>
  <si>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</si>
  <si>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</si>
  <si>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</si>
  <si>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</si>
  <si>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</si>
  <si>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</si>
  <si>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</si>
  <si>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</si>
  <si>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</si>
  <si>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</si>
  <si>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</si>
  <si>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</si>
  <si>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</si>
  <si>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m, pokiaľ je preskenných viac krídel, treba vynásobiť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</si>
  <si>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</si>
  <si>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</si>
  <si>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</si>
  <si>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</si>
  <si>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</si>
  <si>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</si>
  <si>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</si>
  <si>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</si>
  <si>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</si>
  <si>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</si>
  <si>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</si>
  <si>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Dĺžka úchytkového profilu (+2 mm)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</si>
  <si>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</si>
  <si>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</si>
  <si>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</si>
  <si>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</si>
  <si>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</si>
  <si>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</si>
  <si>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</si>
  <si>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</si>
  <si>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</si>
  <si>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</si>
  <si>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</si>
  <si>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</si>
  <si>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</si>
  <si>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</si>
  <si>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</si>
  <si>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</si>
  <si>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</si>
  <si>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</si>
  <si>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</si>
  <si>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</si>
  <si>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</si>
  <si>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</si>
  <si>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</si>
  <si>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</si>
  <si>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</si>
  <si>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</si>
  <si>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</si>
  <si>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</si>
  <si>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</si>
  <si>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</si>
  <si>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</si>
  <si>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</si>
  <si>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</si>
  <si>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</si>
  <si>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</si>
  <si>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</si>
  <si>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</si>
  <si>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</si>
  <si>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</si>
  <si>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</si>
  <si>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</si>
  <si>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</si>
  <si>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</si>
  <si>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</si>
  <si>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</si>
  <si>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</si>
  <si>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</si>
  <si>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</si>
  <si>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</si>
  <si>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</si>
  <si>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</si>
  <si>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</si>
  <si>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</si>
  <si>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</si>
  <si>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</si>
  <si>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</si>
  <si>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</si>
  <si>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</si>
  <si>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</si>
  <si>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Komentáře: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</si>
  <si>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</si>
  <si>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</si>
  <si>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</si>
  <si>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</si>
  <si>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</si>
  <si>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</si>
  <si>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</si>
  <si>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</si>
  <si>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</si>
  <si>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</si>
  <si>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</si>
  <si>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</si>
  <si>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</si>
  <si>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</si>
  <si>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</si>
  <si>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</si>
  <si>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</si>
  <si>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</si>
  <si>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</si>
  <si>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</si>
  <si>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</si>
  <si>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</si>
  <si>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</si>
  <si>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</si>
  <si>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</si>
  <si>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</si>
  <si>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</si>
  <si>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</si>
  <si>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</si>
  <si>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</si>
  <si>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</si>
  <si>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</si>
  <si>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</si>
  <si>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</si>
  <si>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</si>
  <si>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</si>
  <si>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</si>
  <si>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</si>
  <si>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</si>
  <si>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</si>
  <si>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</si>
  <si>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</si>
  <si>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</si>
  <si>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ilość drzwi: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</si>
  <si>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</si>
  <si>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</si>
  <si>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</si>
  <si>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</si>
  <si>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</si>
  <si>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</si>
  <si>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</si>
  <si>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</si>
  <si>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</si>
  <si>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Długość rączki (+ 2 mm )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</si>
  <si>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</si>
  <si>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</si>
  <si>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</si>
  <si>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</si>
  <si>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</si>
  <si>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</si>
  <si>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</si>
  <si>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</si>
  <si>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</si>
  <si>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</si>
  <si>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</si>
  <si>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</si>
  <si>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</si>
  <si>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</si>
  <si>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</si>
  <si>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</si>
  <si>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</si>
  <si>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</si>
  <si>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</si>
  <si>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</si>
  <si>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</si>
  <si>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</si>
  <si>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</si>
  <si>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</si>
  <si>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</si>
  <si>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</si>
  <si>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</si>
  <si>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</si>
  <si>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</si>
  <si>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</si>
  <si>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</si>
  <si>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</si>
  <si>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</si>
  <si>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</si>
  <si>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</si>
  <si>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</si>
  <si>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</si>
  <si>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</si>
  <si>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</si>
  <si>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</si>
  <si>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</si>
  <si>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</si>
  <si>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</si>
  <si>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</si>
  <si>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</si>
  <si>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</si>
  <si>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</si>
  <si>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</si>
  <si>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</si>
  <si>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</si>
  <si>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</si>
  <si>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</si>
  <si>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</si>
  <si>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</si>
  <si>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</si>
  <si>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</si>
  <si>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</si>
  <si>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</si>
  <si>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</si>
  <si>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</si>
  <si>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</si>
  <si>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</si>
  <si>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</si>
  <si>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</si>
  <si>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</si>
  <si>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</si>
  <si>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</si>
  <si>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</si>
  <si>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</si>
  <si>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</si>
  <si>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</si>
  <si>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</si>
  <si>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</si>
  <si>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</si>
  <si>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</si>
  <si>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</si>
  <si>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</si>
  <si>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</si>
  <si>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</si>
  <si>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</si>
  <si>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Spracované na základe údajov dodaných výrobcom, chyby vyhradené, zvlášť v prípade hromadnej výroby odporúčame najprv výrobu skúšobného prototypu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</si>
  <si>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</si>
  <si>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</si>
  <si>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</si>
  <si>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</si>
  <si>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</si>
  <si>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</si>
  <si>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</si>
  <si>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</si>
  <si>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</si>
  <si>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</si>
  <si>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</si>
  <si>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</si>
  <si>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</si>
  <si>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</si>
  <si>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</si>
  <si>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</si>
  <si>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</si>
  <si>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</si>
  <si>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</si>
  <si>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</si>
  <si>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</si>
  <si>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</si>
  <si>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</si>
  <si>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</si>
  <si>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</si>
  <si>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</si>
  <si>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</si>
  <si>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</si>
  <si>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</si>
  <si>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</si>
  <si>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</si>
  <si>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</si>
  <si>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</si>
  <si>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</si>
  <si>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</si>
  <si>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</si>
  <si>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</si>
  <si>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</si>
  <si>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</si>
  <si>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</si>
  <si>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</si>
  <si>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</si>
  <si>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</si>
  <si>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</si>
  <si>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</si>
  <si>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</si>
  <si>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</si>
  <si>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</si>
  <si>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</si>
  <si>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</si>
  <si>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</si>
  <si>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</si>
  <si>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</si>
  <si>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</si>
  <si>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</si>
  <si>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</si>
  <si>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</si>
  <si>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</si>
  <si>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</si>
  <si>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</si>
  <si>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</si>
  <si>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</si>
  <si>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</si>
  <si>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</si>
  <si>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</si>
  <si>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</si>
  <si>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</si>
  <si>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</si>
  <si>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</si>
  <si>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</si>
  <si>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</si>
  <si>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</si>
  <si>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</si>
  <si>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</si>
  <si>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</si>
  <si>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</si>
  <si>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</si>
  <si>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</si>
  <si>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</si>
  <si>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</si>
  <si>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</si>
  <si>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</si>
  <si>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</si>
  <si>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</si>
  <si>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</si>
  <si>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</si>
  <si>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</si>
  <si>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</si>
  <si>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</si>
  <si>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</si>
  <si>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</si>
  <si>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</si>
  <si>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</si>
  <si>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</si>
  <si>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</si>
  <si>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</si>
  <si>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</si>
  <si>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</si>
  <si>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</si>
  <si>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</si>
  <si>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</si>
  <si>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</si>
  <si>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</si>
  <si>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</si>
  <si>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</si>
  <si>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</si>
  <si>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</si>
  <si>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</si>
  <si>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</si>
  <si>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</si>
  <si>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</si>
  <si>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</si>
  <si>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</si>
  <si>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</si>
  <si>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</si>
  <si>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</si>
  <si>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</si>
  <si>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</si>
  <si>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</si>
  <si>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</si>
  <si>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</si>
  <si>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</si>
  <si>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</si>
  <si>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</si>
  <si>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</si>
  <si>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</si>
  <si>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</si>
  <si>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</si>
  <si>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</si>
  <si>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</si>
  <si>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</si>
  <si>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</si>
  <si>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</si>
  <si>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</si>
  <si>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</si>
  <si>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</si>
  <si>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</si>
  <si>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</si>
  <si>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</si>
  <si>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</si>
  <si>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</si>
  <si>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</si>
  <si>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</si>
  <si>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</si>
  <si>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</si>
  <si>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</si>
  <si>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</si>
  <si>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</si>
  <si>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</si>
  <si>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</si>
  <si>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</si>
  <si>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</si>
  <si>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</si>
  <si>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</si>
  <si>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</si>
  <si>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</si>
  <si>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</si>
  <si>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</si>
  <si>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</si>
  <si>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</si>
  <si>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</si>
  <si>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</si>
  <si>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</si>
  <si>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</si>
  <si>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</si>
  <si>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</si>
  <si>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</si>
  <si>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</si>
  <si>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</si>
  <si>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</si>
  <si>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</si>
  <si>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</si>
  <si>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</si>
  <si>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</si>
  <si>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</si>
  <si>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</si>
  <si>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</si>
  <si>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</si>
  <si>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</si>
  <si>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</si>
  <si>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</si>
  <si>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</si>
  <si>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</si>
  <si>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</si>
  <si>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</si>
  <si>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</si>
  <si>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</si>
  <si>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</si>
  <si>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</si>
  <si>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</si>
  <si>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</si>
  <si>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</si>
  <si>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</si>
  <si>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</si>
  <si>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</si>
  <si>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</si>
  <si>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</si>
  <si>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</si>
  <si>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</si>
  <si>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</si>
  <si>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</si>
  <si>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</si>
  <si>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</si>
  <si>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</si>
  <si>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</si>
  <si>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</si>
  <si>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</si>
  <si>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</si>
  <si>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</si>
  <si>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</si>
  <si>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</si>
  <si>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</si>
  <si>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</si>
  <si>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</si>
  <si>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</si>
  <si>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</si>
  <si>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</si>
  <si>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</si>
  <si>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</si>
  <si>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</si>
  <si>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</si>
  <si>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</si>
  <si>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</si>
  <si>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</si>
  <si>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</si>
  <si>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</si>
  <si>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</si>
  <si>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</si>
  <si>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</si>
  <si>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</si>
  <si>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</si>
  <si>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</si>
  <si>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</si>
  <si>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</si>
  <si>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</si>
  <si>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</si>
  <si>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</si>
  <si>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</si>
  <si>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</si>
  <si>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</si>
  <si>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</si>
  <si>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</si>
  <si>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</si>
  <si>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</si>
  <si>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Systém 10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</si>
  <si>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</si>
  <si>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</si>
  <si>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</si>
  <si>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</si>
  <si>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</si>
  <si>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</si>
  <si>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</si>
  <si>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</si>
  <si>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</si>
  <si>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</si>
  <si>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</si>
  <si>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</si>
  <si>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</si>
  <si>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</si>
  <si>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</si>
  <si>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</si>
  <si>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</si>
  <si>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</si>
  <si>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</si>
  <si>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</si>
  <si>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</si>
  <si>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</si>
  <si>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</si>
  <si>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</si>
  <si>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</si>
  <si>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</si>
  <si>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</si>
  <si>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</si>
  <si>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</si>
  <si>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</si>
  <si>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</si>
  <si>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</si>
  <si>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</si>
  <si>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</si>
  <si>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</si>
  <si>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</si>
  <si>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</si>
  <si>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</si>
  <si>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</si>
  <si>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</si>
  <si>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</si>
  <si>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</si>
  <si>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</si>
  <si>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</si>
  <si>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</si>
  <si>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</si>
  <si>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</si>
  <si>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</si>
  <si>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</si>
  <si>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</si>
  <si>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</si>
  <si>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</si>
  <si>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</si>
  <si>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</si>
  <si>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</si>
  <si>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</si>
  <si>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</si>
  <si>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</si>
  <si>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</si>
  <si>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</si>
  <si>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</si>
  <si>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</si>
  <si>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</si>
  <si>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</si>
  <si>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</si>
  <si>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</si>
  <si>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</si>
  <si>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</si>
  <si>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</si>
  <si>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</si>
  <si>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</si>
  <si>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</si>
  <si>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</si>
  <si>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</si>
  <si>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</si>
  <si>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</si>
  <si>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</si>
  <si>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</si>
  <si>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</si>
  <si>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</si>
  <si>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</si>
  <si>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</si>
  <si>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</si>
  <si>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</si>
  <si>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</si>
  <si>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</si>
  <si>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</si>
  <si>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</si>
  <si>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</si>
  <si>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</si>
  <si>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</si>
  <si>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</si>
  <si>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</si>
  <si>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</si>
  <si>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</si>
  <si>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</si>
  <si>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</si>
  <si>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</si>
  <si>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</si>
  <si>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</si>
  <si>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</si>
  <si>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</si>
  <si>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r>
      <t xml:space="preserve">Rex  </t>
    </r>
    <r>
      <rPr>
        <b/>
        <u/>
        <sz val="10"/>
        <color indexed="12"/>
        <rFont val="Arial"/>
        <family val="2"/>
        <charset val="238"/>
      </rPr>
      <t>systém Maxim</t>
    </r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</si>
  <si>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</si>
  <si>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</si>
  <si>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</si>
  <si>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</si>
  <si>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</si>
  <si>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</si>
  <si>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</si>
  <si>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</si>
  <si>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</si>
  <si>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</si>
  <si>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</si>
  <si>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</si>
  <si>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</si>
  <si>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</si>
  <si>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</si>
  <si>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</si>
  <si>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</si>
  <si>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</si>
  <si>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</si>
  <si>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</si>
  <si>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</si>
  <si>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</si>
  <si>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</si>
  <si>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</si>
  <si>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</si>
  <si>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</si>
  <si>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</si>
  <si>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</si>
  <si>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</si>
  <si>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</si>
  <si>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A szárny maximális szélessége  1 100 mm lehet!!!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</si>
  <si>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</si>
  <si>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</si>
  <si>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</si>
  <si>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</si>
  <si>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</si>
  <si>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</si>
  <si>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</si>
  <si>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</si>
  <si>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</si>
  <si>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</si>
  <si>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</si>
  <si>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</si>
  <si>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</si>
  <si>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</si>
  <si>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</si>
  <si>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</si>
  <si>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</si>
  <si>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</si>
  <si>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</si>
  <si>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</si>
  <si>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</si>
  <si>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</si>
  <si>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</si>
  <si>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</si>
  <si>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</si>
  <si>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</si>
  <si>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</si>
  <si>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</si>
  <si>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</si>
  <si>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</si>
  <si>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</si>
  <si>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</si>
  <si>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</si>
  <si>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</si>
  <si>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</si>
  <si>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</si>
  <si>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</si>
  <si>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</si>
  <si>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</si>
  <si>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</si>
  <si>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</si>
  <si>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</si>
  <si>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</si>
  <si>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</si>
  <si>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</si>
  <si>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</si>
  <si>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</si>
  <si>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</si>
  <si>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</si>
  <si>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</si>
  <si>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</si>
  <si>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</si>
  <si>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</si>
  <si>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</si>
  <si>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</si>
  <si>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</si>
  <si>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</si>
  <si>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</si>
  <si>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</si>
  <si>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</si>
  <si>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</si>
  <si>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</si>
  <si>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</si>
  <si>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</si>
  <si>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</si>
  <si>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Blue 18 mm ( ramowy)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</si>
  <si>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</si>
  <si>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</si>
  <si>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</si>
  <si>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</si>
  <si>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</si>
  <si>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</si>
  <si>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</si>
  <si>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</si>
  <si>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</si>
  <si>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</si>
  <si>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</si>
  <si>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</si>
  <si>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</si>
  <si>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</si>
  <si>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</si>
  <si>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</si>
  <si>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</si>
  <si>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</si>
  <si>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</si>
  <si>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</si>
  <si>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</si>
  <si>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</si>
  <si>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</si>
  <si>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</si>
  <si>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</si>
  <si>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</si>
  <si>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</si>
  <si>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</si>
  <si>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</si>
  <si>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</si>
  <si>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</si>
  <si>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</si>
  <si>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</si>
  <si>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</si>
  <si>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</si>
  <si>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</si>
  <si>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</si>
  <si>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</si>
  <si>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</si>
  <si>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</si>
  <si>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</si>
  <si>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</si>
  <si>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</si>
  <si>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</si>
  <si>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</si>
  <si>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Era (rámová)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</si>
  <si>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</si>
  <si>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</si>
  <si>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</si>
  <si>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</si>
  <si>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</si>
  <si>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</si>
  <si>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</si>
  <si>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</si>
  <si>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</si>
  <si>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</si>
  <si>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</si>
  <si>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Era (bezrámová)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</si>
  <si>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</si>
  <si>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</si>
  <si>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</si>
  <si>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</si>
  <si>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</si>
  <si>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</si>
  <si>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</si>
  <si>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</si>
  <si>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</si>
  <si>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</si>
  <si>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</si>
  <si>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</si>
  <si>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</si>
  <si>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</si>
  <si>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</si>
  <si>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</si>
  <si>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</si>
  <si>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katalog kování 2018 str.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</si>
  <si>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</si>
  <si>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</si>
  <si>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</si>
  <si>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</si>
  <si>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</si>
  <si>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</si>
  <si>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</si>
  <si>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</si>
  <si>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</si>
  <si>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</si>
  <si>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</si>
  <si>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</si>
  <si>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</si>
  <si>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</si>
  <si>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</si>
  <si>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2018 Bútorvasalat katalógus  old.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</si>
  <si>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</si>
  <si>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</si>
  <si>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</si>
  <si>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</si>
  <si>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</si>
  <si>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</si>
  <si>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</si>
  <si>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</si>
  <si>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</si>
  <si>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</si>
  <si>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</si>
  <si>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</si>
  <si>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katalóg kovania 2018 str.</t>
  </si>
  <si>
    <t>zámok posuvných dverí</t>
  </si>
  <si>
    <t>zamek do drzwi przesuwnych</t>
  </si>
  <si>
    <t>zacisk do dylatacji wypełnienia 16 mm</t>
  </si>
  <si>
    <t>dylatacja 4 mm</t>
  </si>
  <si>
    <t>katalog okuć Meblowych 2018 str.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</si>
  <si>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</si>
  <si>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</si>
  <si>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</si>
  <si>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</si>
  <si>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</si>
  <si>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</si>
  <si>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</si>
  <si>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</si>
  <si>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</si>
  <si>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</si>
  <si>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</si>
  <si>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</si>
  <si>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</si>
  <si>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</si>
  <si>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</si>
  <si>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</si>
  <si>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</si>
  <si>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</si>
  <si>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</si>
  <si>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</si>
  <si>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</si>
  <si>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</si>
  <si>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</si>
  <si>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</si>
  <si>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</si>
  <si>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</si>
  <si>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</si>
  <si>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</si>
  <si>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</si>
  <si>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</si>
  <si>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</si>
  <si>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</si>
  <si>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</si>
  <si>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</si>
  <si>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</si>
  <si>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</si>
  <si>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</si>
  <si>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</si>
  <si>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</si>
  <si>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</si>
  <si>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</si>
  <si>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</si>
  <si>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</si>
  <si>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</si>
  <si>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</si>
  <si>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</si>
  <si>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</si>
  <si>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</si>
  <si>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</si>
  <si>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</si>
  <si>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</si>
  <si>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</si>
  <si>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</si>
  <si>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</si>
  <si>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</si>
  <si>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</si>
  <si>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</si>
  <si>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</si>
  <si>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</si>
  <si>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</si>
  <si>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</si>
  <si>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</si>
  <si>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</si>
  <si>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</si>
  <si>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</si>
  <si>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</si>
  <si>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</si>
  <si>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</si>
  <si>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</si>
  <si>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</si>
  <si>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</si>
  <si>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</si>
  <si>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</si>
  <si>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</si>
  <si>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</si>
  <si>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</si>
  <si>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</si>
  <si>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</si>
  <si>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</si>
  <si>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</si>
  <si>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</si>
  <si>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</si>
  <si>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</si>
  <si>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</si>
  <si>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</si>
  <si>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</si>
  <si>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</si>
  <si>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</si>
  <si>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</si>
  <si>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</si>
  <si>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</si>
  <si>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</si>
  <si>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</si>
  <si>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</si>
  <si>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</si>
  <si>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</si>
  <si>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</si>
  <si>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</si>
  <si>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</si>
  <si>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</si>
  <si>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</si>
  <si>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</si>
  <si>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</si>
  <si>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</si>
  <si>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</si>
  <si>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</si>
  <si>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</si>
  <si>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</si>
  <si>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</si>
  <si>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</si>
  <si>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</si>
  <si>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</si>
  <si>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</si>
  <si>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</si>
  <si>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</si>
  <si>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</si>
  <si>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</si>
  <si>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</si>
  <si>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</si>
  <si>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</si>
  <si>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</si>
  <si>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</si>
  <si>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</si>
  <si>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</si>
  <si>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</si>
  <si>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</si>
  <si>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</si>
  <si>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</si>
  <si>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</si>
  <si>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</si>
  <si>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</si>
  <si>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</si>
  <si>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</si>
  <si>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</si>
  <si>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</si>
  <si>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</si>
  <si>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</si>
  <si>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</si>
  <si>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</si>
  <si>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</si>
  <si>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</si>
  <si>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</si>
  <si>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</si>
  <si>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</si>
  <si>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</si>
  <si>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</si>
  <si>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</si>
  <si>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</si>
  <si>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</si>
  <si>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</si>
  <si>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</si>
  <si>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</si>
  <si>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</si>
  <si>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</si>
  <si>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</si>
  <si>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</si>
  <si>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</si>
  <si>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</si>
  <si>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</si>
  <si>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</si>
  <si>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</si>
  <si>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</si>
  <si>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</si>
  <si>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</si>
  <si>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</si>
  <si>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</si>
  <si>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</si>
  <si>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</si>
  <si>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</si>
  <si>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</si>
  <si>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</si>
  <si>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</si>
  <si>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</si>
  <si>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</si>
  <si>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</si>
  <si>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</si>
  <si>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</si>
  <si>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</si>
  <si>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</si>
  <si>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</si>
  <si>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</si>
  <si>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</si>
  <si>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</si>
  <si>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</si>
  <si>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</si>
  <si>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</si>
  <si>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</si>
  <si>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</si>
  <si>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</si>
  <si>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</si>
  <si>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</si>
  <si>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</si>
  <si>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</si>
  <si>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</si>
  <si>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</si>
  <si>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</si>
  <si>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</si>
  <si>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</si>
  <si>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</si>
  <si>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</si>
  <si>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</si>
  <si>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</si>
  <si>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</si>
  <si>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</si>
  <si>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</si>
  <si>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</si>
  <si>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</si>
  <si>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</si>
  <si>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</si>
  <si>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</si>
  <si>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</si>
  <si>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</si>
  <si>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</si>
  <si>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</si>
  <si>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</si>
  <si>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</si>
  <si>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</si>
  <si>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</si>
  <si>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</si>
  <si>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</si>
  <si>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</si>
  <si>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</si>
  <si>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</si>
  <si>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</si>
  <si>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</si>
  <si>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</si>
  <si>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</si>
  <si>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</si>
  <si>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</si>
  <si>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</si>
  <si>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</si>
  <si>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</si>
  <si>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</si>
  <si>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</si>
  <si>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</si>
  <si>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</si>
  <si>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</si>
  <si>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</si>
  <si>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</si>
  <si>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</si>
  <si>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</si>
  <si>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</si>
  <si>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</si>
  <si>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</si>
  <si>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</si>
  <si>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</si>
  <si>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</si>
  <si>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</si>
  <si>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</si>
  <si>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</si>
  <si>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</si>
  <si>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</si>
  <si>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</si>
  <si>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</si>
  <si>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</si>
  <si>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</si>
  <si>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</si>
  <si>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</si>
  <si>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</si>
  <si>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</si>
  <si>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</si>
  <si>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</si>
  <si>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</si>
  <si>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</si>
  <si>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</si>
  <si>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</si>
  <si>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</si>
  <si>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</si>
  <si>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</si>
  <si>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</si>
  <si>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</si>
  <si>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</si>
  <si>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</si>
  <si>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</si>
  <si>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</si>
  <si>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</si>
  <si>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</si>
  <si>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</si>
  <si>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</si>
  <si>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</si>
  <si>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</si>
  <si>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</si>
  <si>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</si>
  <si>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</si>
  <si>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</si>
  <si>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</si>
  <si>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</si>
  <si>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</si>
  <si>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</si>
  <si>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</si>
  <si>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</si>
  <si>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</si>
  <si>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</si>
  <si>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</si>
  <si>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</si>
  <si>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</si>
  <si>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</si>
  <si>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</si>
  <si>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</si>
  <si>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</si>
  <si>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</si>
  <si>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</si>
  <si>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</si>
  <si>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</si>
  <si>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</si>
  <si>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</si>
  <si>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</si>
  <si>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</si>
  <si>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</si>
  <si>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</si>
  <si>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</si>
  <si>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</si>
  <si>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</si>
  <si>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</si>
  <si>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</si>
  <si>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</si>
  <si>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</si>
  <si>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</si>
  <si>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</si>
  <si>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</si>
  <si>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</si>
  <si>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</si>
  <si>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</si>
  <si>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</si>
  <si>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</si>
  <si>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</si>
  <si>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</si>
  <si>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</si>
  <si>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</si>
  <si>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</si>
  <si>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</si>
  <si>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</si>
  <si>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</si>
  <si>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</si>
  <si>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</si>
  <si>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</si>
  <si>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</si>
  <si>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</si>
  <si>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</si>
  <si>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</si>
  <si>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</si>
  <si>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</si>
  <si>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</si>
  <si>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</si>
  <si>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</si>
  <si>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</si>
  <si>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</si>
  <si>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</si>
  <si>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</si>
  <si>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</si>
  <si>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</si>
  <si>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</si>
  <si>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</si>
  <si>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</si>
  <si>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</si>
  <si>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</si>
  <si>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</si>
  <si>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</si>
  <si>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</si>
  <si>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</si>
  <si>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</si>
  <si>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</si>
  <si>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</si>
  <si>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</si>
  <si>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</si>
  <si>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</si>
  <si>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</si>
  <si>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</si>
  <si>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</si>
  <si>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</si>
  <si>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</si>
  <si>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</si>
  <si>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</si>
  <si>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</si>
  <si>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</si>
  <si>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</si>
  <si>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</si>
  <si>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</si>
  <si>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</si>
  <si>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</si>
  <si>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</si>
  <si>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</si>
  <si>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</si>
  <si>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</si>
  <si>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</si>
  <si>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</si>
  <si>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</si>
  <si>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</si>
  <si>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</si>
  <si>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</si>
  <si>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</si>
  <si>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</si>
  <si>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</si>
  <si>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</si>
  <si>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</si>
  <si>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</si>
  <si>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</si>
  <si>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</si>
  <si>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</si>
  <si>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</si>
  <si>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</si>
  <si>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</si>
  <si>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</si>
  <si>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</si>
  <si>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</si>
  <si>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</si>
  <si>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</si>
  <si>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</si>
  <si>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</si>
  <si>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</si>
  <si>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</si>
  <si>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</si>
  <si>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</si>
  <si>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</si>
  <si>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</si>
  <si>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</si>
  <si>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</si>
  <si>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</si>
  <si>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</si>
  <si>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</si>
  <si>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</si>
  <si>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</si>
  <si>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</si>
  <si>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</si>
  <si>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</si>
  <si>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</si>
  <si>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</si>
  <si>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</si>
  <si>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</si>
  <si>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</si>
  <si>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</si>
  <si>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</si>
  <si>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</si>
  <si>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</si>
  <si>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</si>
  <si>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</si>
  <si>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</si>
  <si>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</si>
  <si>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</si>
  <si>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</si>
  <si>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</si>
  <si>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</si>
  <si>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</si>
  <si>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</si>
  <si>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</si>
  <si>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</si>
  <si>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</si>
  <si>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</si>
  <si>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</si>
  <si>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</si>
  <si>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</si>
  <si>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</si>
  <si>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</si>
  <si>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</si>
  <si>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</si>
  <si>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</si>
  <si>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</si>
  <si>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</si>
  <si>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</si>
  <si>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</si>
  <si>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</si>
  <si>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</si>
  <si>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</si>
  <si>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</si>
  <si>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</si>
  <si>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</si>
  <si>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</si>
  <si>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</si>
  <si>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</si>
  <si>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</si>
  <si>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</si>
  <si>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</si>
  <si>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</si>
  <si>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</si>
  <si>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</si>
  <si>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</si>
  <si>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</si>
  <si>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</si>
  <si>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</si>
  <si>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</si>
  <si>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</si>
  <si>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</si>
  <si>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</si>
  <si>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</si>
  <si>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</si>
  <si>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</si>
  <si>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</si>
  <si>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</si>
  <si>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</si>
  <si>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</si>
  <si>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</si>
  <si>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</si>
  <si>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</si>
  <si>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</si>
  <si>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</si>
  <si>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</si>
  <si>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</si>
  <si>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</si>
  <si>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</si>
  <si>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</si>
  <si>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</si>
  <si>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</si>
  <si>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</si>
  <si>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</si>
  <si>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</si>
  <si>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</si>
  <si>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</si>
  <si>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</si>
  <si>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</si>
  <si>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</si>
  <si>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</si>
  <si>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</si>
  <si>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</si>
  <si>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</si>
  <si>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</si>
  <si>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</si>
  <si>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</si>
  <si>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</si>
  <si>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</si>
  <si>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</si>
  <si>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</si>
  <si>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</si>
  <si>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</si>
  <si>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</si>
  <si>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</si>
  <si>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</si>
  <si>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</si>
  <si>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</si>
  <si>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</si>
  <si>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</si>
  <si>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</si>
  <si>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</si>
  <si>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</si>
  <si>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</si>
  <si>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</si>
  <si>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</si>
  <si>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</si>
  <si>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</si>
  <si>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</si>
  <si>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</si>
  <si>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</si>
  <si>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</si>
  <si>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</si>
  <si>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</si>
  <si>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</si>
  <si>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</si>
  <si>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</si>
  <si>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</si>
  <si>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</si>
  <si>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</si>
  <si>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</si>
  <si>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</si>
  <si>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</si>
  <si>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</si>
  <si>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</si>
  <si>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</si>
  <si>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</si>
  <si>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</si>
  <si>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</si>
  <si>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</si>
  <si>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</si>
  <si>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</si>
  <si>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</si>
  <si>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</si>
  <si>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</si>
  <si>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</si>
  <si>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</si>
  <si>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</si>
  <si>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</si>
  <si>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</si>
  <si>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</si>
  <si>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</si>
  <si>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</si>
  <si>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</si>
  <si>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</si>
  <si>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</si>
  <si>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</si>
  <si>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</si>
  <si>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</si>
  <si>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</si>
  <si>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</si>
  <si>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</si>
  <si>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</si>
  <si>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</si>
  <si>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</si>
  <si>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</si>
  <si>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</si>
  <si>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</si>
  <si>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</si>
  <si>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</si>
  <si>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</si>
  <si>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</si>
  <si>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</si>
  <si>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</si>
  <si>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</si>
  <si>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</si>
  <si>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</si>
  <si>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</si>
  <si>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</si>
  <si>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</si>
  <si>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</si>
  <si>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</si>
  <si>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</si>
  <si>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</si>
  <si>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</si>
  <si>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</si>
  <si>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</si>
  <si>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</si>
  <si>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</si>
  <si>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</si>
  <si>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</si>
  <si>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</si>
  <si>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</si>
  <si>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</si>
  <si>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</si>
  <si>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</si>
  <si>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</si>
  <si>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</si>
  <si>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</si>
  <si>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</si>
  <si>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</si>
  <si>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</si>
  <si>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</si>
  <si>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</si>
  <si>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</si>
  <si>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</si>
  <si>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</si>
  <si>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</si>
  <si>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</si>
  <si>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</si>
  <si>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</si>
  <si>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</si>
  <si>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</si>
  <si>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</si>
  <si>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</si>
  <si>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</si>
  <si>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</si>
  <si>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</si>
  <si>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</si>
  <si>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</si>
  <si>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</si>
  <si>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</si>
  <si>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</si>
  <si>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</si>
  <si>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</si>
  <si>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</si>
  <si>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</si>
  <si>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</si>
  <si>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</si>
  <si>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</si>
  <si>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</si>
  <si>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</si>
  <si>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</si>
  <si>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</si>
  <si>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</si>
  <si>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</si>
  <si>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</si>
  <si>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</si>
  <si>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</si>
  <si>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</si>
  <si>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</si>
  <si>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</si>
  <si>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</si>
  <si>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</si>
  <si>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</si>
  <si>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</si>
  <si>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</si>
  <si>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</si>
  <si>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</si>
  <si>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</si>
  <si>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</si>
  <si>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</si>
  <si>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</si>
  <si>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</si>
  <si>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</si>
  <si>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</si>
  <si>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</si>
  <si>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</si>
  <si>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</si>
  <si>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</si>
  <si>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</si>
  <si>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</si>
  <si>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</si>
  <si>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</si>
  <si>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</si>
  <si>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</si>
  <si>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</si>
  <si>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</si>
  <si>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</si>
  <si>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</si>
  <si>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</si>
  <si>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</si>
  <si>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</si>
  <si>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</si>
  <si>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</si>
  <si>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</si>
  <si>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</si>
  <si>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</si>
  <si>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</si>
  <si>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</si>
  <si>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</si>
  <si>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</si>
  <si>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</si>
  <si>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</si>
  <si>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</si>
  <si>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</si>
  <si>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</si>
  <si>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</si>
  <si>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</si>
  <si>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</si>
  <si>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</si>
  <si>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</si>
  <si>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</si>
  <si>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</si>
  <si>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</si>
  <si>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</si>
  <si>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</si>
  <si>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</si>
  <si>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</si>
  <si>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</si>
  <si>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</si>
  <si>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</si>
  <si>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</si>
  <si>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</si>
  <si>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</si>
  <si>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</si>
  <si>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</si>
  <si>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</si>
  <si>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</si>
  <si>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</si>
  <si>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</si>
  <si>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</si>
  <si>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</si>
  <si>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</si>
  <si>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</si>
  <si>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</si>
  <si>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</si>
  <si>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</si>
  <si>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</si>
  <si>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</si>
  <si>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</si>
  <si>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</si>
  <si>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</si>
  <si>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</si>
  <si>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</si>
  <si>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</si>
  <si>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</si>
  <si>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</si>
  <si>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</si>
  <si>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</si>
  <si>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</si>
  <si>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</si>
  <si>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</si>
  <si>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</si>
  <si>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</si>
  <si>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</si>
  <si>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</si>
  <si>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</si>
  <si>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</si>
  <si>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</si>
  <si>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</si>
  <si>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</si>
  <si>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</si>
  <si>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</si>
  <si>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</si>
  <si>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</si>
  <si>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</si>
  <si>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</si>
  <si>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</si>
  <si>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</si>
  <si>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</si>
  <si>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</si>
  <si>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</si>
  <si>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</si>
  <si>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</si>
  <si>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</si>
  <si>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</si>
  <si>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</si>
  <si>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</si>
  <si>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</si>
  <si>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</si>
  <si>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</si>
  <si>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</si>
  <si>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</si>
  <si>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</si>
  <si>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</si>
  <si>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</si>
  <si>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</si>
  <si>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</si>
  <si>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</si>
  <si>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</si>
  <si>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</si>
  <si>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</si>
  <si>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</si>
  <si>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</si>
  <si>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</si>
  <si>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</si>
  <si>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</si>
  <si>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</si>
  <si>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</si>
  <si>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</si>
  <si>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</si>
  <si>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</si>
  <si>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</si>
  <si>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</si>
  <si>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</si>
  <si>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</si>
  <si>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</si>
  <si>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</si>
  <si>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</si>
  <si>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</si>
  <si>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</si>
  <si>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</si>
  <si>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</si>
  <si>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</si>
  <si>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</si>
  <si>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</si>
  <si>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</si>
  <si>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</si>
  <si>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</si>
  <si>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</si>
  <si>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</si>
  <si>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</si>
  <si>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</si>
  <si>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</si>
  <si>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</si>
  <si>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</si>
  <si>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</si>
  <si>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</si>
  <si>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</si>
  <si>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</si>
  <si>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</si>
  <si>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</si>
  <si>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</si>
  <si>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</si>
  <si>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</si>
  <si>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</si>
  <si>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</si>
  <si>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</si>
  <si>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</si>
  <si>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</si>
  <si>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</si>
  <si>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</si>
  <si>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</si>
  <si>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</si>
  <si>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</si>
  <si>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</si>
  <si>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</si>
  <si>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</si>
  <si>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</si>
  <si>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</si>
  <si>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</si>
  <si>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</si>
  <si>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</si>
  <si>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</si>
  <si>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</si>
  <si>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</si>
  <si>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</si>
  <si>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</si>
  <si>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</si>
  <si>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</si>
  <si>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</si>
  <si>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</si>
  <si>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</si>
  <si>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</si>
  <si>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</si>
  <si>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</si>
  <si>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</si>
  <si>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</si>
  <si>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</si>
  <si>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</si>
  <si>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</si>
  <si>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</si>
  <si>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</si>
  <si>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</si>
  <si>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</si>
  <si>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</si>
  <si>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</si>
  <si>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</si>
  <si>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</si>
  <si>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</si>
  <si>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</si>
  <si>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</si>
  <si>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</si>
  <si>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</si>
  <si>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</si>
  <si>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</si>
  <si>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</si>
  <si>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</si>
  <si>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</si>
  <si>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</si>
  <si>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</si>
  <si>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</si>
  <si>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</si>
  <si>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</si>
  <si>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</si>
  <si>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</si>
  <si>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</si>
  <si>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</si>
  <si>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</si>
  <si>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</si>
  <si>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</si>
  <si>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</si>
  <si>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</si>
  <si>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</si>
  <si>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</si>
  <si>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</si>
  <si>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</si>
  <si>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</si>
  <si>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</si>
  <si>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</si>
  <si>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</si>
  <si>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</si>
  <si>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</si>
  <si>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</si>
  <si>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</si>
  <si>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</si>
  <si>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</si>
  <si>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</si>
  <si>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</si>
  <si>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</si>
  <si>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</si>
  <si>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</si>
  <si>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</si>
  <si>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</si>
  <si>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</si>
  <si>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</si>
  <si>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</si>
  <si>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</si>
  <si>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</si>
  <si>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</si>
  <si>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</si>
  <si>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</si>
  <si>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</si>
  <si>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</si>
  <si>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</si>
  <si>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</si>
  <si>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</si>
  <si>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</si>
  <si>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</si>
  <si>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</si>
  <si>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</si>
  <si>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</si>
  <si>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</si>
  <si>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</si>
  <si>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</si>
  <si>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</si>
  <si>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</si>
  <si>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</si>
  <si>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</si>
  <si>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</si>
  <si>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</si>
  <si>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</si>
  <si>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</si>
  <si>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</si>
  <si>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</si>
  <si>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</si>
  <si>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</si>
  <si>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</si>
  <si>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</si>
  <si>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</si>
  <si>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</si>
  <si>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</si>
  <si>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</si>
  <si>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</si>
  <si>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</si>
  <si>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</si>
  <si>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</si>
  <si>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</si>
  <si>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</si>
  <si>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</si>
  <si>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</si>
  <si>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</si>
  <si>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</si>
  <si>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</si>
  <si>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</si>
  <si>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</si>
  <si>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</si>
  <si>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</si>
  <si>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</si>
  <si>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</si>
  <si>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</si>
  <si>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</si>
  <si>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</si>
  <si>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</si>
  <si>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</si>
  <si>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</si>
  <si>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</si>
  <si>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</si>
  <si>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</si>
  <si>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</si>
  <si>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</si>
  <si>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</si>
  <si>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</si>
  <si>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</si>
  <si>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</si>
  <si>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</si>
  <si>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</si>
  <si>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</si>
  <si>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</si>
  <si>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</si>
  <si>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</si>
  <si>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</si>
  <si>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</si>
  <si>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</si>
  <si>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</si>
  <si>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</si>
  <si>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</si>
  <si>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</si>
  <si>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</si>
  <si>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</si>
  <si>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</si>
  <si>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</si>
  <si>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</si>
  <si>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</si>
  <si>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</si>
  <si>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</si>
  <si>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</si>
  <si>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</si>
  <si>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</si>
  <si>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</si>
  <si>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</si>
  <si>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</si>
  <si>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</si>
  <si>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</si>
  <si>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</si>
  <si>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</si>
  <si>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</si>
  <si>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</si>
  <si>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</si>
  <si>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</si>
  <si>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</si>
  <si>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</si>
  <si>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</si>
  <si>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</si>
  <si>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</si>
  <si>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</si>
  <si>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</si>
  <si>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</si>
  <si>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</si>
  <si>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</si>
  <si>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</si>
  <si>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</si>
  <si>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</si>
  <si>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</si>
  <si>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</si>
  <si>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</si>
  <si>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</si>
  <si>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</si>
  <si>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</si>
  <si>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</si>
  <si>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</si>
  <si>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</si>
  <si>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</si>
  <si>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</si>
  <si>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</si>
  <si>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</si>
  <si>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</si>
  <si>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</si>
  <si>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</si>
  <si>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</si>
  <si>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</si>
  <si>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</si>
  <si>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</si>
  <si>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</si>
  <si>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</si>
  <si>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</si>
  <si>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</si>
  <si>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</si>
  <si>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</si>
  <si>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</si>
  <si>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</si>
  <si>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</si>
  <si>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</si>
  <si>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</si>
  <si>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</si>
  <si>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</si>
  <si>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</si>
  <si>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</si>
  <si>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</si>
  <si>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</si>
  <si>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</si>
  <si>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</si>
  <si>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</si>
  <si>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</si>
  <si>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</si>
  <si>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</si>
  <si>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</si>
  <si>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</si>
  <si>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</si>
  <si>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</si>
  <si>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</si>
  <si>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</si>
  <si>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</si>
  <si>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</si>
  <si>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</si>
  <si>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</si>
  <si>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</si>
  <si>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</si>
  <si>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</si>
  <si>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</si>
  <si>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</si>
  <si>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</si>
  <si>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</si>
  <si>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</si>
  <si>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</si>
  <si>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</si>
  <si>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</si>
  <si>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</si>
  <si>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</si>
  <si>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</si>
  <si>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</si>
  <si>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</si>
  <si>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</si>
  <si>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</si>
  <si>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</si>
  <si>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</si>
  <si>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</si>
  <si>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</si>
  <si>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</si>
  <si>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</si>
  <si>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</si>
  <si>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</si>
  <si>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</si>
  <si>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</si>
  <si>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</si>
  <si>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</si>
  <si>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</si>
  <si>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</si>
  <si>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</si>
  <si>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</si>
  <si>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</si>
  <si>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</si>
  <si>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</si>
  <si>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</si>
  <si>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</si>
  <si>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</si>
  <si>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</si>
  <si>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</si>
  <si>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</si>
  <si>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</si>
  <si>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</si>
  <si>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</si>
  <si>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</si>
  <si>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</si>
  <si>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</si>
  <si>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</si>
  <si>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</si>
  <si>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</si>
  <si>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</si>
  <si>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</si>
  <si>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</si>
  <si>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</si>
  <si>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</si>
  <si>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</si>
  <si>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</si>
  <si>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</si>
  <si>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</si>
  <si>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</si>
  <si>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</si>
  <si>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</si>
  <si>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</si>
  <si>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</si>
  <si>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</si>
  <si>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</si>
  <si>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</si>
  <si>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</si>
  <si>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</si>
  <si>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</si>
  <si>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</si>
  <si>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</si>
  <si>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</si>
  <si>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</si>
  <si>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</si>
  <si>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</si>
  <si>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</si>
  <si>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</si>
  <si>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</si>
  <si>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</si>
  <si>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</si>
  <si>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</si>
  <si>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</si>
  <si>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</si>
  <si>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</si>
  <si>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</si>
  <si>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</si>
  <si>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</si>
  <si>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</si>
  <si>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</si>
  <si>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</si>
  <si>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</si>
  <si>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</si>
  <si>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</si>
  <si>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</si>
  <si>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</si>
  <si>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</si>
  <si>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</si>
  <si>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</si>
  <si>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</si>
  <si>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</si>
  <si>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</si>
  <si>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</si>
  <si>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</si>
  <si>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</si>
  <si>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</si>
  <si>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</si>
  <si>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</si>
  <si>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</si>
  <si>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</si>
  <si>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</si>
  <si>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</si>
  <si>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</si>
  <si>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</si>
  <si>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</si>
  <si>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</si>
  <si>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</si>
  <si>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</si>
  <si>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</si>
  <si>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</si>
  <si>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</si>
  <si>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</si>
  <si>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</si>
  <si>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</si>
  <si>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</si>
  <si>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</si>
  <si>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</si>
  <si>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</si>
  <si>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</si>
  <si>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</si>
  <si>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</si>
  <si>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</si>
  <si>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</si>
  <si>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</si>
  <si>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</si>
  <si>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</si>
  <si>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</si>
  <si>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</si>
  <si>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</si>
  <si>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</si>
  <si>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</si>
  <si>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</si>
  <si>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</si>
  <si>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</si>
  <si>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</si>
  <si>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</si>
  <si>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</si>
  <si>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</si>
  <si>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</si>
  <si>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</si>
  <si>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</si>
  <si>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</si>
  <si>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</si>
  <si>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</si>
  <si>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</si>
  <si>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</si>
  <si>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</si>
  <si>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</si>
  <si>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</si>
  <si>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</si>
  <si>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</si>
  <si>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</si>
  <si>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</si>
  <si>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</si>
  <si>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</si>
  <si>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</si>
  <si>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</si>
  <si>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</si>
  <si>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</si>
  <si>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</si>
  <si>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</si>
  <si>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</si>
  <si>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</si>
  <si>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</si>
  <si>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</si>
  <si>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</si>
  <si>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</si>
  <si>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</si>
  <si>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</si>
  <si>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</si>
  <si>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</si>
  <si>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</si>
  <si>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</si>
  <si>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</si>
  <si>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</si>
  <si>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</si>
  <si>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</si>
  <si>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</si>
  <si>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</si>
  <si>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</si>
  <si>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</si>
  <si>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</si>
  <si>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</si>
  <si>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</si>
  <si>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</si>
  <si>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</si>
  <si>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</si>
  <si>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</si>
  <si>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</si>
  <si>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</si>
  <si>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</si>
  <si>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</si>
  <si>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</si>
  <si>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</si>
  <si>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</si>
  <si>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</si>
  <si>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</si>
  <si>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</si>
  <si>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</si>
  <si>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</si>
  <si>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</si>
  <si>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</si>
  <si>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</si>
  <si>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</si>
  <si>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</si>
  <si>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</si>
  <si>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</si>
  <si>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</si>
  <si>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</si>
  <si>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</si>
  <si>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</si>
  <si>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</si>
  <si>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</si>
  <si>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</si>
  <si>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</si>
  <si>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</si>
  <si>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</si>
  <si>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</si>
  <si>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</si>
  <si>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</si>
  <si>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</si>
  <si>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</si>
  <si>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</si>
  <si>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</si>
  <si>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</si>
  <si>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</si>
  <si>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</si>
  <si>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</si>
  <si>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</si>
  <si>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</si>
  <si>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</si>
  <si>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</si>
  <si>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</si>
  <si>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</si>
  <si>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</si>
  <si>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</si>
  <si>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</si>
  <si>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</si>
  <si>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</si>
  <si>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</si>
  <si>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</si>
  <si>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</si>
  <si>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</si>
  <si>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</si>
  <si>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</si>
  <si>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</si>
  <si>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</si>
  <si>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</si>
  <si>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</si>
  <si>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</si>
  <si>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</si>
  <si>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</si>
  <si>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</si>
  <si>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</si>
  <si>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</si>
  <si>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</si>
  <si>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</si>
  <si>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</si>
  <si>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</si>
  <si>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</si>
  <si>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</si>
  <si>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</si>
  <si>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</si>
  <si>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</si>
  <si>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</si>
  <si>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</si>
  <si>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</si>
  <si>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</si>
  <si>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</si>
  <si>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</si>
  <si>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</si>
  <si>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</si>
  <si>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</si>
  <si>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</si>
  <si>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</si>
  <si>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</si>
  <si>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</si>
  <si>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</si>
  <si>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</si>
  <si>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</si>
  <si>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</si>
  <si>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</si>
  <si>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</si>
  <si>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</si>
  <si>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</si>
  <si>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</si>
  <si>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</si>
  <si>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</si>
  <si>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</si>
  <si>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</si>
  <si>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</si>
  <si>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</si>
  <si>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</si>
  <si>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</si>
  <si>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</si>
  <si>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</si>
  <si>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</si>
  <si>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</si>
  <si>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</si>
  <si>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</si>
  <si>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</si>
  <si>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</si>
  <si>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</si>
  <si>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</si>
  <si>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</si>
  <si>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</si>
  <si>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</si>
  <si>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</si>
  <si>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</si>
  <si>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</si>
  <si>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</si>
  <si>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</si>
  <si>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</si>
  <si>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</si>
  <si>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</si>
  <si>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</si>
  <si>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</si>
  <si>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</si>
  <si>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</si>
  <si>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</si>
  <si>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</si>
  <si>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</si>
  <si>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</si>
  <si>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</si>
  <si>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</si>
  <si>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</si>
  <si>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</si>
  <si>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</si>
  <si>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</si>
  <si>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</si>
  <si>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</si>
  <si>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</si>
  <si>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</si>
  <si>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</si>
  <si>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</si>
  <si>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</si>
  <si>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</si>
  <si>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</si>
  <si>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</si>
  <si>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</si>
  <si>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</si>
  <si>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</si>
  <si>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</si>
  <si>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</si>
  <si>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</si>
  <si>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</si>
  <si>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</si>
  <si>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</si>
  <si>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</si>
  <si>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</si>
  <si>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</si>
  <si>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</si>
  <si>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</si>
  <si>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</si>
  <si>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</si>
  <si>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</si>
  <si>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</si>
  <si>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</si>
  <si>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</si>
  <si>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</si>
  <si>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</si>
  <si>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</si>
  <si>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</si>
  <si>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</si>
  <si>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</si>
  <si>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</si>
  <si>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</si>
  <si>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</si>
  <si>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</si>
  <si>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</si>
  <si>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</si>
  <si>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</si>
  <si>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</si>
  <si>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</si>
  <si>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</si>
  <si>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</si>
  <si>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</si>
  <si>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</si>
  <si>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</si>
  <si>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</si>
  <si>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</si>
  <si>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</si>
  <si>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</si>
  <si>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</si>
  <si>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</si>
  <si>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</si>
  <si>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</si>
  <si>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</si>
  <si>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</si>
  <si>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</si>
  <si>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</si>
  <si>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</si>
  <si>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</si>
  <si>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</si>
  <si>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</si>
  <si>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</si>
  <si>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</si>
  <si>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</si>
  <si>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</si>
  <si>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</si>
  <si>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</si>
  <si>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</si>
  <si>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</si>
  <si>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</si>
  <si>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</si>
  <si>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</si>
  <si>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</si>
  <si>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</si>
  <si>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</si>
  <si>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</si>
  <si>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</si>
  <si>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</si>
  <si>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</si>
  <si>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</si>
  <si>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</si>
  <si>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</si>
  <si>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</si>
  <si>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</si>
  <si>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</si>
  <si>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</si>
  <si>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</si>
  <si>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</si>
  <si>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</si>
  <si>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</si>
  <si>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</si>
  <si>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</si>
  <si>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</si>
  <si>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</si>
  <si>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</si>
  <si>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</si>
  <si>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</si>
  <si>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</si>
  <si>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</si>
  <si>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</si>
  <si>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</si>
  <si>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</si>
  <si>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</si>
  <si>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</si>
  <si>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</si>
  <si>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</si>
  <si>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</si>
  <si>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</si>
  <si>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</si>
  <si>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</si>
  <si>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</si>
  <si>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</si>
  <si>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</si>
  <si>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</si>
  <si>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</si>
  <si>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</si>
  <si>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</si>
  <si>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</si>
  <si>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</si>
  <si>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</si>
  <si>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</si>
  <si>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</si>
  <si>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</si>
  <si>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</si>
  <si>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</si>
  <si>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</si>
  <si>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</si>
  <si>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</si>
  <si>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</si>
  <si>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</si>
  <si>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</si>
  <si>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</si>
  <si>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</si>
  <si>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</si>
  <si>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</si>
  <si>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</si>
  <si>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</si>
  <si>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</si>
  <si>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</si>
  <si>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</si>
  <si>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</si>
  <si>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</si>
  <si>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</si>
  <si>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</si>
  <si>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</si>
  <si>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</si>
  <si>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</si>
  <si>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</si>
  <si>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</si>
  <si>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</si>
  <si>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</si>
  <si>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</si>
  <si>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</si>
  <si>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</si>
  <si>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</si>
  <si>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</si>
  <si>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</si>
  <si>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</si>
  <si>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</si>
  <si>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</si>
  <si>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</si>
  <si>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</si>
  <si>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</si>
  <si>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</si>
  <si>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</si>
  <si>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</si>
  <si>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</si>
  <si>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</si>
  <si>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</si>
  <si>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</si>
  <si>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</si>
  <si>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</si>
  <si>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</si>
  <si>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</si>
  <si>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</si>
  <si>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</si>
  <si>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</si>
  <si>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</si>
  <si>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</si>
  <si>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</si>
  <si>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</si>
  <si>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</si>
  <si>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</si>
  <si>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</si>
  <si>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</si>
  <si>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</si>
  <si>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</si>
  <si>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</si>
  <si>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</si>
  <si>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</si>
  <si>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</si>
  <si>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</si>
  <si>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</si>
  <si>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</si>
  <si>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</si>
  <si>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</si>
  <si>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</si>
  <si>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</si>
  <si>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</si>
  <si>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</si>
  <si>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</si>
  <si>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</si>
  <si>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</si>
  <si>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</si>
  <si>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</si>
  <si>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</si>
  <si>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</si>
  <si>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</si>
  <si>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</si>
  <si>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</si>
  <si>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</si>
  <si>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</si>
  <si>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</si>
  <si>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</si>
  <si>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</si>
  <si>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</si>
  <si>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</si>
  <si>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</si>
  <si>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</si>
  <si>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</si>
  <si>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</si>
  <si>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</si>
  <si>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</si>
  <si>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</si>
  <si>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</si>
  <si>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</si>
  <si>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</si>
  <si>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</si>
  <si>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</si>
  <si>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</si>
  <si>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</si>
  <si>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</si>
  <si>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</si>
  <si>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</si>
  <si>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</si>
  <si>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</si>
  <si>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</si>
  <si>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</si>
  <si>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</si>
  <si>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</si>
  <si>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</si>
  <si>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</si>
  <si>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</si>
  <si>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</si>
  <si>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</si>
  <si>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</si>
  <si>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</si>
  <si>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</si>
  <si>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</si>
  <si>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</si>
  <si>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</si>
  <si>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</si>
  <si>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</si>
  <si>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</si>
  <si>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</si>
  <si>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</si>
  <si>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</si>
  <si>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</si>
  <si>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</si>
  <si>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</si>
  <si>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</si>
  <si>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</si>
  <si>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</si>
  <si>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</si>
  <si>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</si>
  <si>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</si>
  <si>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</si>
  <si>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</si>
  <si>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</si>
  <si>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</si>
  <si>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</si>
  <si>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</si>
  <si>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</si>
  <si>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</si>
  <si>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</si>
  <si>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</si>
  <si>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</si>
  <si>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</si>
  <si>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</si>
  <si>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</si>
  <si>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</si>
  <si>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</si>
  <si>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</si>
  <si>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</si>
  <si>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</si>
  <si>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</si>
  <si>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</si>
  <si>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</si>
  <si>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</si>
  <si>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</si>
  <si>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</si>
  <si>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</si>
  <si>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</si>
  <si>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</si>
  <si>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</si>
  <si>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</si>
  <si>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</si>
  <si>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</si>
  <si>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</si>
  <si>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</si>
  <si>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</si>
  <si>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</si>
  <si>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</si>
  <si>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</si>
  <si>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</si>
  <si>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</si>
  <si>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</si>
  <si>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</si>
  <si>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</si>
  <si>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</si>
  <si>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</si>
  <si>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</si>
  <si>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</si>
  <si>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</si>
  <si>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</si>
  <si>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</si>
  <si>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</si>
  <si>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</si>
  <si>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</si>
  <si>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</si>
  <si>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</si>
  <si>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</si>
  <si>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</si>
  <si>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</si>
  <si>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</si>
  <si>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</si>
  <si>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</si>
  <si>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</si>
  <si>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</si>
  <si>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</si>
  <si>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</si>
  <si>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</si>
  <si>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</si>
  <si>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</si>
  <si>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</si>
  <si>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</si>
  <si>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</si>
  <si>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</si>
  <si>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</si>
  <si>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</si>
  <si>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</si>
  <si>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</si>
  <si>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</si>
  <si>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</si>
  <si>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</si>
  <si>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</si>
  <si>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</si>
  <si>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</si>
  <si>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</si>
  <si>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</si>
  <si>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</si>
  <si>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</si>
  <si>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</si>
  <si>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</si>
  <si>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</si>
  <si>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</si>
  <si>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</si>
  <si>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</si>
  <si>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</si>
  <si>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</si>
  <si>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</si>
  <si>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</si>
  <si>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</si>
  <si>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</si>
  <si>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</si>
  <si>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</si>
  <si>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</si>
  <si>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</si>
  <si>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</si>
  <si>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</si>
  <si>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</si>
  <si>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</si>
  <si>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</si>
  <si>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</si>
  <si>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</si>
  <si>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</si>
  <si>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</si>
  <si>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</si>
  <si>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</si>
  <si>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</si>
  <si>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</si>
  <si>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</si>
  <si>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</si>
  <si>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</si>
  <si>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</si>
  <si>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</si>
  <si>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</si>
  <si>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</si>
  <si>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</si>
  <si>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</si>
  <si>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</si>
  <si>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</si>
  <si>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</si>
  <si>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</si>
  <si>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</si>
  <si>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</si>
  <si>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</si>
  <si>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</si>
  <si>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</si>
  <si>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</si>
  <si>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</si>
  <si>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</si>
  <si>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</si>
  <si>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</si>
  <si>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</si>
  <si>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</si>
  <si>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</si>
  <si>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</si>
  <si>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</si>
  <si>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</si>
  <si>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</si>
  <si>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</si>
  <si>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</si>
  <si>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</si>
  <si>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</si>
  <si>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</si>
  <si>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</si>
  <si>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</si>
  <si>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</si>
  <si>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</si>
  <si>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</si>
  <si>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</si>
  <si>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</si>
  <si>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</si>
  <si>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</si>
  <si>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</si>
  <si>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</si>
  <si>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</si>
  <si>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</si>
  <si>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</si>
  <si>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</si>
  <si>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</si>
  <si>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</si>
  <si>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</si>
  <si>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</si>
  <si>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</si>
  <si>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</si>
  <si>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</si>
  <si>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</si>
  <si>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</si>
  <si>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</si>
  <si>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</si>
  <si>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</si>
  <si>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</si>
  <si>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</si>
  <si>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</si>
  <si>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</si>
  <si>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</si>
  <si>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</si>
  <si>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</si>
  <si>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</si>
  <si>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</si>
  <si>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</si>
  <si>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</si>
  <si>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</si>
  <si>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</si>
  <si>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</si>
  <si>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</si>
  <si>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</si>
  <si>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</si>
  <si>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</si>
  <si>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</si>
  <si>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</si>
  <si>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</si>
  <si>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</si>
  <si>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</si>
  <si>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</si>
  <si>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</si>
  <si>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</si>
  <si>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</si>
  <si>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</si>
  <si>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</si>
  <si>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</si>
  <si>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</si>
  <si>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</si>
  <si>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</si>
  <si>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</si>
  <si>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</si>
  <si>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</si>
  <si>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</si>
  <si>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</si>
  <si>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</si>
  <si>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</si>
  <si>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</si>
  <si>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</si>
  <si>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</si>
  <si>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</si>
  <si>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</si>
  <si>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</si>
  <si>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</si>
  <si>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</si>
  <si>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</si>
  <si>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</si>
  <si>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</si>
  <si>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</si>
  <si>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</si>
  <si>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</si>
  <si>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</si>
  <si>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</si>
  <si>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</si>
  <si>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</si>
  <si>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</si>
  <si>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</si>
  <si>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</si>
  <si>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</si>
  <si>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</si>
  <si>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</si>
  <si>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</si>
  <si>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</si>
  <si>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</si>
  <si>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</si>
  <si>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</si>
  <si>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</si>
  <si>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</si>
  <si>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</si>
  <si>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</si>
  <si>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</si>
  <si>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</si>
  <si>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</si>
  <si>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</si>
  <si>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</si>
  <si>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</si>
  <si>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</si>
  <si>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</si>
  <si>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</si>
  <si>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</si>
  <si>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</si>
  <si>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</si>
  <si>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</si>
  <si>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</si>
  <si>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</si>
  <si>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</si>
  <si>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</si>
  <si>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</si>
  <si>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</si>
  <si>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</si>
  <si>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</si>
  <si>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</si>
  <si>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</si>
  <si>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</si>
  <si>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</si>
  <si>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</si>
  <si>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</si>
  <si>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</si>
  <si>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</si>
  <si>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</si>
  <si>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</si>
  <si>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</si>
  <si>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</si>
  <si>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</si>
  <si>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</si>
  <si>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</si>
  <si>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</si>
  <si>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</si>
  <si>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</si>
  <si>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</si>
  <si>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</si>
  <si>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</si>
  <si>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</si>
  <si>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</si>
  <si>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</si>
  <si>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</si>
  <si>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</si>
  <si>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</si>
  <si>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</si>
  <si>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</si>
  <si>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</si>
  <si>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</si>
  <si>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</si>
  <si>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</si>
  <si>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</si>
  <si>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</si>
  <si>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</si>
  <si>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</si>
  <si>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</si>
  <si>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</si>
  <si>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</si>
  <si>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</si>
  <si>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</si>
  <si>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</si>
  <si>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</si>
  <si>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</si>
  <si>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</si>
  <si>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</si>
  <si>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</si>
  <si>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</si>
  <si>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</si>
  <si>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</si>
  <si>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</si>
  <si>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</si>
  <si>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</si>
  <si>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</si>
  <si>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</si>
  <si>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</si>
  <si>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</si>
  <si>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</si>
  <si>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</si>
  <si>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</si>
  <si>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</si>
  <si>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</si>
  <si>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</si>
  <si>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</si>
  <si>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</si>
  <si>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</si>
  <si>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</si>
  <si>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</si>
  <si>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</si>
  <si>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</si>
  <si>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</si>
  <si>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</si>
  <si>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</si>
  <si>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</si>
  <si>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</si>
  <si>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</si>
  <si>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</si>
  <si>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</si>
  <si>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</si>
  <si>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</si>
  <si>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</si>
  <si>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</si>
  <si>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</si>
  <si>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</si>
  <si>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</si>
  <si>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</si>
  <si>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</si>
  <si>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</si>
  <si>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</si>
  <si>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</si>
  <si>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</si>
  <si>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</si>
  <si>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</si>
  <si>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</si>
  <si>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</si>
  <si>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</si>
  <si>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</si>
  <si>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</si>
  <si>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</si>
  <si>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</si>
  <si>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</si>
  <si>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</si>
  <si>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</si>
  <si>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</si>
  <si>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</si>
  <si>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</si>
  <si>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</si>
  <si>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</si>
  <si>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</si>
  <si>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</si>
  <si>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</si>
  <si>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</si>
  <si>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</si>
  <si>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</si>
  <si>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</si>
  <si>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</si>
  <si>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</si>
  <si>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</si>
  <si>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</si>
  <si>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</si>
  <si>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</si>
  <si>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</si>
  <si>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</si>
  <si>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</si>
  <si>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</si>
  <si>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</si>
  <si>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</si>
  <si>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</si>
  <si>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</si>
  <si>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</si>
  <si>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</si>
  <si>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</si>
  <si>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</si>
  <si>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</si>
  <si>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</si>
  <si>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</si>
  <si>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</si>
  <si>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</si>
  <si>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</si>
  <si>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</si>
  <si>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</si>
  <si>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</si>
  <si>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</si>
  <si>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</si>
  <si>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</si>
  <si>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</si>
  <si>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</si>
  <si>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</si>
  <si>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</si>
  <si>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</si>
  <si>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</si>
  <si>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</si>
  <si>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</si>
  <si>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</si>
  <si>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</si>
  <si>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</si>
  <si>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</si>
  <si>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</si>
  <si>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</si>
  <si>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</si>
  <si>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</si>
  <si>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</si>
  <si>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</si>
  <si>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</si>
  <si>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</si>
  <si>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</si>
  <si>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</si>
  <si>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</si>
  <si>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</si>
  <si>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</si>
  <si>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</si>
  <si>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</si>
  <si>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</si>
  <si>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</si>
  <si>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</si>
  <si>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</si>
  <si>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</si>
  <si>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</si>
  <si>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</si>
  <si>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</si>
  <si>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</si>
  <si>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</si>
  <si>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</si>
  <si>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</si>
  <si>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</si>
  <si>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</si>
  <si>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</si>
  <si>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</si>
  <si>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</si>
  <si>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</si>
  <si>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</si>
  <si>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</si>
  <si>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</si>
  <si>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</si>
  <si>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</si>
  <si>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</si>
  <si>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</si>
  <si>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</si>
  <si>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</si>
  <si>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</si>
  <si>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</si>
  <si>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</si>
  <si>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</si>
  <si>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</si>
  <si>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</si>
  <si>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</si>
  <si>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</si>
  <si>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</si>
  <si>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</si>
  <si>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</si>
  <si>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</si>
  <si>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</si>
  <si>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</si>
  <si>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</si>
  <si>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</si>
  <si>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</si>
  <si>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</si>
  <si>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</si>
  <si>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</si>
  <si>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</si>
  <si>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</si>
  <si>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</si>
  <si>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</si>
  <si>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</si>
  <si>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</si>
  <si>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</si>
  <si>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</si>
  <si>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</si>
  <si>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</si>
  <si>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</si>
  <si>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</si>
  <si>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</si>
  <si>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</si>
  <si>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</si>
  <si>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</si>
  <si>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</si>
  <si>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</si>
  <si>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</si>
  <si>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</si>
  <si>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</si>
  <si>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</si>
  <si>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</si>
  <si>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</si>
  <si>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</si>
  <si>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</si>
  <si>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</si>
  <si>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</si>
  <si>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</si>
  <si>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</si>
  <si>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</si>
  <si>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</si>
  <si>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</si>
  <si>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</si>
  <si>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</si>
  <si>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</si>
  <si>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</si>
  <si>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</si>
  <si>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</si>
  <si>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</si>
  <si>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</si>
  <si>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</si>
  <si>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</si>
  <si>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</si>
  <si>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</si>
  <si>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</si>
  <si>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</si>
  <si>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</si>
  <si>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</si>
  <si>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</si>
  <si>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</si>
  <si>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</si>
  <si>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</si>
  <si>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</si>
  <si>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</si>
  <si>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</si>
  <si>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</si>
  <si>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</si>
  <si>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</si>
  <si>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</si>
  <si>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</si>
  <si>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</si>
  <si>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</si>
  <si>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</si>
  <si>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</si>
  <si>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</si>
  <si>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</si>
  <si>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</si>
  <si>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</si>
  <si>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</si>
  <si>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</si>
  <si>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</si>
  <si>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</si>
  <si>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</si>
  <si>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</si>
  <si>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</si>
  <si>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</si>
  <si>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</si>
  <si>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</si>
  <si>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</si>
  <si>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</si>
  <si>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</si>
  <si>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</si>
  <si>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</si>
  <si>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</si>
  <si>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</si>
  <si>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</si>
  <si>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</si>
  <si>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</si>
  <si>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</si>
  <si>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</si>
  <si>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</si>
  <si>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</si>
  <si>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</si>
  <si>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</si>
  <si>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</si>
  <si>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</si>
  <si>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</si>
  <si>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</si>
  <si>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</si>
  <si>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</si>
  <si>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</si>
  <si>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</si>
  <si>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</si>
  <si>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</si>
  <si>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</si>
  <si>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</si>
  <si>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</si>
  <si>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</si>
  <si>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</si>
  <si>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</si>
  <si>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</si>
  <si>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</si>
  <si>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</si>
  <si>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</si>
  <si>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</si>
  <si>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</si>
  <si>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</si>
  <si>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</si>
  <si>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</si>
  <si>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</si>
  <si>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</si>
  <si>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</si>
  <si>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</si>
  <si>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</si>
  <si>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</si>
  <si>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</si>
  <si>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</si>
  <si>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</si>
  <si>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</si>
  <si>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</si>
  <si>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</si>
  <si>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</si>
  <si>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</si>
  <si>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</si>
  <si>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</si>
  <si>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</si>
  <si>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</si>
  <si>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</si>
  <si>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</si>
  <si>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</si>
  <si>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</si>
  <si>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</si>
  <si>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</si>
  <si>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</si>
  <si>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</si>
  <si>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</si>
  <si>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</si>
  <si>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</si>
  <si>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</si>
  <si>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</si>
  <si>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</si>
  <si>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</si>
  <si>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</si>
  <si>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</si>
  <si>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</si>
  <si>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</si>
  <si>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</si>
  <si>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</si>
  <si>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</si>
  <si>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</si>
  <si>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</si>
  <si>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</si>
  <si>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</si>
  <si>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</si>
  <si>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</si>
  <si>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</si>
  <si>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</si>
  <si>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</si>
  <si>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</si>
  <si>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</si>
  <si>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</si>
  <si>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</si>
  <si>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</si>
  <si>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</si>
  <si>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</si>
  <si>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</si>
  <si>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</si>
  <si>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</si>
  <si>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</si>
  <si>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</si>
  <si>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</si>
  <si>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</si>
  <si>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</si>
  <si>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</si>
  <si>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</si>
  <si>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</si>
  <si>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</si>
  <si>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</si>
  <si>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</si>
  <si>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</si>
  <si>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</si>
  <si>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</si>
  <si>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</si>
  <si>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</si>
  <si>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</si>
  <si>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</si>
  <si>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</si>
  <si>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</si>
  <si>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</si>
  <si>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</si>
  <si>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</si>
  <si>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</si>
  <si>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</si>
  <si>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</si>
  <si>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</si>
  <si>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</si>
  <si>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</si>
  <si>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</si>
  <si>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</si>
  <si>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</si>
  <si>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</si>
  <si>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</si>
  <si>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</si>
  <si>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</si>
  <si>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</si>
  <si>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</si>
  <si>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</si>
  <si>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</si>
  <si>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</si>
  <si>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</si>
  <si>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</si>
  <si>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</si>
  <si>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</si>
  <si>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</si>
  <si>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</si>
  <si>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</si>
  <si>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</si>
  <si>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</si>
  <si>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</si>
  <si>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</si>
  <si>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</si>
  <si>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</si>
  <si>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</si>
  <si>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</si>
  <si>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</si>
  <si>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</si>
  <si>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</si>
  <si>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</si>
  <si>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</si>
  <si>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</si>
  <si>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</si>
  <si>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</si>
  <si>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</si>
  <si>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</si>
  <si>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</si>
  <si>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</si>
  <si>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</si>
  <si>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</si>
  <si>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</si>
  <si>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</si>
  <si>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</si>
  <si>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</si>
  <si>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</si>
  <si>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</si>
  <si>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</si>
  <si>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</si>
  <si>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</si>
  <si>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</si>
  <si>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</si>
  <si>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</si>
  <si>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</si>
  <si>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</si>
  <si>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</si>
  <si>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</si>
  <si>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</si>
  <si>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</si>
  <si>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</si>
  <si>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</si>
  <si>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</si>
  <si>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</si>
  <si>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</si>
  <si>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</si>
  <si>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</si>
  <si>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</si>
  <si>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</si>
  <si>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</si>
  <si>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</si>
  <si>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</si>
  <si>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</si>
  <si>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</si>
  <si>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</si>
  <si>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</si>
  <si>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</si>
  <si>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</si>
  <si>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</si>
  <si>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</si>
  <si>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</si>
  <si>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</si>
  <si>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</si>
  <si>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</si>
  <si>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</si>
  <si>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</si>
  <si>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</si>
  <si>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</si>
  <si>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</si>
  <si>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</si>
  <si>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</si>
  <si>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</si>
  <si>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</si>
  <si>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</si>
  <si>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</si>
  <si>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</si>
  <si>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</si>
  <si>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</si>
  <si>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</si>
  <si>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</si>
  <si>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</si>
  <si>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</si>
  <si>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</si>
  <si>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</si>
  <si>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</si>
  <si>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</si>
  <si>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</si>
  <si>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</si>
  <si>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systém GM 18 (kombinace DTD 18mm a sklo)</t>
  </si>
  <si>
    <t>GM 18 rendszer (FFL 18mm és üveg kombináció)</t>
  </si>
  <si>
    <t>systém GM 18 (kombinácia DTD 18mm a sklo)</t>
  </si>
  <si>
    <t>system GM 18 (kombinacja PW 18 mm i szkła)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</si>
  <si>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</si>
  <si>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</si>
  <si>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</si>
  <si>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</si>
  <si>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</si>
  <si>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</si>
  <si>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</si>
  <si>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</si>
  <si>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</si>
  <si>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</si>
  <si>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</si>
  <si>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</si>
  <si>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</si>
  <si>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</si>
  <si>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</si>
  <si>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</si>
  <si>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</si>
  <si>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</si>
  <si>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</si>
  <si>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</si>
  <si>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</si>
  <si>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</si>
  <si>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</si>
  <si>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</si>
  <si>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</si>
  <si>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</si>
  <si>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</si>
  <si>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</si>
  <si>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</si>
  <si>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</si>
  <si>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</si>
  <si>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</si>
  <si>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</si>
  <si>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</si>
  <si>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</si>
  <si>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</si>
  <si>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</si>
  <si>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</si>
  <si>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</si>
  <si>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</si>
  <si>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</si>
  <si>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</si>
  <si>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</si>
  <si>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</si>
  <si>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</si>
  <si>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</si>
  <si>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</si>
  <si>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</si>
  <si>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</si>
  <si>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</si>
  <si>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</si>
  <si>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</si>
  <si>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</si>
  <si>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</si>
  <si>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</si>
  <si>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</si>
  <si>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</si>
  <si>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</si>
  <si>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</si>
  <si>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</si>
  <si>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</si>
  <si>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</si>
  <si>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</si>
  <si>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</si>
  <si>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</si>
  <si>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</si>
  <si>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</si>
  <si>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</si>
  <si>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</si>
  <si>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</si>
  <si>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</si>
  <si>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</si>
  <si>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</si>
  <si>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</si>
  <si>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</si>
  <si>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</si>
  <si>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</si>
  <si>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</si>
  <si>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</si>
  <si>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</si>
  <si>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</si>
  <si>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</si>
  <si>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</si>
  <si>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</si>
  <si>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</si>
  <si>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</si>
  <si>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</si>
  <si>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</si>
  <si>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</si>
  <si>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</si>
  <si>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</si>
  <si>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</si>
  <si>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</si>
  <si>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</si>
  <si>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</si>
  <si>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</si>
  <si>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</si>
  <si>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</si>
  <si>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</si>
  <si>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</si>
  <si>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</si>
  <si>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</si>
  <si>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</si>
  <si>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</si>
  <si>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</si>
  <si>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</si>
  <si>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</si>
  <si>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</si>
  <si>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</si>
  <si>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</si>
  <si>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</si>
  <si>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</si>
  <si>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</si>
  <si>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</si>
  <si>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</si>
  <si>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</si>
  <si>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</si>
  <si>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</si>
  <si>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</si>
  <si>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</si>
  <si>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</si>
  <si>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</si>
  <si>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</si>
  <si>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</si>
  <si>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</si>
  <si>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</si>
  <si>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</si>
  <si>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</si>
  <si>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</si>
  <si>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</si>
  <si>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</si>
  <si>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</si>
  <si>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</si>
  <si>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</si>
  <si>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</si>
  <si>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</si>
  <si>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</si>
  <si>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</si>
  <si>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</si>
  <si>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</si>
  <si>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</si>
  <si>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</si>
  <si>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</si>
  <si>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</si>
  <si>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</si>
  <si>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</si>
  <si>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</si>
  <si>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</si>
  <si>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</si>
  <si>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</si>
  <si>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</si>
  <si>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</si>
  <si>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</si>
  <si>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</si>
  <si>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</si>
  <si>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</si>
  <si>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</si>
  <si>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</si>
  <si>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</si>
  <si>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</si>
  <si>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</si>
  <si>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</si>
  <si>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</si>
  <si>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</si>
  <si>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</si>
  <si>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</si>
  <si>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</si>
  <si>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</si>
  <si>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</si>
  <si>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</si>
  <si>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</si>
  <si>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</si>
  <si>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</si>
  <si>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</si>
  <si>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</si>
  <si>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</si>
  <si>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</si>
  <si>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</si>
  <si>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</si>
  <si>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</si>
  <si>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</si>
  <si>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</si>
  <si>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</si>
  <si>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</si>
  <si>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</si>
  <si>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</si>
  <si>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</si>
  <si>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</si>
  <si>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</si>
  <si>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</si>
  <si>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</si>
  <si>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</si>
  <si>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</si>
  <si>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</si>
  <si>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</si>
  <si>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</si>
  <si>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</si>
  <si>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</si>
  <si>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</si>
  <si>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</si>
  <si>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</si>
  <si>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</si>
  <si>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</si>
  <si>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</si>
  <si>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</si>
  <si>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</si>
  <si>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</si>
  <si>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</si>
  <si>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</si>
  <si>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</si>
  <si>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</si>
  <si>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</si>
  <si>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</si>
  <si>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</si>
  <si>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</si>
  <si>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</si>
  <si>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</si>
  <si>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</si>
  <si>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</si>
  <si>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</si>
  <si>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</si>
  <si>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</si>
  <si>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</si>
  <si>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</si>
  <si>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</si>
  <si>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</si>
  <si>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</si>
  <si>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</si>
  <si>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</si>
  <si>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</si>
  <si>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</si>
  <si>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</si>
  <si>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</si>
  <si>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</si>
  <si>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</si>
  <si>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</si>
  <si>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</si>
  <si>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</si>
  <si>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</si>
  <si>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</si>
  <si>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</si>
  <si>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</si>
  <si>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</si>
  <si>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</si>
  <si>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</si>
  <si>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</si>
  <si>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</si>
  <si>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</si>
  <si>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</si>
  <si>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</si>
  <si>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</si>
  <si>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</si>
  <si>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</si>
  <si>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</si>
  <si>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</si>
  <si>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</si>
  <si>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</si>
  <si>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</si>
  <si>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</si>
  <si>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</si>
  <si>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</si>
  <si>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</si>
  <si>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</si>
  <si>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</si>
  <si>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</si>
  <si>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</si>
  <si>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</si>
  <si>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</si>
  <si>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</si>
  <si>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</si>
  <si>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</si>
  <si>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</si>
  <si>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</si>
  <si>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</si>
  <si>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</si>
  <si>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</si>
  <si>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</si>
  <si>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</si>
  <si>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</si>
  <si>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</si>
  <si>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</si>
  <si>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</si>
  <si>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</si>
  <si>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</si>
  <si>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</si>
  <si>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</si>
  <si>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</si>
  <si>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</si>
  <si>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</si>
  <si>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</si>
  <si>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</si>
  <si>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</si>
  <si>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</si>
  <si>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</si>
  <si>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</si>
  <si>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</si>
  <si>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</si>
  <si>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</si>
  <si>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</si>
  <si>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</si>
  <si>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</si>
  <si>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</si>
  <si>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</si>
  <si>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</si>
  <si>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</si>
  <si>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</si>
  <si>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</si>
  <si>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</si>
  <si>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</si>
  <si>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</si>
  <si>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</si>
  <si>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</si>
  <si>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</si>
  <si>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</si>
  <si>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</si>
  <si>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</si>
  <si>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</si>
  <si>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</si>
  <si>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</si>
  <si>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</si>
  <si>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</si>
  <si>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</si>
  <si>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</si>
  <si>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</si>
  <si>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</si>
  <si>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</si>
  <si>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</si>
  <si>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</si>
  <si>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</si>
  <si>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</si>
  <si>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</si>
  <si>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</si>
  <si>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</si>
  <si>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</si>
  <si>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</si>
  <si>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</si>
  <si>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</si>
  <si>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</si>
  <si>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</si>
  <si>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</si>
  <si>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</si>
  <si>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</si>
  <si>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</si>
  <si>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</si>
  <si>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</si>
  <si>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</si>
  <si>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</si>
  <si>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</si>
  <si>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</si>
  <si>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</si>
  <si>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</si>
  <si>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</si>
  <si>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</si>
  <si>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</si>
  <si>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</si>
  <si>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</si>
  <si>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</si>
  <si>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</si>
  <si>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</si>
  <si>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</si>
  <si>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</si>
  <si>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</si>
  <si>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</si>
  <si>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</si>
  <si>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</si>
  <si>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</si>
  <si>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</si>
  <si>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</si>
  <si>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</si>
  <si>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</si>
  <si>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</si>
  <si>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</si>
  <si>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</si>
  <si>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</si>
  <si>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</si>
  <si>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</si>
  <si>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</si>
  <si>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</si>
  <si>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</si>
  <si>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</si>
  <si>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</si>
  <si>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</si>
  <si>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</si>
  <si>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</si>
  <si>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</si>
  <si>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</si>
  <si>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</si>
  <si>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</si>
  <si>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</si>
  <si>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</si>
  <si>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</si>
  <si>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</si>
  <si>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</si>
  <si>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</si>
  <si>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</si>
  <si>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</si>
  <si>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</si>
  <si>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</si>
  <si>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</si>
  <si>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</si>
  <si>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</si>
  <si>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</si>
  <si>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</si>
  <si>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</si>
  <si>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</si>
  <si>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</si>
  <si>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</si>
  <si>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</si>
  <si>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</si>
  <si>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</si>
  <si>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</si>
  <si>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</si>
  <si>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</si>
  <si>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</si>
  <si>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</si>
  <si>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</si>
  <si>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</si>
  <si>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</si>
  <si>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</si>
  <si>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</si>
  <si>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</si>
  <si>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</si>
  <si>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</si>
  <si>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</si>
  <si>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</si>
  <si>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</si>
  <si>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</si>
  <si>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</si>
  <si>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</si>
  <si>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</si>
  <si>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</si>
  <si>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</si>
  <si>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</si>
  <si>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</si>
  <si>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</si>
  <si>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</si>
  <si>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</si>
  <si>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</si>
  <si>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</si>
  <si>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</si>
  <si>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</si>
  <si>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</si>
  <si>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</si>
  <si>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</si>
  <si>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</si>
  <si>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</si>
  <si>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</si>
  <si>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</si>
  <si>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</si>
  <si>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</si>
  <si>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</si>
  <si>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</si>
  <si>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</si>
  <si>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</si>
  <si>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</si>
  <si>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</si>
  <si>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</si>
  <si>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</si>
  <si>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</si>
  <si>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</si>
  <si>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</si>
  <si>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</si>
  <si>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</si>
  <si>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</si>
  <si>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</si>
  <si>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</si>
  <si>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</si>
  <si>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</si>
  <si>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</si>
  <si>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</si>
  <si>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</si>
  <si>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</si>
  <si>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</si>
  <si>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</si>
  <si>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</si>
  <si>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</si>
  <si>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</si>
  <si>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</si>
  <si>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</si>
  <si>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</si>
  <si>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</si>
  <si>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</si>
  <si>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</si>
  <si>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</si>
  <si>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</si>
  <si>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</si>
  <si>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</si>
  <si>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</si>
  <si>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</si>
  <si>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</si>
  <si>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</si>
  <si>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</si>
  <si>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</si>
  <si>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</si>
  <si>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</si>
  <si>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</si>
  <si>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</si>
  <si>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</si>
  <si>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</si>
  <si>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</si>
  <si>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</si>
  <si>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</si>
  <si>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</si>
  <si>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</si>
  <si>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</si>
  <si>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</si>
  <si>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</si>
  <si>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</si>
  <si>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</si>
  <si>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</si>
  <si>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</si>
  <si>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</si>
  <si>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</si>
  <si>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</si>
  <si>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</si>
  <si>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</si>
  <si>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</si>
  <si>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</si>
  <si>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</si>
  <si>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</si>
  <si>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</si>
  <si>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</si>
  <si>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</si>
  <si>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</si>
  <si>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</si>
  <si>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</si>
  <si>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</si>
  <si>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</si>
  <si>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</si>
  <si>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</si>
  <si>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</si>
  <si>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</si>
  <si>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</si>
  <si>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</si>
  <si>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</si>
  <si>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</si>
  <si>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</si>
  <si>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</si>
  <si>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</si>
  <si>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</si>
  <si>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</si>
  <si>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</si>
  <si>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</si>
  <si>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</si>
  <si>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</si>
  <si>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</si>
  <si>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</si>
  <si>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</si>
  <si>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</si>
  <si>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</si>
  <si>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</si>
  <si>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</si>
  <si>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</si>
  <si>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</si>
  <si>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</si>
  <si>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</si>
  <si>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</si>
  <si>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</si>
  <si>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</si>
  <si>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</si>
  <si>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</si>
  <si>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</si>
  <si>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</si>
  <si>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</si>
  <si>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</si>
  <si>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</si>
  <si>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</si>
  <si>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</si>
  <si>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</si>
  <si>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</si>
  <si>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</si>
  <si>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</si>
  <si>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</si>
  <si>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</si>
  <si>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</si>
  <si>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</si>
  <si>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</si>
  <si>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</si>
  <si>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</si>
  <si>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</si>
  <si>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</si>
  <si>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</si>
  <si>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</si>
  <si>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</si>
  <si>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</si>
  <si>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</si>
  <si>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</si>
  <si>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</si>
  <si>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</si>
  <si>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</si>
  <si>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</si>
  <si>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</si>
  <si>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</si>
  <si>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</si>
  <si>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</si>
  <si>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</si>
  <si>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</si>
  <si>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</si>
  <si>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</si>
  <si>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</si>
  <si>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</si>
  <si>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</si>
  <si>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</si>
  <si>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</si>
  <si>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</si>
  <si>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</si>
  <si>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</si>
  <si>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</si>
  <si>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</si>
  <si>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</si>
  <si>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</si>
  <si>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</si>
  <si>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</si>
  <si>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</si>
  <si>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</si>
  <si>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</si>
  <si>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</si>
  <si>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</si>
  <si>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</si>
  <si>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</si>
  <si>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</si>
  <si>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</si>
  <si>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</si>
  <si>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</si>
  <si>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</si>
  <si>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</si>
  <si>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</si>
  <si>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</si>
  <si>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</si>
  <si>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</si>
  <si>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</si>
  <si>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</si>
  <si>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</si>
  <si>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</si>
  <si>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</si>
  <si>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</si>
  <si>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</si>
  <si>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</si>
  <si>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</si>
  <si>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</si>
  <si>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</si>
  <si>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</si>
  <si>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</si>
  <si>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</si>
  <si>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</si>
  <si>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</si>
  <si>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</si>
  <si>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</si>
  <si>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</si>
  <si>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</si>
  <si>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</si>
  <si>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</si>
  <si>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</si>
  <si>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</si>
  <si>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</si>
  <si>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</si>
  <si>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</si>
  <si>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</si>
  <si>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</si>
  <si>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</si>
  <si>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</si>
  <si>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</si>
  <si>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</si>
  <si>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</si>
  <si>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</si>
  <si>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</si>
  <si>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</si>
  <si>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</si>
  <si>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</si>
  <si>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</si>
  <si>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</si>
  <si>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</si>
  <si>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</si>
  <si>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</si>
  <si>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</si>
  <si>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</si>
  <si>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</si>
  <si>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</si>
  <si>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</si>
  <si>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</si>
  <si>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</si>
  <si>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</si>
  <si>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</si>
  <si>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</si>
  <si>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</si>
  <si>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</si>
  <si>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</si>
  <si>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</si>
  <si>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</si>
  <si>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</si>
  <si>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</si>
  <si>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</si>
  <si>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</si>
  <si>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</si>
  <si>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</si>
  <si>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</si>
  <si>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</si>
  <si>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</si>
  <si>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</si>
  <si>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</si>
  <si>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</si>
  <si>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</si>
  <si>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</si>
  <si>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</si>
  <si>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</si>
  <si>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</si>
  <si>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</si>
  <si>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</si>
  <si>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</si>
  <si>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</si>
  <si>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</si>
  <si>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</si>
  <si>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</si>
  <si>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</si>
  <si>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</si>
  <si>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</si>
  <si>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</si>
  <si>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</si>
  <si>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</si>
  <si>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</si>
  <si>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</si>
  <si>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</si>
  <si>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</si>
  <si>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</si>
  <si>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</si>
  <si>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</si>
  <si>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</si>
  <si>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</si>
  <si>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</si>
  <si>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</si>
  <si>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</si>
  <si>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</si>
  <si>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</si>
  <si>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</si>
  <si>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</si>
  <si>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</si>
  <si>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</si>
  <si>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</si>
  <si>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</si>
  <si>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</si>
  <si>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</si>
  <si>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</si>
  <si>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</si>
  <si>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</si>
  <si>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</si>
  <si>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</si>
  <si>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</si>
  <si>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</si>
  <si>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</si>
  <si>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</si>
  <si>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</si>
  <si>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</si>
  <si>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</si>
  <si>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</si>
  <si>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</si>
  <si>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</si>
  <si>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</si>
  <si>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</si>
  <si>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</si>
  <si>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</si>
  <si>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</si>
  <si>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</si>
  <si>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</si>
  <si>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</si>
  <si>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</si>
  <si>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</si>
  <si>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</si>
  <si>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</si>
  <si>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</si>
  <si>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</si>
  <si>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</si>
  <si>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</si>
  <si>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</si>
  <si>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</si>
  <si>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</si>
  <si>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</si>
  <si>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</si>
  <si>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</si>
  <si>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</si>
  <si>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</si>
  <si>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</si>
  <si>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</si>
  <si>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</si>
  <si>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</si>
  <si>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</si>
  <si>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</si>
  <si>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</si>
  <si>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</si>
  <si>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</si>
  <si>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</si>
  <si>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</si>
  <si>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</si>
  <si>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</si>
  <si>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</si>
  <si>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</si>
  <si>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</si>
  <si>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</si>
  <si>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</si>
  <si>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</si>
  <si>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</si>
  <si>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</si>
  <si>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</si>
  <si>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</si>
  <si>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</si>
  <si>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</si>
  <si>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</si>
  <si>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</si>
  <si>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</si>
  <si>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</si>
  <si>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</si>
  <si>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</si>
  <si>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</si>
  <si>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</si>
  <si>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</si>
  <si>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</si>
  <si>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</si>
  <si>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</si>
  <si>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</si>
  <si>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</si>
  <si>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</si>
  <si>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</si>
  <si>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</si>
  <si>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</si>
  <si>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</si>
  <si>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</si>
  <si>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</si>
  <si>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</si>
  <si>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</si>
  <si>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</si>
  <si>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</si>
  <si>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</si>
  <si>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</si>
  <si>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</si>
  <si>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</si>
  <si>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</si>
  <si>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</si>
  <si>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</si>
  <si>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</si>
  <si>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</si>
  <si>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</si>
  <si>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</si>
  <si>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</si>
  <si>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</si>
  <si>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</si>
  <si>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</si>
  <si>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</si>
  <si>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</si>
  <si>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</si>
  <si>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</si>
  <si>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</si>
  <si>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</si>
  <si>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</si>
  <si>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</si>
  <si>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</si>
  <si>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</si>
  <si>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</si>
  <si>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</si>
  <si>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</si>
  <si>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</si>
  <si>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</si>
  <si>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</si>
  <si>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</si>
  <si>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</si>
  <si>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</si>
  <si>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</si>
  <si>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</si>
  <si>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</si>
  <si>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</si>
  <si>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</si>
  <si>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</si>
  <si>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</si>
  <si>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</si>
  <si>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</si>
  <si>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</si>
  <si>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</si>
  <si>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</si>
  <si>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</si>
  <si>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</si>
  <si>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</si>
  <si>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</si>
  <si>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</si>
  <si>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</si>
  <si>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</si>
  <si>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</si>
  <si>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</si>
  <si>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</si>
  <si>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</si>
  <si>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</si>
  <si>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</si>
  <si>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</si>
  <si>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</si>
  <si>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</si>
  <si>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</si>
  <si>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</si>
  <si>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</si>
  <si>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</si>
  <si>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</si>
  <si>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</si>
  <si>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</si>
  <si>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</si>
  <si>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</si>
  <si>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</si>
  <si>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</si>
  <si>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</si>
  <si>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</si>
  <si>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</si>
  <si>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</si>
  <si>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</si>
  <si>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</si>
  <si>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</si>
  <si>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</si>
  <si>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</si>
  <si>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</si>
  <si>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</si>
  <si>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</si>
  <si>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</si>
  <si>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</si>
  <si>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</si>
  <si>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</si>
  <si>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</si>
  <si>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</si>
  <si>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</si>
  <si>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</si>
  <si>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</si>
  <si>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</si>
  <si>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</si>
  <si>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</si>
  <si>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</si>
  <si>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</si>
  <si>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</si>
  <si>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</si>
  <si>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</si>
  <si>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</si>
  <si>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</si>
  <si>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</si>
  <si>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</si>
  <si>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</si>
  <si>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</si>
  <si>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</si>
  <si>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</si>
  <si>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</si>
  <si>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</si>
  <si>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</si>
  <si>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</si>
  <si>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</si>
  <si>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</si>
  <si>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</si>
  <si>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</si>
  <si>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</si>
  <si>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</si>
  <si>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</si>
  <si>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</si>
  <si>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</si>
  <si>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</si>
  <si>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</si>
  <si>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</si>
  <si>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</si>
  <si>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</si>
  <si>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</si>
  <si>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</si>
  <si>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</si>
  <si>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</si>
  <si>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</si>
  <si>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</si>
  <si>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</si>
  <si>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</si>
  <si>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</si>
  <si>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</si>
  <si>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</si>
  <si>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</si>
  <si>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</si>
  <si>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</si>
  <si>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</si>
  <si>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</si>
  <si>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</si>
  <si>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</si>
  <si>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</si>
  <si>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</si>
  <si>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</si>
  <si>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</si>
  <si>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</si>
  <si>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</si>
  <si>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</si>
  <si>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</si>
  <si>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</si>
  <si>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</si>
  <si>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</si>
  <si>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</si>
  <si>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</si>
  <si>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</si>
  <si>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</si>
  <si>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</si>
  <si>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</si>
  <si>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</si>
  <si>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</si>
  <si>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</si>
  <si>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</si>
  <si>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</si>
  <si>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</si>
  <si>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</si>
  <si>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</si>
  <si>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</si>
  <si>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</si>
  <si>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</si>
  <si>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</si>
  <si>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</si>
  <si>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</si>
  <si>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</si>
  <si>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</si>
  <si>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</si>
  <si>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</si>
  <si>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</si>
  <si>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</si>
  <si>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</si>
  <si>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</si>
  <si>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</si>
  <si>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</si>
  <si>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</si>
  <si>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</si>
  <si>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</si>
  <si>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</si>
  <si>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</si>
  <si>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</si>
  <si>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</si>
  <si>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</si>
  <si>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</si>
  <si>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</si>
  <si>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</si>
  <si>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</si>
  <si>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</si>
  <si>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</si>
  <si>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</si>
  <si>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</si>
  <si>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</si>
  <si>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</si>
  <si>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</si>
  <si>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</si>
  <si>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</si>
  <si>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</si>
  <si>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</si>
  <si>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</si>
  <si>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</si>
  <si>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</si>
  <si>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</si>
  <si>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</si>
  <si>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</si>
  <si>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</si>
  <si>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</si>
  <si>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</si>
  <si>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</si>
  <si>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</si>
  <si>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</si>
  <si>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</si>
  <si>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</si>
  <si>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</si>
  <si>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</si>
  <si>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</si>
  <si>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</si>
  <si>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</si>
  <si>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</si>
  <si>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</si>
  <si>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</si>
  <si>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</si>
  <si>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</si>
  <si>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</si>
  <si>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</si>
  <si>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</si>
  <si>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</si>
  <si>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</si>
  <si>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</si>
  <si>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</si>
  <si>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</si>
  <si>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</si>
  <si>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</si>
  <si>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</si>
  <si>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</si>
  <si>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</si>
  <si>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</si>
  <si>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</si>
  <si>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</si>
  <si>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</si>
  <si>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</si>
  <si>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</si>
  <si>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</si>
  <si>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</si>
  <si>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</si>
  <si>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</si>
  <si>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</si>
  <si>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</si>
  <si>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</si>
  <si>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</si>
  <si>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</si>
  <si>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</si>
  <si>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</si>
  <si>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</si>
  <si>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</si>
  <si>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</si>
  <si>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</si>
  <si>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</si>
  <si>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</si>
  <si>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</si>
  <si>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</si>
  <si>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</si>
  <si>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</si>
  <si>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</si>
  <si>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</si>
  <si>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</si>
  <si>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</si>
  <si>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</si>
  <si>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</si>
  <si>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</si>
  <si>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</si>
  <si>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</si>
  <si>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</si>
  <si>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</si>
  <si>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</si>
  <si>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</si>
  <si>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</si>
  <si>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</si>
  <si>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</si>
  <si>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</si>
  <si>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</si>
  <si>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</si>
  <si>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</si>
  <si>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</si>
  <si>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</si>
  <si>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</si>
  <si>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</si>
  <si>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</si>
  <si>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</si>
  <si>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</si>
  <si>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</si>
  <si>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</si>
  <si>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</si>
  <si>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</si>
  <si>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</si>
  <si>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</si>
  <si>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</si>
  <si>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</si>
  <si>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</si>
  <si>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</si>
  <si>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</si>
  <si>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</si>
  <si>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</si>
  <si>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</si>
  <si>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</si>
  <si>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</si>
  <si>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</si>
  <si>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</si>
  <si>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</si>
  <si>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</si>
  <si>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</si>
  <si>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</si>
  <si>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</si>
  <si>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</si>
  <si>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</si>
  <si>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</si>
  <si>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</si>
  <si>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</si>
  <si>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</si>
  <si>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</si>
  <si>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</si>
  <si>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</si>
  <si>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</si>
  <si>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</si>
  <si>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</si>
  <si>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</si>
  <si>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</si>
  <si>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</si>
  <si>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</si>
  <si>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</si>
  <si>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</si>
  <si>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</si>
  <si>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</si>
  <si>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</si>
  <si>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</si>
  <si>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</si>
  <si>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</si>
  <si>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</si>
  <si>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</si>
  <si>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</si>
  <si>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</si>
  <si>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</si>
  <si>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</si>
  <si>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</si>
  <si>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</si>
  <si>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</si>
  <si>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</si>
  <si>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</si>
  <si>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</si>
  <si>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</si>
  <si>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</si>
  <si>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</si>
  <si>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</si>
  <si>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</si>
  <si>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</si>
  <si>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</si>
  <si>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</si>
  <si>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</si>
  <si>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</si>
  <si>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</si>
  <si>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</si>
  <si>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</si>
  <si>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</si>
  <si>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</si>
  <si>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</si>
  <si>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</si>
  <si>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</si>
  <si>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</si>
  <si>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</si>
  <si>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</si>
  <si>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</si>
  <si>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</si>
  <si>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</si>
  <si>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</si>
  <si>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</si>
  <si>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</si>
  <si>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</si>
  <si>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</si>
  <si>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</si>
  <si>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</si>
  <si>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</si>
  <si>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</si>
  <si>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</si>
  <si>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</si>
  <si>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</si>
  <si>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</si>
  <si>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</si>
  <si>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</si>
  <si>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</si>
  <si>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</si>
  <si>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</si>
  <si>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</si>
  <si>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</si>
  <si>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</si>
  <si>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</si>
  <si>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</si>
  <si>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</si>
  <si>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</si>
  <si>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</si>
  <si>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</si>
  <si>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</si>
  <si>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</si>
  <si>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</si>
  <si>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</si>
  <si>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</si>
  <si>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</si>
  <si>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</si>
  <si>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</si>
  <si>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</si>
  <si>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</si>
  <si>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</si>
  <si>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</si>
  <si>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</si>
  <si>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</si>
  <si>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</si>
  <si>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</si>
  <si>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</si>
  <si>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</si>
  <si>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</si>
  <si>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</si>
  <si>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</si>
  <si>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</si>
  <si>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</si>
  <si>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</si>
  <si>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</si>
  <si>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</si>
  <si>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</si>
  <si>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</si>
  <si>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</si>
  <si>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</si>
  <si>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</si>
  <si>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</si>
  <si>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</si>
  <si>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</si>
  <si>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</si>
  <si>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</si>
  <si>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</si>
  <si>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</si>
  <si>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</si>
  <si>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</si>
  <si>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</si>
  <si>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</si>
  <si>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</si>
  <si>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</si>
  <si>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</si>
  <si>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</si>
  <si>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</si>
  <si>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</si>
  <si>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</si>
  <si>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</si>
  <si>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</si>
  <si>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</si>
  <si>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</si>
  <si>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</si>
  <si>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</si>
  <si>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</si>
  <si>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</si>
  <si>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</si>
  <si>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</si>
  <si>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</si>
  <si>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</si>
  <si>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</si>
  <si>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</si>
  <si>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</si>
  <si>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</si>
  <si>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</si>
  <si>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</si>
  <si>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</si>
  <si>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</si>
  <si>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</si>
  <si>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</si>
  <si>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</si>
  <si>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</si>
  <si>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</si>
  <si>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</si>
  <si>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</si>
  <si>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</si>
  <si>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</si>
  <si>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</si>
  <si>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</si>
  <si>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</si>
  <si>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</si>
  <si>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</si>
  <si>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</si>
  <si>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</si>
  <si>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</si>
  <si>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</si>
  <si>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</si>
  <si>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</si>
  <si>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</si>
  <si>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</si>
  <si>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</si>
  <si>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</si>
  <si>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</si>
  <si>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</si>
  <si>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</si>
  <si>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</si>
  <si>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</si>
  <si>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</si>
  <si>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</si>
  <si>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</si>
  <si>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</si>
  <si>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</si>
  <si>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</si>
  <si>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</si>
  <si>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</si>
  <si>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</si>
  <si>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</si>
  <si>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</si>
  <si>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</si>
  <si>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</si>
  <si>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</si>
  <si>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</si>
  <si>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</si>
  <si>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</si>
  <si>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</si>
  <si>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</si>
  <si>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</si>
  <si>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</si>
  <si>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</si>
  <si>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</si>
  <si>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</si>
  <si>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</si>
  <si>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</si>
  <si>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</si>
  <si>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</si>
  <si>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</si>
  <si>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</si>
  <si>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</si>
  <si>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</si>
  <si>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</si>
  <si>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</si>
  <si>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</si>
  <si>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</si>
  <si>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</si>
  <si>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</si>
  <si>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</si>
  <si>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</si>
  <si>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</si>
  <si>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</si>
  <si>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</si>
  <si>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</si>
  <si>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</si>
  <si>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</si>
  <si>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</si>
  <si>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</si>
  <si>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</si>
  <si>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</si>
  <si>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</si>
  <si>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</si>
  <si>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</si>
  <si>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</si>
  <si>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</si>
  <si>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</si>
  <si>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</si>
  <si>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</si>
  <si>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</si>
  <si>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</si>
  <si>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</si>
  <si>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</si>
  <si>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</si>
  <si>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</si>
  <si>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</si>
  <si>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</si>
  <si>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</si>
  <si>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</si>
  <si>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</si>
  <si>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</si>
  <si>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</si>
  <si>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</si>
  <si>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</si>
  <si>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</si>
  <si>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</si>
  <si>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</si>
  <si>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</si>
  <si>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</si>
  <si>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</si>
  <si>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</si>
  <si>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</si>
  <si>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</si>
  <si>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</si>
  <si>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</si>
  <si>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</si>
  <si>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</si>
  <si>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</si>
  <si>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</si>
  <si>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</si>
  <si>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</si>
  <si>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</si>
  <si>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</si>
  <si>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</si>
  <si>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</si>
  <si>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</si>
  <si>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</si>
  <si>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</si>
  <si>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</si>
  <si>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</si>
  <si>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</si>
  <si>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</si>
  <si>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</si>
  <si>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</si>
  <si>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</si>
  <si>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</si>
  <si>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</si>
  <si>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</si>
  <si>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</si>
  <si>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</si>
  <si>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</si>
  <si>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</si>
  <si>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</si>
  <si>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</si>
  <si>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</si>
  <si>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</si>
  <si>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</si>
  <si>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</si>
  <si>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</si>
  <si>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</si>
  <si>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</si>
  <si>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</si>
  <si>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</si>
  <si>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</si>
  <si>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</si>
  <si>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</si>
  <si>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</si>
  <si>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</si>
  <si>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</si>
  <si>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</si>
  <si>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</si>
  <si>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</si>
  <si>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</si>
  <si>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</si>
  <si>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</si>
  <si>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</si>
  <si>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</si>
  <si>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</si>
  <si>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</si>
  <si>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</si>
  <si>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</si>
  <si>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</si>
  <si>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</si>
  <si>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</si>
  <si>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</si>
  <si>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</si>
  <si>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</si>
  <si>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</si>
  <si>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</si>
  <si>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</si>
  <si>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</si>
  <si>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</si>
  <si>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</si>
  <si>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</si>
  <si>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</si>
  <si>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</si>
  <si>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</si>
  <si>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</si>
  <si>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</si>
  <si>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</si>
  <si>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</si>
  <si>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</si>
  <si>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</si>
  <si>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</si>
  <si>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</si>
  <si>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</si>
  <si>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</si>
  <si>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</si>
  <si>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</si>
  <si>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</si>
  <si>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</si>
  <si>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</si>
  <si>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</si>
  <si>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</si>
  <si>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</si>
  <si>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</si>
  <si>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</si>
  <si>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</si>
  <si>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</si>
  <si>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</si>
  <si>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</si>
  <si>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</si>
  <si>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</si>
  <si>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</si>
  <si>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</si>
  <si>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</si>
  <si>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</si>
  <si>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</si>
  <si>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</si>
  <si>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</si>
  <si>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</si>
  <si>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</si>
  <si>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</si>
  <si>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</si>
  <si>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</si>
  <si>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</si>
  <si>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</si>
  <si>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</si>
  <si>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</si>
  <si>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</si>
  <si>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</si>
  <si>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</si>
  <si>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</si>
  <si>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</si>
  <si>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</si>
  <si>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</si>
  <si>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</si>
  <si>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</si>
  <si>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</si>
  <si>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</si>
  <si>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</si>
  <si>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</si>
  <si>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</si>
  <si>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</si>
  <si>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</si>
  <si>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</si>
  <si>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</si>
  <si>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</si>
  <si>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</si>
  <si>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</si>
  <si>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</si>
  <si>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</si>
  <si>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</si>
  <si>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</si>
  <si>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</si>
  <si>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</si>
  <si>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</si>
  <si>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</si>
  <si>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</si>
  <si>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</si>
  <si>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</si>
  <si>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</si>
  <si>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</si>
  <si>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</si>
  <si>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</si>
  <si>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</si>
  <si>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</si>
  <si>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</si>
  <si>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</si>
  <si>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</si>
  <si>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</si>
  <si>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</si>
  <si>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</si>
  <si>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</si>
  <si>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</si>
  <si>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</si>
  <si>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</si>
  <si>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</si>
  <si>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</si>
  <si>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</si>
  <si>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</si>
  <si>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</si>
  <si>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</si>
  <si>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</si>
  <si>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</si>
  <si>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</si>
  <si>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</si>
  <si>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</si>
  <si>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</si>
  <si>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</si>
  <si>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</si>
  <si>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</si>
  <si>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</si>
  <si>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</si>
  <si>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</si>
  <si>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</si>
  <si>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</si>
  <si>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</si>
  <si>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</si>
  <si>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</si>
  <si>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</si>
  <si>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</si>
  <si>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</si>
  <si>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</si>
  <si>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</si>
  <si>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</si>
  <si>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</si>
  <si>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</si>
  <si>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</si>
  <si>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</si>
  <si>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</si>
  <si>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</si>
  <si>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</si>
  <si>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</si>
  <si>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</si>
  <si>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</si>
  <si>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</si>
  <si>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</si>
  <si>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</si>
  <si>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</si>
  <si>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</si>
  <si>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</si>
  <si>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</si>
  <si>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</si>
  <si>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</si>
  <si>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</si>
  <si>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</si>
  <si>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</si>
  <si>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</si>
  <si>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</si>
  <si>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</si>
  <si>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</si>
  <si>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</si>
  <si>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</si>
  <si>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</si>
  <si>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</si>
  <si>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</si>
  <si>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</si>
  <si>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</si>
  <si>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</si>
  <si>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</si>
  <si>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</si>
  <si>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</si>
  <si>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</si>
  <si>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</si>
  <si>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</si>
  <si>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</si>
  <si>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</si>
  <si>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</si>
  <si>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</si>
  <si>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</si>
  <si>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</si>
  <si>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</si>
  <si>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</si>
  <si>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</si>
  <si>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</si>
  <si>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</si>
  <si>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</si>
  <si>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</si>
  <si>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</si>
  <si>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</si>
  <si>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</si>
  <si>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</si>
  <si>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</si>
  <si>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</si>
  <si>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</si>
  <si>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</si>
  <si>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</si>
  <si>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</si>
  <si>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</si>
  <si>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</si>
  <si>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</si>
  <si>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</si>
  <si>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</si>
  <si>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</si>
  <si>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</si>
  <si>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</si>
  <si>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</si>
  <si>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</si>
  <si>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</si>
  <si>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</si>
  <si>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</si>
  <si>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</si>
  <si>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</si>
  <si>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</si>
  <si>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</si>
  <si>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</si>
  <si>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</si>
  <si>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</si>
  <si>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</si>
  <si>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</si>
  <si>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</si>
  <si>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</si>
  <si>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</si>
  <si>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</si>
  <si>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</si>
  <si>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</si>
  <si>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</si>
  <si>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</si>
  <si>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</si>
  <si>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</si>
  <si>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</si>
  <si>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</si>
  <si>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</si>
  <si>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</si>
  <si>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</si>
  <si>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</si>
  <si>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</si>
  <si>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</si>
  <si>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</si>
  <si>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</si>
  <si>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</si>
  <si>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</si>
  <si>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</si>
  <si>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</si>
  <si>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</si>
  <si>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</si>
  <si>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</si>
  <si>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</si>
  <si>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</si>
  <si>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</si>
  <si>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</si>
  <si>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</si>
  <si>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</si>
  <si>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</si>
  <si>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</si>
  <si>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</si>
  <si>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</si>
  <si>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</si>
  <si>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</si>
  <si>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</si>
  <si>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</si>
  <si>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</si>
  <si>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</si>
  <si>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</si>
  <si>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</si>
  <si>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</si>
  <si>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</si>
  <si>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</si>
  <si>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</si>
  <si>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</si>
  <si>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</si>
  <si>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</si>
  <si>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</si>
  <si>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</si>
  <si>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</si>
  <si>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</si>
  <si>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</si>
  <si>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</si>
  <si>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</si>
  <si>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</si>
  <si>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</si>
  <si>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</si>
  <si>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</si>
  <si>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</si>
  <si>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</si>
  <si>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</si>
  <si>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</si>
  <si>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</si>
  <si>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</si>
  <si>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</si>
  <si>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</si>
  <si>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</si>
  <si>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</si>
  <si>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</si>
  <si>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</si>
  <si>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</si>
  <si>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</si>
  <si>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</si>
  <si>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</si>
  <si>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</si>
  <si>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</si>
  <si>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</si>
  <si>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</si>
  <si>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</si>
  <si>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</si>
  <si>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</si>
  <si>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</si>
  <si>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</si>
  <si>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</si>
  <si>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</si>
  <si>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</si>
  <si>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</si>
  <si>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</si>
  <si>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</si>
  <si>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</si>
  <si>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</si>
  <si>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</si>
  <si>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</si>
  <si>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</si>
  <si>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</si>
  <si>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</si>
  <si>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</si>
  <si>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</si>
  <si>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</si>
  <si>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</si>
  <si>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</si>
  <si>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</si>
  <si>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</si>
  <si>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</si>
  <si>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</si>
  <si>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</si>
  <si>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</si>
  <si>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</si>
  <si>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</si>
  <si>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</si>
  <si>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</si>
  <si>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</si>
  <si>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</si>
  <si>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</si>
  <si>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</si>
  <si>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</si>
  <si>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</si>
  <si>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</si>
  <si>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</si>
  <si>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</si>
  <si>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</si>
  <si>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</si>
  <si>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</si>
  <si>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</si>
  <si>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</si>
  <si>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</si>
  <si>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</si>
  <si>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</si>
  <si>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</si>
  <si>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</si>
  <si>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</si>
  <si>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</si>
  <si>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</si>
  <si>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</si>
  <si>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</si>
  <si>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</si>
  <si>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</si>
  <si>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</si>
  <si>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</si>
  <si>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</si>
  <si>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</si>
  <si>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</si>
  <si>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</si>
  <si>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</si>
  <si>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</si>
  <si>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</si>
  <si>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</si>
  <si>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</si>
  <si>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</si>
  <si>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</si>
  <si>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</si>
  <si>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</si>
  <si>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</si>
  <si>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</si>
  <si>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</si>
  <si>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</si>
  <si>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</si>
  <si>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</si>
  <si>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</si>
  <si>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</si>
  <si>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</si>
  <si>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</si>
  <si>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</si>
  <si>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</si>
  <si>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</si>
  <si>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</si>
  <si>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</si>
  <si>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</si>
  <si>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</si>
  <si>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</si>
  <si>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</si>
  <si>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</si>
  <si>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</si>
  <si>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</si>
  <si>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</si>
  <si>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</si>
  <si>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</si>
  <si>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</si>
  <si>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</si>
  <si>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</si>
  <si>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</si>
  <si>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</si>
  <si>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</si>
  <si>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</si>
  <si>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</si>
  <si>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</si>
  <si>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</si>
  <si>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</si>
  <si>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</si>
  <si>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</si>
  <si>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</si>
  <si>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</si>
  <si>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</si>
  <si>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</si>
  <si>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</si>
  <si>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</si>
  <si>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</si>
  <si>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</si>
  <si>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</si>
  <si>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</si>
  <si>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</si>
  <si>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</si>
  <si>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</si>
  <si>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</si>
  <si>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</si>
  <si>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</si>
  <si>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</si>
  <si>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</si>
  <si>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</si>
  <si>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</si>
  <si>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</si>
  <si>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</si>
  <si>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</si>
  <si>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</si>
  <si>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</si>
  <si>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</si>
  <si>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</si>
  <si>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</si>
  <si>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</si>
  <si>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</si>
  <si>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</si>
  <si>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</si>
  <si>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</si>
  <si>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</si>
  <si>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</si>
  <si>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</si>
  <si>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</si>
  <si>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</si>
  <si>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</si>
  <si>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</si>
  <si>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</si>
  <si>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</si>
  <si>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</si>
  <si>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</si>
  <si>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</si>
  <si>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</si>
  <si>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</si>
  <si>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</si>
  <si>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</si>
  <si>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</si>
  <si>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</si>
  <si>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</si>
  <si>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</si>
  <si>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</si>
  <si>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</si>
  <si>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</si>
  <si>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</si>
  <si>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</si>
  <si>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</si>
  <si>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</si>
  <si>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</si>
  <si>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</si>
  <si>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</si>
  <si>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</si>
  <si>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</si>
  <si>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</si>
  <si>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</si>
  <si>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</si>
  <si>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</si>
  <si>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</si>
  <si>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</si>
  <si>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</si>
  <si>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</si>
  <si>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</si>
  <si>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</si>
  <si>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</si>
  <si>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</si>
  <si>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</si>
  <si>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</si>
  <si>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</si>
  <si>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</si>
  <si>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</si>
  <si>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</si>
  <si>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</si>
  <si>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</si>
  <si>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</si>
  <si>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</si>
  <si>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</si>
  <si>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</si>
  <si>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</si>
  <si>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</si>
  <si>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</si>
  <si>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</si>
  <si>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</si>
  <si>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</si>
  <si>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</si>
  <si>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</si>
  <si>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</si>
  <si>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</si>
  <si>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</si>
  <si>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</si>
  <si>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</si>
  <si>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</si>
  <si>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</si>
  <si>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</si>
  <si>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</si>
  <si>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</si>
  <si>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</si>
  <si>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</si>
  <si>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</si>
  <si>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</si>
  <si>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</si>
  <si>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</si>
  <si>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</si>
  <si>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</si>
  <si>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</si>
  <si>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</si>
  <si>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</si>
  <si>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</si>
  <si>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</si>
  <si>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</si>
  <si>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</si>
  <si>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</si>
  <si>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</si>
  <si>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</si>
  <si>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</si>
  <si>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</si>
  <si>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</si>
  <si>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</si>
  <si>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</si>
  <si>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</si>
  <si>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</si>
  <si>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</si>
  <si>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</si>
  <si>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</si>
  <si>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</si>
  <si>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</si>
  <si>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</si>
  <si>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</si>
  <si>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</si>
  <si>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</si>
  <si>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</si>
  <si>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</si>
  <si>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</si>
  <si>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</si>
  <si>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</si>
  <si>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</si>
  <si>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</si>
  <si>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</si>
  <si>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</si>
  <si>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</si>
  <si>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</si>
  <si>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</si>
  <si>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</si>
  <si>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</si>
  <si>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</si>
  <si>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</si>
  <si>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</si>
  <si>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</si>
  <si>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</si>
  <si>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</si>
  <si>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</si>
  <si>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</si>
  <si>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</si>
  <si>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</si>
  <si>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</si>
  <si>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</si>
  <si>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</si>
  <si>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</si>
  <si>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</si>
  <si>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</si>
  <si>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</si>
  <si>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</si>
  <si>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</si>
  <si>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</si>
  <si>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</si>
  <si>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</si>
  <si>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</si>
  <si>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</si>
  <si>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</si>
  <si>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</si>
  <si>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</si>
  <si>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</si>
  <si>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</si>
  <si>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</si>
  <si>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</si>
  <si>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</si>
  <si>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</si>
  <si>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</si>
  <si>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</si>
  <si>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</si>
  <si>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</si>
  <si>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</si>
  <si>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</si>
  <si>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</si>
  <si>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</si>
  <si>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</si>
  <si>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</si>
  <si>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</si>
  <si>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</si>
  <si>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</si>
  <si>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</si>
  <si>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</si>
  <si>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</si>
  <si>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</si>
  <si>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</si>
  <si>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</si>
  <si>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</si>
  <si>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</si>
  <si>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</si>
  <si>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</si>
  <si>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</si>
  <si>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</si>
  <si>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</si>
  <si>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</si>
  <si>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</si>
  <si>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</si>
  <si>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</si>
  <si>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</si>
  <si>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</si>
  <si>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</si>
  <si>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</si>
  <si>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</si>
  <si>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</si>
  <si>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</si>
  <si>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</si>
  <si>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</si>
  <si>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</si>
  <si>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</si>
  <si>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</si>
  <si>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</si>
  <si>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</si>
  <si>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</si>
  <si>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</si>
  <si>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</si>
  <si>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</si>
  <si>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</si>
  <si>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</si>
  <si>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</si>
  <si>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</si>
  <si>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</si>
  <si>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</si>
  <si>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</si>
  <si>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</si>
  <si>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</si>
  <si>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</si>
  <si>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</si>
  <si>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</si>
  <si>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</si>
  <si>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</si>
  <si>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</si>
  <si>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</si>
  <si>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</si>
  <si>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</si>
  <si>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</si>
  <si>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</si>
  <si>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</si>
  <si>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</si>
  <si>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</si>
  <si>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</si>
  <si>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</si>
  <si>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</si>
  <si>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</si>
  <si>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</si>
  <si>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</si>
  <si>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</si>
  <si>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</si>
  <si>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</si>
  <si>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</si>
  <si>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</si>
  <si>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</si>
  <si>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</si>
  <si>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</si>
  <si>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</si>
  <si>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</si>
  <si>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</si>
  <si>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</si>
  <si>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</si>
  <si>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</si>
  <si>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</si>
  <si>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</si>
  <si>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</si>
  <si>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</si>
  <si>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</si>
  <si>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</si>
  <si>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</si>
  <si>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</si>
  <si>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</si>
  <si>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</si>
  <si>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</si>
  <si>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</si>
  <si>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</si>
  <si>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</si>
  <si>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</si>
  <si>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</si>
  <si>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</si>
  <si>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</si>
  <si>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</si>
  <si>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</si>
  <si>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</si>
  <si>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</si>
  <si>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</si>
  <si>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</si>
  <si>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</si>
  <si>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</si>
  <si>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</si>
  <si>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</si>
  <si>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</si>
  <si>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</si>
  <si>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</si>
  <si>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</si>
  <si>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</si>
  <si>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</si>
  <si>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</si>
  <si>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</si>
  <si>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</si>
  <si>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</si>
  <si>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</si>
  <si>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</si>
  <si>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</si>
  <si>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</si>
  <si>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</si>
  <si>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</si>
  <si>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</si>
  <si>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</si>
  <si>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</si>
  <si>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</si>
  <si>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</si>
  <si>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</si>
  <si>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</si>
  <si>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</si>
  <si>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</si>
  <si>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</si>
  <si>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</si>
  <si>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</si>
  <si>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</si>
  <si>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</si>
  <si>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</si>
  <si>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</si>
  <si>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</si>
  <si>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</si>
  <si>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</si>
  <si>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</si>
  <si>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</si>
  <si>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</si>
  <si>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</si>
  <si>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</si>
  <si>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</si>
  <si>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</si>
  <si>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</si>
  <si>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</si>
  <si>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</si>
  <si>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</si>
  <si>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</si>
  <si>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</si>
  <si>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</si>
  <si>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</si>
  <si>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</si>
  <si>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</si>
  <si>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</si>
  <si>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</si>
  <si>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</si>
  <si>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</si>
  <si>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</si>
  <si>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</si>
  <si>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</si>
  <si>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</si>
  <si>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</si>
  <si>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</si>
  <si>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</si>
  <si>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</si>
  <si>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</si>
  <si>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</si>
  <si>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</si>
  <si>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</si>
  <si>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</si>
  <si>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</si>
  <si>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</si>
  <si>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</si>
  <si>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</si>
  <si>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</si>
  <si>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</si>
  <si>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</si>
  <si>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</si>
  <si>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</si>
  <si>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</si>
  <si>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</si>
  <si>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</si>
  <si>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</si>
  <si>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</si>
  <si>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</si>
  <si>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</si>
  <si>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</si>
  <si>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</si>
  <si>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</si>
  <si>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</si>
  <si>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</si>
  <si>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</si>
  <si>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</si>
  <si>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</si>
  <si>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</si>
  <si>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</si>
  <si>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</si>
  <si>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</si>
  <si>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</si>
  <si>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</si>
  <si>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</si>
  <si>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</si>
  <si>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</si>
  <si>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</si>
  <si>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</si>
  <si>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</si>
  <si>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</si>
  <si>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</si>
  <si>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</si>
  <si>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</si>
  <si>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</si>
  <si>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</si>
  <si>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</si>
  <si>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</si>
  <si>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</si>
  <si>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</si>
  <si>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</si>
  <si>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</si>
  <si>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</si>
  <si>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</si>
  <si>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</si>
  <si>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</si>
  <si>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</si>
  <si>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</si>
  <si>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</si>
  <si>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</si>
  <si>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</si>
  <si>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</si>
  <si>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</si>
  <si>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</si>
  <si>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</si>
  <si>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</si>
  <si>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</si>
  <si>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</si>
  <si>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</si>
  <si>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</si>
  <si>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</si>
  <si>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</si>
  <si>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</si>
  <si>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</si>
  <si>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</si>
  <si>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</si>
  <si>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</si>
  <si>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</si>
  <si>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</si>
  <si>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</si>
  <si>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</si>
  <si>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</si>
  <si>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</si>
  <si>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</si>
  <si>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</si>
  <si>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</si>
  <si>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</si>
  <si>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</si>
  <si>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</si>
  <si>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</si>
  <si>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</si>
  <si>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</si>
  <si>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</si>
  <si>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</si>
  <si>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</si>
  <si>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</si>
  <si>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</si>
  <si>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</si>
  <si>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</si>
  <si>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</si>
  <si>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</si>
  <si>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</si>
  <si>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</si>
  <si>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</si>
  <si>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</si>
  <si>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</si>
  <si>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</si>
  <si>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</si>
  <si>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</si>
  <si>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</si>
  <si>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</si>
  <si>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</si>
  <si>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</si>
  <si>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</si>
  <si>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</si>
  <si>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</si>
  <si>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</si>
  <si>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</si>
  <si>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</si>
  <si>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</si>
  <si>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</si>
  <si>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</si>
  <si>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</si>
  <si>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</si>
  <si>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</si>
  <si>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</si>
  <si>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</si>
  <si>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</si>
  <si>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</si>
  <si>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</si>
  <si>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</si>
  <si>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</si>
  <si>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</si>
  <si>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</si>
  <si>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</si>
  <si>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</si>
  <si>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</si>
  <si>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</si>
  <si>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</si>
  <si>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</si>
  <si>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</si>
  <si>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</si>
  <si>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</si>
  <si>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</si>
  <si>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</si>
  <si>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</si>
  <si>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</si>
  <si>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</si>
  <si>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</si>
  <si>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</si>
  <si>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</si>
  <si>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</si>
  <si>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</si>
  <si>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</si>
  <si>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</si>
  <si>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</si>
  <si>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</si>
  <si>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</si>
  <si>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</si>
  <si>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</si>
  <si>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</si>
  <si>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</si>
  <si>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</si>
  <si>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</si>
  <si>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</si>
  <si>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</si>
  <si>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</si>
  <si>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</si>
  <si>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</si>
  <si>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</si>
  <si>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</si>
  <si>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</si>
  <si>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</si>
  <si>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</si>
  <si>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</si>
  <si>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</si>
  <si>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</si>
  <si>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</si>
  <si>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</si>
  <si>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</si>
  <si>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</si>
  <si>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</si>
  <si>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</si>
  <si>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</si>
  <si>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</si>
  <si>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</si>
  <si>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</si>
  <si>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</si>
  <si>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</si>
  <si>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</si>
  <si>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</si>
  <si>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</si>
  <si>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</si>
  <si>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</si>
  <si>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</si>
  <si>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</si>
  <si>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</si>
  <si>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</si>
  <si>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</si>
  <si>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</si>
  <si>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</si>
  <si>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</si>
  <si>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</si>
  <si>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</si>
  <si>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</si>
  <si>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</si>
  <si>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</si>
  <si>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</si>
  <si>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</si>
  <si>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</si>
  <si>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</si>
  <si>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</si>
  <si>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</si>
  <si>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</si>
  <si>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</si>
  <si>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</si>
  <si>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</si>
  <si>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</si>
  <si>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</si>
  <si>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</si>
  <si>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</si>
  <si>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</si>
  <si>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</si>
  <si>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</si>
  <si>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</si>
  <si>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</si>
  <si>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</si>
  <si>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</si>
  <si>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</si>
  <si>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</si>
  <si>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</si>
  <si>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</si>
  <si>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</si>
  <si>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</si>
  <si>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</si>
  <si>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</si>
  <si>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</si>
  <si>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</si>
  <si>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</si>
  <si>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</si>
  <si>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</si>
  <si>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</si>
  <si>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</si>
  <si>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</si>
  <si>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</si>
  <si>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</si>
  <si>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</si>
  <si>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</si>
  <si>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</si>
  <si>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</si>
  <si>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</si>
  <si>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</si>
  <si>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</si>
  <si>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</si>
  <si>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</si>
  <si>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</si>
  <si>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</si>
  <si>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</si>
  <si>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</si>
  <si>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</si>
  <si>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</si>
  <si>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</si>
  <si>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</si>
  <si>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</si>
  <si>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</si>
  <si>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</si>
  <si>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</si>
  <si>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</si>
  <si>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</si>
  <si>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</si>
  <si>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</si>
  <si>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</si>
  <si>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</si>
  <si>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</si>
  <si>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</si>
  <si>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</si>
  <si>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</si>
  <si>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</si>
  <si>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</si>
  <si>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</si>
  <si>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</si>
  <si>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</si>
  <si>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</si>
  <si>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</si>
  <si>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</si>
  <si>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</si>
  <si>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</si>
  <si>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</si>
  <si>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</si>
  <si>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</si>
  <si>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</si>
  <si>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</si>
  <si>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</si>
  <si>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</si>
  <si>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</si>
  <si>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</si>
  <si>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</si>
  <si>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</si>
  <si>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</si>
  <si>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</si>
  <si>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</si>
  <si>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</si>
  <si>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</si>
  <si>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</si>
  <si>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</si>
  <si>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</si>
  <si>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</si>
  <si>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</si>
  <si>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</si>
  <si>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</si>
  <si>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</si>
  <si>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</si>
  <si>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</si>
  <si>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</si>
  <si>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</si>
  <si>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</si>
  <si>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</si>
  <si>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</si>
  <si>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</si>
  <si>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</si>
  <si>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</si>
  <si>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</si>
  <si>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</si>
  <si>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</si>
  <si>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</si>
  <si>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</si>
  <si>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</si>
  <si>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</si>
  <si>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</si>
  <si>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</si>
  <si>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</si>
  <si>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</si>
  <si>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</si>
  <si>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</si>
  <si>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</si>
  <si>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</si>
  <si>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</si>
  <si>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</si>
  <si>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</si>
  <si>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</si>
  <si>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</si>
  <si>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</si>
  <si>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</si>
  <si>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</si>
  <si>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</si>
  <si>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</si>
  <si>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</si>
  <si>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</si>
  <si>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</si>
  <si>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</si>
  <si>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</si>
  <si>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</si>
  <si>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</si>
  <si>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</si>
  <si>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</si>
  <si>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</si>
  <si>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</si>
  <si>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</si>
  <si>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</si>
  <si>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</si>
  <si>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</si>
  <si>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</si>
  <si>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</si>
  <si>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</si>
  <si>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</si>
  <si>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</si>
  <si>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</si>
  <si>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</si>
  <si>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</si>
  <si>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</si>
  <si>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</si>
  <si>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</si>
  <si>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</si>
  <si>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</si>
  <si>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</si>
  <si>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</si>
  <si>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</si>
  <si>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</si>
  <si>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</si>
  <si>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</si>
  <si>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</si>
  <si>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</si>
  <si>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</si>
  <si>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</si>
  <si>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</si>
  <si>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</si>
  <si>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</si>
  <si>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</si>
  <si>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</si>
  <si>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</si>
  <si>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</si>
  <si>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</si>
  <si>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</si>
  <si>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</si>
  <si>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</si>
  <si>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</si>
  <si>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</si>
  <si>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</si>
  <si>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</si>
  <si>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</si>
  <si>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</si>
  <si>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</si>
  <si>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</si>
  <si>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</si>
  <si>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</si>
  <si>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</si>
  <si>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</si>
  <si>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</si>
  <si>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</si>
  <si>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</si>
  <si>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</si>
  <si>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</si>
  <si>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</si>
  <si>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</si>
  <si>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</si>
  <si>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</si>
  <si>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</si>
  <si>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</si>
  <si>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</si>
  <si>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</si>
  <si>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</si>
  <si>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</si>
  <si>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</si>
  <si>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</si>
  <si>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</si>
  <si>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</si>
  <si>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</si>
  <si>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</si>
  <si>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</si>
  <si>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</si>
  <si>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</si>
  <si>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</si>
  <si>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</si>
  <si>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</si>
  <si>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</si>
  <si>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</si>
  <si>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</si>
  <si>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</si>
  <si>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</si>
  <si>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</si>
  <si>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</si>
  <si>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</si>
  <si>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</si>
  <si>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</si>
  <si>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</si>
  <si>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</si>
  <si>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</si>
  <si>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</si>
  <si>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</si>
  <si>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</si>
  <si>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</si>
  <si>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</si>
  <si>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</si>
  <si>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</si>
  <si>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</si>
  <si>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</si>
  <si>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</si>
  <si>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</si>
  <si>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</si>
  <si>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</si>
  <si>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</si>
  <si>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</si>
  <si>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</si>
  <si>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</si>
  <si>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</si>
  <si>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</si>
  <si>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</si>
  <si>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</si>
  <si>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</si>
  <si>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</si>
  <si>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</si>
  <si>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</si>
  <si>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</si>
  <si>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</si>
  <si>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</si>
  <si>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</si>
  <si>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</si>
  <si>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</si>
  <si>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</si>
  <si>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</si>
  <si>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</si>
  <si>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</si>
  <si>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</si>
  <si>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</si>
  <si>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</si>
  <si>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</si>
  <si>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</si>
  <si>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</si>
  <si>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</si>
  <si>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</si>
  <si>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</si>
  <si>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</si>
  <si>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</si>
  <si>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</si>
  <si>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</si>
  <si>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</si>
  <si>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</si>
  <si>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</si>
  <si>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</si>
  <si>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</si>
  <si>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</si>
  <si>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</si>
  <si>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</si>
  <si>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</si>
  <si>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</si>
  <si>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</si>
  <si>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</si>
  <si>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</si>
  <si>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</si>
  <si>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</si>
  <si>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</si>
  <si>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</si>
  <si>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</si>
  <si>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</si>
  <si>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</si>
  <si>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</si>
  <si>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</si>
  <si>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</si>
  <si>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</si>
  <si>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</si>
  <si>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</si>
  <si>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</si>
  <si>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</si>
  <si>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</si>
  <si>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</si>
  <si>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</si>
  <si>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</si>
  <si>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</si>
  <si>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</si>
  <si>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</si>
  <si>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</si>
  <si>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</si>
  <si>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</si>
  <si>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</si>
  <si>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</si>
  <si>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</si>
  <si>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</si>
  <si>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</si>
  <si>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</si>
  <si>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</si>
  <si>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</si>
  <si>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</si>
  <si>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</si>
  <si>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</si>
  <si>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</si>
  <si>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</si>
  <si>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</si>
  <si>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</si>
  <si>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</si>
  <si>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</si>
  <si>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</si>
  <si>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</si>
  <si>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</si>
  <si>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</si>
  <si>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</si>
  <si>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</si>
  <si>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</si>
  <si>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</si>
  <si>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</si>
  <si>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</si>
  <si>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</si>
  <si>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</si>
  <si>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</si>
  <si>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</si>
  <si>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</si>
  <si>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</si>
  <si>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</si>
  <si>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</si>
  <si>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</si>
  <si>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</si>
  <si>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</si>
  <si>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</si>
  <si>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</si>
  <si>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</si>
  <si>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</si>
  <si>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</si>
  <si>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</si>
  <si>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</si>
  <si>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</si>
  <si>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</si>
  <si>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</si>
  <si>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</si>
  <si>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</si>
  <si>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</si>
  <si>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</si>
  <si>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</si>
  <si>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</si>
  <si>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</si>
  <si>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</si>
  <si>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</si>
  <si>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</si>
  <si>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</si>
  <si>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</si>
  <si>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</si>
  <si>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</si>
  <si>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</si>
  <si>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</si>
  <si>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</si>
  <si>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</si>
  <si>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</si>
  <si>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</si>
  <si>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</si>
  <si>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</si>
  <si>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</si>
  <si>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</si>
  <si>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</si>
  <si>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</si>
  <si>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</si>
  <si>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</si>
  <si>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</si>
  <si>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</si>
  <si>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</si>
  <si>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</si>
  <si>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</si>
  <si>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</si>
  <si>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</si>
  <si>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</si>
  <si>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</si>
  <si>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</si>
  <si>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</si>
  <si>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</si>
  <si>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</si>
  <si>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</si>
  <si>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</si>
  <si>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</si>
  <si>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</si>
  <si>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</si>
  <si>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</si>
  <si>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</si>
  <si>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</si>
  <si>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</si>
  <si>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</si>
  <si>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</si>
  <si>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</si>
  <si>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</si>
  <si>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</si>
  <si>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</si>
  <si>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</si>
  <si>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</si>
  <si>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</si>
  <si>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</si>
  <si>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</si>
  <si>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</si>
  <si>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</si>
  <si>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</si>
  <si>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</si>
  <si>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</si>
  <si>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</si>
  <si>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</si>
  <si>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</si>
  <si>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</si>
  <si>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</si>
  <si>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</si>
  <si>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</si>
  <si>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</si>
  <si>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</si>
  <si>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</si>
  <si>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</si>
  <si>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</si>
  <si>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</si>
  <si>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</si>
  <si>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</si>
  <si>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</si>
  <si>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</si>
  <si>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</si>
  <si>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</si>
  <si>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</si>
  <si>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</si>
  <si>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</si>
  <si>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</si>
  <si>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</si>
  <si>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</si>
  <si>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</si>
  <si>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</si>
  <si>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</si>
  <si>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</si>
  <si>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</si>
  <si>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</si>
  <si>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</si>
  <si>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</si>
  <si>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</si>
  <si>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</si>
  <si>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</si>
  <si>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</si>
  <si>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</si>
  <si>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</si>
  <si>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</si>
  <si>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</si>
  <si>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</si>
  <si>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</si>
  <si>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</si>
  <si>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</si>
  <si>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</si>
  <si>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</si>
  <si>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</si>
  <si>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</si>
  <si>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</si>
  <si>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</si>
  <si>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</si>
  <si>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</si>
  <si>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</si>
  <si>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</si>
  <si>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</si>
  <si>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</si>
  <si>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</si>
  <si>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</si>
  <si>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</si>
  <si>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</si>
  <si>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</si>
  <si>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</si>
  <si>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</si>
  <si>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</si>
  <si>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</si>
  <si>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</si>
  <si>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ver. 2024-06-10</t>
  </si>
  <si>
    <t>Victoria II</t>
  </si>
  <si>
    <t>délka těsnění na sklo na jednom křídle</t>
  </si>
  <si>
    <t>dĺžka tesnenia na sklo na jednom krídle</t>
  </si>
  <si>
    <t xml:space="preserve">długość uszczelki na jedno skrzydło 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</si>
</sst>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  <numFmt numFmtId="169" formatCode="##,###,###,###.00000"/>
    <numFmt numFmtId="170" formatCode="#,###,###.00000"/>
  </numFmts>
  <fonts count="97" x14ac:knownFonts="1"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b/>
      <u/>
      <sz val="10"/>
      <color indexed="12"/>
      <name val="Arial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1"/>
      <name val="Arial CE"/>
      <charset val="238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b/>
      <sz val="18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16"/>
      <color rgb="FFFF0000"/>
      <name val="Arial"/>
      <family val="2"/>
      <charset val="238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1"/>
      <color theme="10"/>
      <name val="Arial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164" fontId="3" fillId="0" borderId="0"/>
    <xf numFmtId="164" fontId="1" fillId="0" borderId="0"/>
    <xf numFmtId="0" fontId="5" fillId="0" borderId="0"/>
    <xf numFmtId="0" fontId="3" fillId="0" borderId="0"/>
    <xf numFmtId="0" fontId="1" fillId="0" borderId="0"/>
    <xf numFmtId="0" fontId="38" fillId="0" borderId="0" applyNumberFormat="0" applyFill="0" applyBorder="0" applyAlignment="0" applyProtection="0">
      <alignment vertical="top"/>
      <protection locked="0"/>
    </xf>
    <xf numFmtId="44" fontId="2" fillId="0" borderId="0" applyFill="0" applyBorder="0" applyAlignment="0" applyProtection="0"/>
    <xf numFmtId="44" fontId="2" fillId="0" borderId="0" applyFill="0" applyBorder="0" applyAlignment="0" applyProtection="0"/>
    <xf numFmtId="44" fontId="2" fillId="0" borderId="0" applyFill="0" applyBorder="0" applyAlignment="0" applyProtection="0"/>
    <xf numFmtId="164" fontId="3" fillId="0" borderId="0"/>
    <xf numFmtId="164" fontId="1" fillId="0" borderId="0"/>
    <xf numFmtId="44" fontId="14" fillId="0" borderId="0" applyFill="0" applyBorder="0" applyAlignment="0" applyProtection="0"/>
    <xf numFmtId="44" fontId="2" fillId="0" borderId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2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7" fillId="0" borderId="0"/>
    <xf numFmtId="0" fontId="8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7" fillId="0" borderId="0"/>
    <xf numFmtId="0" fontId="87" fillId="0" borderId="0"/>
    <xf numFmtId="0" fontId="32" fillId="0" borderId="0"/>
  </cellStyleXfs>
  <cellXfs count="670">
    <xf numFmtId="0" fontId="0" fillId="0" borderId="0" xfId="0"/>
    <xf numFmtId="0" fontId="3" fillId="0" borderId="0" xfId="4"/>
    <xf numFmtId="0" fontId="3" fillId="0" borderId="0" xfId="4" applyAlignment="1">
      <alignment horizontal="center"/>
    </xf>
    <xf numFmtId="0" fontId="4" fillId="0" borderId="0" xfId="79" applyAlignment="1">
      <alignment horizontal="left"/>
    </xf>
    <xf numFmtId="0" fontId="6" fillId="0" borderId="0" xfId="4" applyFont="1" applyAlignment="1">
      <alignment horizontal="center"/>
    </xf>
    <xf numFmtId="0" fontId="4" fillId="0" borderId="0" xfId="79"/>
    <xf numFmtId="0" fontId="4" fillId="0" borderId="0" xfId="79" applyAlignment="1">
      <alignment horizontal="center"/>
    </xf>
    <xf numFmtId="0" fontId="8" fillId="0" borderId="0" xfId="79" applyFont="1" applyAlignment="1">
      <alignment horizontal="left" vertical="center" indent="1"/>
    </xf>
    <xf numFmtId="0" fontId="4" fillId="0" borderId="0" xfId="79" applyAlignment="1">
      <alignment horizontal="center" vertical="center"/>
    </xf>
    <xf numFmtId="0" fontId="9" fillId="0" borderId="0" xfId="79" applyFont="1" applyAlignment="1">
      <alignment horizontal="center" vertical="center"/>
    </xf>
    <xf numFmtId="0" fontId="10" fillId="0" borderId="0" xfId="79" applyFont="1" applyAlignment="1">
      <alignment horizontal="left" vertical="center" indent="1"/>
    </xf>
    <xf numFmtId="0" fontId="11" fillId="0" borderId="0" xfId="79" applyFont="1" applyAlignment="1">
      <alignment horizontal="left" vertical="center"/>
    </xf>
    <xf numFmtId="166" fontId="4" fillId="0" borderId="0" xfId="79" applyNumberFormat="1" applyAlignment="1">
      <alignment horizontal="center" vertical="center"/>
    </xf>
    <xf numFmtId="0" fontId="4" fillId="0" borderId="0" xfId="79" applyAlignment="1">
      <alignment horizontal="left" vertical="center"/>
    </xf>
    <xf numFmtId="0" fontId="10" fillId="2" borderId="0" xfId="79" applyFont="1" applyFill="1" applyAlignment="1">
      <alignment horizontal="left" vertical="center" indent="1"/>
    </xf>
    <xf numFmtId="1" fontId="4" fillId="0" borderId="0" xfId="79" applyNumberFormat="1" applyAlignment="1">
      <alignment horizontal="center" vertical="center"/>
    </xf>
    <xf numFmtId="1" fontId="4" fillId="0" borderId="0" xfId="79" applyNumberForma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 vertical="center"/>
      <protection hidden="1"/>
    </xf>
    <xf numFmtId="0" fontId="15" fillId="0" borderId="0" xfId="79" applyFont="1" applyAlignment="1">
      <alignment horizontal="center"/>
    </xf>
    <xf numFmtId="0" fontId="13" fillId="0" borderId="0" xfId="79" applyFont="1" applyAlignment="1" applyProtection="1">
      <alignment horizontal="center" vertical="center"/>
      <protection hidden="1"/>
    </xf>
    <xf numFmtId="0" fontId="15" fillId="0" borderId="0" xfId="79" applyFont="1" applyAlignment="1" applyProtection="1">
      <alignment horizontal="center"/>
      <protection hidden="1"/>
    </xf>
    <xf numFmtId="0" fontId="4" fillId="0" borderId="0" xfId="79" applyProtection="1">
      <protection hidden="1"/>
    </xf>
    <xf numFmtId="0" fontId="4" fillId="3" borderId="1" xfId="79" applyFill="1" applyBorder="1" applyAlignment="1" applyProtection="1">
      <alignment horizontal="center" vertical="center"/>
      <protection locked="0"/>
    </xf>
    <xf numFmtId="0" fontId="4" fillId="0" borderId="0" xfId="79" applyAlignment="1" applyProtection="1">
      <alignment horizontal="left"/>
      <protection hidden="1"/>
    </xf>
    <xf numFmtId="0" fontId="4" fillId="0" borderId="0" xfId="79" applyAlignment="1" applyProtection="1">
      <alignment horizontal="center"/>
      <protection hidden="1"/>
    </xf>
    <xf numFmtId="1" fontId="17" fillId="0" borderId="0" xfId="79" applyNumberFormat="1" applyFont="1" applyAlignment="1" applyProtection="1">
      <alignment horizontal="left" vertical="center"/>
      <protection hidden="1"/>
    </xf>
    <xf numFmtId="0" fontId="16" fillId="0" borderId="0" xfId="79" applyFont="1" applyAlignment="1">
      <alignment horizontal="center" vertical="center"/>
    </xf>
    <xf numFmtId="0" fontId="19" fillId="0" borderId="0" xfId="79" applyFont="1" applyAlignment="1">
      <alignment horizontal="center" vertical="center"/>
    </xf>
    <xf numFmtId="0" fontId="22" fillId="0" borderId="0" xfId="79" applyFont="1" applyAlignment="1">
      <alignment horizontal="left"/>
    </xf>
    <xf numFmtId="0" fontId="4" fillId="4" borderId="2" xfId="79" applyFill="1" applyBorder="1" applyAlignment="1" applyProtection="1">
      <alignment horizontal="center"/>
      <protection locked="0"/>
    </xf>
    <xf numFmtId="0" fontId="4" fillId="4" borderId="2" xfId="79" applyFill="1" applyBorder="1" applyAlignment="1" applyProtection="1">
      <alignment horizontal="center" vertical="center"/>
      <protection locked="0"/>
    </xf>
    <xf numFmtId="0" fontId="23" fillId="5" borderId="0" xfId="0" applyFont="1" applyFill="1" applyAlignment="1">
      <alignment horizontal="left"/>
    </xf>
    <xf numFmtId="0" fontId="23" fillId="5" borderId="3" xfId="0" applyFont="1" applyFill="1" applyBorder="1" applyAlignment="1">
      <alignment horizontal="left"/>
    </xf>
    <xf numFmtId="0" fontId="23" fillId="5" borderId="4" xfId="0" applyFont="1" applyFill="1" applyBorder="1" applyAlignment="1">
      <alignment horizontal="left"/>
    </xf>
    <xf numFmtId="0" fontId="23" fillId="5" borderId="5" xfId="0" applyFont="1" applyFill="1" applyBorder="1" applyAlignment="1">
      <alignment horizontal="left"/>
    </xf>
    <xf numFmtId="166" fontId="4" fillId="0" borderId="0" xfId="79" applyNumberFormat="1" applyAlignment="1">
      <alignment horizontal="center"/>
    </xf>
    <xf numFmtId="0" fontId="4" fillId="8" borderId="0" xfId="79" applyFill="1"/>
    <xf numFmtId="0" fontId="4" fillId="8" borderId="0" xfId="79" applyFill="1" applyAlignment="1">
      <alignment horizontal="center"/>
    </xf>
    <xf numFmtId="0" fontId="17" fillId="0" borderId="0" xfId="79" applyFont="1"/>
    <xf numFmtId="0" fontId="19" fillId="0" borderId="0" xfId="79" applyFont="1" applyAlignment="1">
      <alignment horizontal="center"/>
    </xf>
    <xf numFmtId="0" fontId="4" fillId="0" borderId="0" xfId="79" applyAlignment="1">
      <alignment horizontal="right"/>
    </xf>
    <xf numFmtId="0" fontId="8" fillId="9" borderId="0" xfId="79" applyFont="1" applyFill="1" applyAlignment="1">
      <alignment horizontal="left" vertical="center" indent="1"/>
    </xf>
    <xf numFmtId="0" fontId="4" fillId="9" borderId="0" xfId="79" applyFill="1" applyAlignment="1" applyProtection="1">
      <alignment horizontal="center" vertical="center"/>
      <protection hidden="1"/>
    </xf>
    <xf numFmtId="1" fontId="17" fillId="9" borderId="0" xfId="79" applyNumberFormat="1" applyFont="1" applyFill="1" applyAlignment="1" applyProtection="1">
      <alignment horizontal="left" vertical="center"/>
      <protection hidden="1"/>
    </xf>
    <xf numFmtId="0" fontId="4" fillId="9" borderId="0" xfId="79" applyFill="1" applyAlignment="1" applyProtection="1">
      <alignment horizontal="center" vertical="center"/>
      <protection locked="0"/>
    </xf>
    <xf numFmtId="0" fontId="4" fillId="9" borderId="2" xfId="79" applyFill="1" applyBorder="1" applyAlignment="1" applyProtection="1">
      <alignment horizontal="center" vertical="center"/>
      <protection locked="0"/>
    </xf>
    <xf numFmtId="0" fontId="4" fillId="9" borderId="0" xfId="79" applyFill="1"/>
    <xf numFmtId="0" fontId="24" fillId="9" borderId="0" xfId="79" applyFont="1" applyFill="1" applyAlignment="1">
      <alignment horizontal="right"/>
    </xf>
    <xf numFmtId="0" fontId="19" fillId="9" borderId="0" xfId="79" applyFont="1" applyFill="1"/>
    <xf numFmtId="0" fontId="40" fillId="0" borderId="0" xfId="79" applyFont="1" applyAlignment="1">
      <alignment horizontal="center"/>
    </xf>
    <xf numFmtId="0" fontId="41" fillId="0" borderId="0" xfId="79" applyFont="1" applyAlignment="1">
      <alignment horizontal="left" vertical="center"/>
    </xf>
    <xf numFmtId="0" fontId="41" fillId="0" borderId="0" xfId="79" applyFont="1" applyAlignment="1">
      <alignment horizontal="left"/>
    </xf>
    <xf numFmtId="0" fontId="3" fillId="0" borderId="2" xfId="4" applyBorder="1"/>
    <xf numFmtId="0" fontId="3" fillId="0" borderId="2" xfId="4" applyBorder="1" applyAlignment="1">
      <alignment horizontal="center"/>
    </xf>
    <xf numFmtId="0" fontId="4" fillId="0" borderId="0" xfId="79" applyAlignment="1">
      <alignment horizontal="left" vertical="center" indent="1"/>
    </xf>
    <xf numFmtId="0" fontId="6" fillId="0" borderId="0" xfId="4" applyFont="1"/>
    <xf numFmtId="3" fontId="4" fillId="3" borderId="1" xfId="79" applyNumberFormat="1" applyFill="1" applyBorder="1" applyAlignment="1" applyProtection="1">
      <alignment horizontal="center" vertical="center"/>
      <protection locked="0"/>
    </xf>
    <xf numFmtId="3" fontId="4" fillId="0" borderId="1" xfId="79" applyNumberFormat="1" applyBorder="1" applyAlignment="1" applyProtection="1">
      <alignment horizontal="center" vertical="center"/>
      <protection hidden="1"/>
    </xf>
    <xf numFmtId="3" fontId="4" fillId="0" borderId="0" xfId="79" applyNumberFormat="1" applyAlignment="1">
      <alignment horizontal="center" vertical="center"/>
    </xf>
    <xf numFmtId="167" fontId="4" fillId="0" borderId="1" xfId="79" applyNumberFormat="1" applyBorder="1" applyAlignment="1" applyProtection="1">
      <alignment horizontal="center" vertical="center"/>
      <protection hidden="1"/>
    </xf>
    <xf numFmtId="167" fontId="4" fillId="8" borderId="1" xfId="79" applyNumberFormat="1" applyFill="1" applyBorder="1" applyAlignment="1" applyProtection="1">
      <alignment horizontal="center" vertical="center"/>
      <protection hidden="1"/>
    </xf>
    <xf numFmtId="3" fontId="4" fillId="0" borderId="9" xfId="79" applyNumberFormat="1" applyBorder="1" applyAlignment="1" applyProtection="1">
      <alignment horizontal="center" vertical="center"/>
      <protection hidden="1"/>
    </xf>
    <xf numFmtId="0" fontId="37" fillId="0" borderId="0" xfId="58" applyAlignment="1">
      <alignment horizontal="center"/>
    </xf>
    <xf numFmtId="0" fontId="26" fillId="0" borderId="0" xfId="79" applyFont="1" applyAlignment="1">
      <alignment horizontal="left" vertical="center" indent="1"/>
    </xf>
    <xf numFmtId="3" fontId="4" fillId="0" borderId="0" xfId="79" applyNumberFormat="1" applyAlignment="1" applyProtection="1">
      <alignment horizontal="center" vertical="center"/>
      <protection hidden="1"/>
    </xf>
    <xf numFmtId="167" fontId="4" fillId="10" borderId="1" xfId="79" applyNumberFormat="1" applyFill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center" vertical="center"/>
      <protection hidden="1"/>
    </xf>
    <xf numFmtId="3" fontId="4" fillId="0" borderId="2" xfId="79" applyNumberFormat="1" applyBorder="1" applyAlignment="1" applyProtection="1">
      <alignment horizontal="center" vertical="center"/>
      <protection hidden="1"/>
    </xf>
    <xf numFmtId="167" fontId="4" fillId="0" borderId="2" xfId="79" applyNumberFormat="1" applyBorder="1" applyAlignment="1" applyProtection="1">
      <alignment horizontal="center" vertical="center"/>
      <protection hidden="1"/>
    </xf>
    <xf numFmtId="3" fontId="4" fillId="10" borderId="0" xfId="79" applyNumberFormat="1" applyFill="1" applyAlignment="1" applyProtection="1">
      <alignment horizontal="center" vertical="center"/>
      <protection hidden="1"/>
    </xf>
    <xf numFmtId="3" fontId="4" fillId="10" borderId="12" xfId="79" applyNumberFormat="1" applyFill="1" applyBorder="1" applyAlignment="1" applyProtection="1">
      <alignment horizontal="center" vertical="center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center" indent="1"/>
    </xf>
    <xf numFmtId="0" fontId="24" fillId="0" borderId="0" xfId="79" applyFont="1" applyAlignment="1">
      <alignment horizontal="right"/>
    </xf>
    <xf numFmtId="0" fontId="17" fillId="0" borderId="0" xfId="79" applyFont="1" applyAlignment="1">
      <alignment horizontal="left" indent="1"/>
    </xf>
    <xf numFmtId="0" fontId="8" fillId="0" borderId="0" xfId="79" applyFont="1" applyAlignment="1">
      <alignment horizontal="right" vertical="center" indent="1"/>
    </xf>
    <xf numFmtId="0" fontId="10" fillId="9" borderId="0" xfId="79" applyFont="1" applyFill="1" applyAlignment="1">
      <alignment horizontal="left" vertical="center" indent="1"/>
    </xf>
    <xf numFmtId="0" fontId="20" fillId="9" borderId="0" xfId="79" applyFont="1" applyFill="1" applyAlignment="1">
      <alignment horizontal="left" vertical="center" indent="1"/>
    </xf>
    <xf numFmtId="0" fontId="20" fillId="9" borderId="0" xfId="79" applyFont="1" applyFill="1"/>
    <xf numFmtId="0" fontId="20" fillId="9" borderId="0" xfId="79" applyFont="1" applyFill="1" applyAlignment="1">
      <alignment horizontal="center"/>
    </xf>
    <xf numFmtId="0" fontId="27" fillId="0" borderId="0" xfId="79" applyFont="1" applyAlignment="1">
      <alignment horizontal="left" vertical="center" indent="1"/>
    </xf>
    <xf numFmtId="0" fontId="15" fillId="0" borderId="0" xfId="79" applyFont="1" applyAlignment="1">
      <alignment horizontal="center" vertical="center"/>
    </xf>
    <xf numFmtId="0" fontId="15" fillId="0" borderId="0" xfId="79" applyFont="1"/>
    <xf numFmtId="0" fontId="15" fillId="0" borderId="0" xfId="79" applyFont="1" applyAlignment="1" applyProtection="1">
      <alignment horizontal="center"/>
      <protection locked="0"/>
    </xf>
    <xf numFmtId="0" fontId="28" fillId="0" borderId="0" xfId="79" applyFont="1" applyAlignment="1">
      <alignment horizontal="left"/>
    </xf>
    <xf numFmtId="167" fontId="4" fillId="0" borderId="0" xfId="79" applyNumberFormat="1" applyAlignment="1" applyProtection="1">
      <alignment horizontal="center" vertical="center"/>
      <protection hidden="1"/>
    </xf>
    <xf numFmtId="167" fontId="4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4" fillId="0" borderId="0" xfId="1" applyNumberFormat="1" applyFont="1" applyAlignment="1" applyProtection="1">
      <alignment horizontal="right" vertical="center"/>
      <protection hidden="1"/>
    </xf>
    <xf numFmtId="4" fontId="14" fillId="0" borderId="0" xfId="7" applyNumberFormat="1" applyFont="1" applyBorder="1" applyAlignment="1" applyProtection="1">
      <alignment horizontal="right"/>
      <protection hidden="1"/>
    </xf>
    <xf numFmtId="4" fontId="14" fillId="0" borderId="0" xfId="7" applyNumberFormat="1" applyFont="1" applyAlignment="1">
      <alignment horizontal="right"/>
    </xf>
    <xf numFmtId="4" fontId="4" fillId="0" borderId="0" xfId="79" applyNumberFormat="1" applyAlignment="1">
      <alignment horizontal="right"/>
    </xf>
    <xf numFmtId="4" fontId="4" fillId="0" borderId="0" xfId="1" applyNumberFormat="1" applyFont="1" applyAlignment="1">
      <alignment horizontal="right" vertical="center"/>
    </xf>
    <xf numFmtId="4" fontId="4" fillId="0" borderId="0" xfId="79" applyNumberFormat="1" applyAlignment="1" applyProtection="1">
      <alignment horizontal="right" vertical="center"/>
      <protection hidden="1"/>
    </xf>
    <xf numFmtId="4" fontId="4" fillId="9" borderId="0" xfId="1" applyNumberFormat="1" applyFont="1" applyFill="1" applyAlignment="1" applyProtection="1">
      <alignment horizontal="right" vertical="center"/>
      <protection hidden="1"/>
    </xf>
    <xf numFmtId="4" fontId="14" fillId="9" borderId="0" xfId="7" applyNumberFormat="1" applyFont="1" applyFill="1" applyBorder="1" applyAlignment="1" applyProtection="1">
      <alignment horizontal="right"/>
      <protection hidden="1"/>
    </xf>
    <xf numFmtId="4" fontId="4" fillId="9" borderId="0" xfId="79" applyNumberFormat="1" applyFill="1" applyAlignment="1">
      <alignment horizontal="right"/>
    </xf>
    <xf numFmtId="4" fontId="9" fillId="9" borderId="13" xfId="79" applyNumberFormat="1" applyFont="1" applyFill="1" applyBorder="1" applyAlignment="1" applyProtection="1">
      <alignment horizontal="right" vertical="center"/>
      <protection hidden="1"/>
    </xf>
    <xf numFmtId="4" fontId="9" fillId="9" borderId="14" xfId="79" applyNumberFormat="1" applyFont="1" applyFill="1" applyBorder="1" applyAlignment="1" applyProtection="1">
      <alignment horizontal="right" vertical="center"/>
      <protection hidden="1"/>
    </xf>
    <xf numFmtId="4" fontId="4" fillId="0" borderId="0" xfId="79" applyNumberFormat="1" applyAlignment="1">
      <alignment vertical="center"/>
    </xf>
    <xf numFmtId="4" fontId="4" fillId="0" borderId="0" xfId="1" applyNumberFormat="1" applyFont="1" applyAlignment="1" applyProtection="1">
      <alignment horizontal="left" vertical="center"/>
      <protection hidden="1"/>
    </xf>
    <xf numFmtId="4" fontId="14" fillId="0" borderId="0" xfId="7" applyNumberFormat="1" applyFont="1" applyBorder="1" applyAlignment="1" applyProtection="1">
      <protection hidden="1"/>
    </xf>
    <xf numFmtId="4" fontId="4" fillId="0" borderId="0" xfId="1" applyNumberFormat="1" applyFont="1" applyAlignment="1" applyProtection="1">
      <alignment vertical="center"/>
      <protection hidden="1"/>
    </xf>
    <xf numFmtId="4" fontId="4" fillId="9" borderId="0" xfId="79" applyNumberFormat="1" applyFill="1"/>
    <xf numFmtId="4" fontId="7" fillId="9" borderId="14" xfId="7" applyNumberFormat="1" applyFont="1" applyFill="1" applyBorder="1" applyAlignment="1"/>
    <xf numFmtId="4" fontId="4" fillId="9" borderId="0" xfId="1" applyNumberFormat="1" applyFont="1" applyFill="1" applyAlignment="1" applyProtection="1">
      <alignment vertical="center"/>
      <protection hidden="1"/>
    </xf>
    <xf numFmtId="4" fontId="9" fillId="9" borderId="14" xfId="79" applyNumberFormat="1" applyFont="1" applyFill="1" applyBorder="1" applyAlignment="1" applyProtection="1">
      <alignment vertical="center"/>
      <protection hidden="1"/>
    </xf>
    <xf numFmtId="4" fontId="7" fillId="9" borderId="14" xfId="7" applyNumberFormat="1" applyFont="1" applyFill="1" applyBorder="1" applyAlignment="1" applyProtection="1">
      <protection hidden="1"/>
    </xf>
    <xf numFmtId="4" fontId="7" fillId="9" borderId="14" xfId="7" applyNumberFormat="1" applyFont="1" applyFill="1" applyBorder="1" applyAlignment="1">
      <alignment horizontal="right"/>
    </xf>
    <xf numFmtId="4" fontId="7" fillId="9" borderId="14" xfId="7" applyNumberFormat="1" applyFont="1" applyFill="1" applyBorder="1" applyAlignment="1" applyProtection="1">
      <alignment horizontal="right"/>
      <protection hidden="1"/>
    </xf>
    <xf numFmtId="4" fontId="7" fillId="9" borderId="2" xfId="7" applyNumberFormat="1" applyFont="1" applyFill="1" applyBorder="1" applyAlignment="1">
      <alignment horizontal="right"/>
    </xf>
    <xf numFmtId="4" fontId="9" fillId="9" borderId="0" xfId="1" applyNumberFormat="1" applyFont="1" applyFill="1" applyAlignment="1" applyProtection="1">
      <alignment horizontal="right" vertical="center"/>
      <protection hidden="1"/>
    </xf>
    <xf numFmtId="4" fontId="20" fillId="9" borderId="0" xfId="79" applyNumberFormat="1" applyFont="1" applyFill="1" applyAlignment="1">
      <alignment horizontal="right"/>
    </xf>
    <xf numFmtId="4" fontId="20" fillId="9" borderId="2" xfId="79" applyNumberFormat="1" applyFont="1" applyFill="1" applyBorder="1" applyAlignment="1">
      <alignment horizontal="right"/>
    </xf>
    <xf numFmtId="4" fontId="9" fillId="9" borderId="0" xfId="79" applyNumberFormat="1" applyFont="1" applyFill="1" applyAlignment="1" applyProtection="1">
      <alignment horizontal="right" vertical="center"/>
      <protection hidden="1"/>
    </xf>
    <xf numFmtId="4" fontId="7" fillId="9" borderId="0" xfId="7" applyNumberFormat="1" applyFont="1" applyFill="1" applyBorder="1" applyAlignment="1" applyProtection="1">
      <alignment horizontal="right"/>
      <protection hidden="1"/>
    </xf>
    <xf numFmtId="0" fontId="19" fillId="0" borderId="0" xfId="79" applyFont="1" applyAlignment="1" applyProtection="1">
      <alignment horizontal="center" vertical="center"/>
      <protection hidden="1"/>
    </xf>
    <xf numFmtId="0" fontId="19" fillId="11" borderId="2" xfId="79" applyFont="1" applyFill="1" applyBorder="1" applyAlignment="1">
      <alignment horizontal="center"/>
    </xf>
    <xf numFmtId="1" fontId="19" fillId="0" borderId="0" xfId="79" applyNumberFormat="1" applyFont="1" applyAlignment="1" applyProtection="1">
      <alignment horizontal="center" vertical="center"/>
      <protection hidden="1"/>
    </xf>
    <xf numFmtId="1" fontId="24" fillId="0" borderId="0" xfId="79" applyNumberFormat="1" applyFont="1" applyAlignment="1" applyProtection="1">
      <alignment horizontal="left" vertical="center"/>
      <protection hidden="1"/>
    </xf>
    <xf numFmtId="1" fontId="9" fillId="0" borderId="0" xfId="79" applyNumberFormat="1" applyFont="1" applyAlignment="1" applyProtection="1">
      <alignment horizontal="center" vertical="center"/>
      <protection hidden="1"/>
    </xf>
    <xf numFmtId="1" fontId="29" fillId="0" borderId="0" xfId="79" applyNumberFormat="1" applyFont="1" applyAlignment="1" applyProtection="1">
      <alignment horizontal="left" vertical="center"/>
      <protection hidden="1"/>
    </xf>
    <xf numFmtId="4" fontId="9" fillId="0" borderId="0" xfId="1" applyNumberFormat="1" applyFont="1" applyAlignment="1" applyProtection="1">
      <alignment vertical="center"/>
      <protection hidden="1"/>
    </xf>
    <xf numFmtId="4" fontId="7" fillId="0" borderId="0" xfId="7" applyNumberFormat="1" applyFont="1" applyBorder="1" applyAlignment="1" applyProtection="1">
      <protection hidden="1"/>
    </xf>
    <xf numFmtId="0" fontId="9" fillId="0" borderId="0" xfId="79" applyFont="1" applyAlignment="1">
      <alignment horizontal="center"/>
    </xf>
    <xf numFmtId="0" fontId="9" fillId="0" borderId="0" xfId="79" applyFont="1"/>
    <xf numFmtId="0" fontId="19" fillId="0" borderId="0" xfId="79" applyFont="1"/>
    <xf numFmtId="0" fontId="16" fillId="0" borderId="0" xfId="79" applyFont="1" applyAlignment="1">
      <alignment horizontal="center"/>
    </xf>
    <xf numFmtId="0" fontId="20" fillId="8" borderId="0" xfId="79" applyFont="1" applyFill="1" applyAlignment="1">
      <alignment horizontal="left" vertical="center" indent="1"/>
    </xf>
    <xf numFmtId="4" fontId="9" fillId="0" borderId="0" xfId="1" applyNumberFormat="1" applyFont="1" applyAlignment="1" applyProtection="1">
      <alignment horizontal="right" vertical="center"/>
      <protection hidden="1"/>
    </xf>
    <xf numFmtId="4" fontId="7" fillId="0" borderId="0" xfId="7" applyNumberFormat="1" applyFont="1" applyBorder="1" applyAlignment="1" applyProtection="1">
      <alignment horizontal="right"/>
      <protection hidden="1"/>
    </xf>
    <xf numFmtId="0" fontId="42" fillId="0" borderId="0" xfId="79" applyFont="1" applyAlignment="1">
      <alignment horizontal="center"/>
    </xf>
    <xf numFmtId="0" fontId="40" fillId="0" borderId="0" xfId="79" applyFont="1"/>
    <xf numFmtId="167" fontId="4" fillId="0" borderId="15" xfId="79" applyNumberFormat="1" applyBorder="1" applyAlignment="1" applyProtection="1">
      <alignment horizontal="center" vertical="center"/>
      <protection hidden="1"/>
    </xf>
    <xf numFmtId="167" fontId="4" fillId="0" borderId="16" xfId="79" applyNumberFormat="1" applyBorder="1" applyAlignment="1" applyProtection="1">
      <alignment horizontal="center" vertical="center"/>
      <protection hidden="1"/>
    </xf>
    <xf numFmtId="0" fontId="31" fillId="0" borderId="0" xfId="4" applyFont="1"/>
    <xf numFmtId="0" fontId="44" fillId="0" borderId="0" xfId="4" applyFont="1" applyAlignment="1">
      <alignment horizontal="right"/>
    </xf>
    <xf numFmtId="0" fontId="0" fillId="0" borderId="0" xfId="0" applyAlignment="1">
      <alignment horizontal="left"/>
    </xf>
    <xf numFmtId="0" fontId="19" fillId="4" borderId="2" xfId="79" applyFont="1" applyFill="1" applyBorder="1" applyAlignment="1">
      <alignment horizontal="center"/>
    </xf>
    <xf numFmtId="0" fontId="19" fillId="4" borderId="2" xfId="79" applyFont="1" applyFill="1" applyBorder="1" applyAlignment="1" applyProtection="1">
      <alignment horizontal="center"/>
      <protection hidden="1"/>
    </xf>
    <xf numFmtId="0" fontId="19" fillId="11" borderId="2" xfId="79" applyFont="1" applyFill="1" applyBorder="1" applyAlignment="1" applyProtection="1">
      <alignment horizontal="center"/>
      <protection hidden="1"/>
    </xf>
    <xf numFmtId="3" fontId="4" fillId="9" borderId="0" xfId="79" applyNumberFormat="1" applyFill="1" applyAlignment="1">
      <alignment horizontal="center" vertical="center"/>
    </xf>
    <xf numFmtId="0" fontId="45" fillId="0" borderId="0" xfId="0" applyFont="1" applyAlignment="1">
      <alignment horizontal="left" vertical="top" indent="1"/>
    </xf>
    <xf numFmtId="0" fontId="20" fillId="0" borderId="0" xfId="79" applyFont="1" applyAlignment="1">
      <alignment horizontal="left" vertical="center" indent="1"/>
    </xf>
    <xf numFmtId="0" fontId="46" fillId="0" borderId="0" xfId="0" applyFont="1"/>
    <xf numFmtId="0" fontId="46" fillId="0" borderId="0" xfId="79" applyFont="1"/>
    <xf numFmtId="0" fontId="46" fillId="0" borderId="0" xfId="79" applyFont="1" applyProtection="1">
      <protection hidden="1"/>
    </xf>
    <xf numFmtId="0" fontId="46" fillId="0" borderId="0" xfId="47" applyFont="1"/>
    <xf numFmtId="0" fontId="46" fillId="0" borderId="0" xfId="4" applyFont="1"/>
    <xf numFmtId="0" fontId="46" fillId="0" borderId="0" xfId="0" applyFont="1" applyProtection="1">
      <protection locked="0"/>
    </xf>
    <xf numFmtId="0" fontId="34" fillId="0" borderId="0" xfId="4" applyFont="1"/>
    <xf numFmtId="166" fontId="4" fillId="0" borderId="0" xfId="79" quotePrefix="1" applyNumberFormat="1" applyAlignment="1">
      <alignment horizontal="center" vertical="center"/>
    </xf>
    <xf numFmtId="0" fontId="1" fillId="0" borderId="0" xfId="4" applyFont="1"/>
    <xf numFmtId="0" fontId="1" fillId="0" borderId="0" xfId="4" quotePrefix="1" applyFont="1"/>
    <xf numFmtId="167" fontId="4" fillId="0" borderId="0" xfId="79" applyNumberFormat="1" applyAlignment="1">
      <alignment horizontal="center"/>
    </xf>
    <xf numFmtId="1" fontId="4" fillId="0" borderId="0" xfId="79" applyNumberFormat="1"/>
    <xf numFmtId="167" fontId="4" fillId="0" borderId="0" xfId="79" applyNumberFormat="1"/>
    <xf numFmtId="3" fontId="4" fillId="0" borderId="0" xfId="79" applyNumberFormat="1"/>
    <xf numFmtId="0" fontId="4" fillId="0" borderId="10" xfId="79" applyBorder="1"/>
    <xf numFmtId="0" fontId="4" fillId="0" borderId="0" xfId="79" quotePrefix="1"/>
    <xf numFmtId="0" fontId="4" fillId="0" borderId="0" xfId="79" applyAlignment="1">
      <alignment wrapText="1"/>
    </xf>
    <xf numFmtId="167" fontId="4" fillId="0" borderId="0" xfId="79" applyNumberFormat="1" applyAlignment="1" applyProtection="1">
      <alignment horizontal="left" vertical="center"/>
      <protection hidden="1"/>
    </xf>
    <xf numFmtId="0" fontId="1" fillId="0" borderId="0" xfId="5"/>
    <xf numFmtId="0" fontId="32" fillId="0" borderId="0" xfId="0" applyFont="1" applyAlignment="1">
      <alignment horizontal="center"/>
    </xf>
    <xf numFmtId="0" fontId="35" fillId="0" borderId="0" xfId="0" applyFont="1"/>
    <xf numFmtId="0" fontId="49" fillId="0" borderId="0" xfId="79" applyFont="1" applyAlignment="1">
      <alignment horizontal="left" vertical="center" indent="1"/>
    </xf>
    <xf numFmtId="167" fontId="42" fillId="0" borderId="0" xfId="79" applyNumberFormat="1" applyFont="1" applyAlignment="1" applyProtection="1">
      <alignment horizontal="center" vertical="center"/>
      <protection hidden="1"/>
    </xf>
    <xf numFmtId="167" fontId="42" fillId="0" borderId="16" xfId="79" applyNumberFormat="1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wrapText="1"/>
    </xf>
    <xf numFmtId="0" fontId="7" fillId="0" borderId="17" xfId="0" applyFont="1" applyBorder="1"/>
    <xf numFmtId="0" fontId="0" fillId="0" borderId="18" xfId="0" applyBorder="1"/>
    <xf numFmtId="4" fontId="7" fillId="0" borderId="19" xfId="0" applyNumberFormat="1" applyFont="1" applyBorder="1"/>
    <xf numFmtId="0" fontId="48" fillId="0" borderId="0" xfId="6" applyFont="1" applyBorder="1" applyAlignment="1" applyProtection="1">
      <alignment horizontal="center"/>
    </xf>
    <xf numFmtId="0" fontId="1" fillId="0" borderId="2" xfId="4" applyFont="1" applyBorder="1"/>
    <xf numFmtId="0" fontId="1" fillId="13" borderId="2" xfId="4" applyFont="1" applyFill="1" applyBorder="1"/>
    <xf numFmtId="0" fontId="3" fillId="13" borderId="2" xfId="4" applyFill="1" applyBorder="1"/>
    <xf numFmtId="0" fontId="3" fillId="0" borderId="10" xfId="4" applyBorder="1" applyAlignment="1">
      <alignment horizontal="left"/>
    </xf>
    <xf numFmtId="0" fontId="3" fillId="0" borderId="0" xfId="4" applyAlignment="1">
      <alignment horizontal="left"/>
    </xf>
    <xf numFmtId="0" fontId="4" fillId="0" borderId="0" xfId="79" applyAlignment="1" applyProtection="1">
      <alignment horizontal="center"/>
      <protection locked="0"/>
    </xf>
    <xf numFmtId="0" fontId="9" fillId="0" borderId="0" xfId="79" applyFont="1" applyAlignment="1" applyProtection="1">
      <alignment horizontal="center"/>
      <protection locked="0"/>
    </xf>
    <xf numFmtId="0" fontId="37" fillId="0" borderId="0" xfId="64" applyAlignment="1">
      <alignment horizontal="center"/>
    </xf>
    <xf numFmtId="0" fontId="37" fillId="0" borderId="2" xfId="58" applyBorder="1" applyAlignment="1">
      <alignment horizontal="center"/>
    </xf>
    <xf numFmtId="0" fontId="52" fillId="0" borderId="0" xfId="37" applyFont="1" applyAlignment="1">
      <alignment horizontal="center"/>
    </xf>
    <xf numFmtId="0" fontId="52" fillId="0" borderId="0" xfId="38" applyFont="1" applyAlignment="1">
      <alignment horizontal="center"/>
    </xf>
    <xf numFmtId="1" fontId="18" fillId="0" borderId="0" xfId="79" applyNumberFormat="1" applyFont="1" applyAlignment="1" applyProtection="1">
      <alignment horizontal="center" vertical="center"/>
      <protection hidden="1"/>
    </xf>
    <xf numFmtId="0" fontId="20" fillId="0" borderId="0" xfId="79" applyFont="1" applyAlignment="1">
      <alignment horizontal="center"/>
    </xf>
    <xf numFmtId="167" fontId="4" fillId="0" borderId="9" xfId="79" applyNumberFormat="1" applyBorder="1" applyAlignment="1" applyProtection="1">
      <alignment horizontal="center" vertical="center"/>
      <protection hidden="1"/>
    </xf>
    <xf numFmtId="0" fontId="19" fillId="0" borderId="0" xfId="79" applyFont="1" applyAlignment="1">
      <alignment horizontal="left" vertical="top" wrapText="1"/>
    </xf>
    <xf numFmtId="0" fontId="19" fillId="0" borderId="0" xfId="79" applyFont="1" applyAlignment="1" applyProtection="1">
      <alignment horizontal="center"/>
      <protection locked="0"/>
    </xf>
    <xf numFmtId="1" fontId="4" fillId="0" borderId="0" xfId="79" applyNumberFormat="1" applyAlignment="1" applyProtection="1">
      <alignment horizontal="right" vertical="center"/>
      <protection hidden="1"/>
    </xf>
    <xf numFmtId="49" fontId="2" fillId="0" borderId="0" xfId="25" applyNumberFormat="1" applyAlignment="1">
      <alignment wrapText="1"/>
    </xf>
    <xf numFmtId="4" fontId="2" fillId="0" borderId="0" xfId="25" applyNumberFormat="1" applyAlignment="1">
      <alignment wrapText="1"/>
    </xf>
    <xf numFmtId="0" fontId="0" fillId="0" borderId="0" xfId="25" applyFont="1"/>
    <xf numFmtId="0" fontId="2" fillId="0" borderId="0" xfId="25"/>
    <xf numFmtId="49" fontId="2" fillId="0" borderId="0" xfId="25" applyNumberFormat="1"/>
    <xf numFmtId="4" fontId="2" fillId="0" borderId="0" xfId="25" applyNumberFormat="1"/>
    <xf numFmtId="4" fontId="2" fillId="0" borderId="0" xfId="13" applyNumberFormat="1"/>
    <xf numFmtId="0" fontId="2" fillId="0" borderId="0" xfId="25" applyAlignment="1">
      <alignment horizontal="center"/>
    </xf>
    <xf numFmtId="168" fontId="2" fillId="0" borderId="0" xfId="25" applyNumberFormat="1"/>
    <xf numFmtId="168" fontId="2" fillId="0" borderId="0" xfId="13" applyNumberFormat="1"/>
    <xf numFmtId="0" fontId="2" fillId="0" borderId="0" xfId="25" applyAlignment="1">
      <alignment wrapText="1"/>
    </xf>
    <xf numFmtId="0" fontId="38" fillId="0" borderId="0" xfId="6" applyAlignment="1" applyProtection="1"/>
    <xf numFmtId="0" fontId="38" fillId="0" borderId="0" xfId="6" applyAlignment="1" applyProtection="1">
      <protection locked="0" hidden="1"/>
    </xf>
    <xf numFmtId="0" fontId="39" fillId="0" borderId="0" xfId="47" applyFont="1" applyAlignment="1">
      <alignment vertical="top" wrapText="1"/>
    </xf>
    <xf numFmtId="4" fontId="4" fillId="0" borderId="0" xfId="79" applyNumberFormat="1" applyAlignment="1">
      <alignment horizontal="right" vertical="center"/>
    </xf>
    <xf numFmtId="0" fontId="48" fillId="0" borderId="0" xfId="6" applyFont="1" applyFill="1" applyBorder="1" applyAlignment="1" applyProtection="1">
      <alignment wrapText="1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38" fillId="0" borderId="0" xfId="6" applyAlignment="1" applyProtection="1">
      <protection locked="0"/>
    </xf>
    <xf numFmtId="0" fontId="3" fillId="0" borderId="0" xfId="4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3" fillId="0" borderId="0" xfId="4" applyAlignment="1">
      <alignment horizontal="left" vertical="center"/>
    </xf>
    <xf numFmtId="0" fontId="48" fillId="19" borderId="6" xfId="6" applyFont="1" applyFill="1" applyBorder="1" applyAlignment="1" applyProtection="1">
      <alignment wrapText="1"/>
      <protection locked="0" hidden="1"/>
    </xf>
    <xf numFmtId="0" fontId="48" fillId="19" borderId="0" xfId="6" applyFont="1" applyFill="1" applyBorder="1" applyAlignment="1" applyProtection="1">
      <alignment wrapText="1"/>
      <protection locked="0" hidden="1"/>
    </xf>
    <xf numFmtId="0" fontId="48" fillId="19" borderId="3" xfId="6" applyFont="1" applyFill="1" applyBorder="1" applyAlignment="1" applyProtection="1">
      <alignment wrapText="1"/>
      <protection locked="0" hidden="1"/>
    </xf>
    <xf numFmtId="0" fontId="7" fillId="19" borderId="6" xfId="4" applyFont="1" applyFill="1" applyBorder="1"/>
    <xf numFmtId="165" fontId="7" fillId="19" borderId="0" xfId="1" applyNumberFormat="1" applyFont="1" applyFill="1" applyAlignment="1">
      <alignment horizontal="center"/>
    </xf>
    <xf numFmtId="0" fontId="48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8" fillId="17" borderId="6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horizontal="center"/>
      <protection locked="0" hidden="1"/>
    </xf>
    <xf numFmtId="0" fontId="48" fillId="17" borderId="0" xfId="6" applyFont="1" applyFill="1" applyBorder="1" applyAlignment="1" applyProtection="1">
      <alignment horizontal="center"/>
    </xf>
    <xf numFmtId="0" fontId="36" fillId="17" borderId="0" xfId="6" applyFont="1" applyFill="1" applyBorder="1" applyAlignment="1" applyProtection="1">
      <alignment horizontal="center" vertical="top" wrapText="1"/>
      <protection locked="0" hidden="1"/>
    </xf>
    <xf numFmtId="0" fontId="7" fillId="17" borderId="0" xfId="6" applyFont="1" applyFill="1" applyBorder="1" applyAlignment="1" applyProtection="1">
      <alignment horizontal="center" vertical="top" wrapText="1"/>
      <protection locked="0" hidden="1"/>
    </xf>
    <xf numFmtId="0" fontId="47" fillId="17" borderId="0" xfId="6" applyFont="1" applyFill="1" applyBorder="1" applyAlignment="1" applyProtection="1">
      <alignment vertical="center" wrapText="1"/>
      <protection locked="0" hidden="1"/>
    </xf>
    <xf numFmtId="0" fontId="48" fillId="21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2" fillId="0" borderId="8" xfId="0" applyFont="1" applyBorder="1" applyAlignment="1">
      <alignment horizontal="center" vertical="center" wrapText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8" fillId="19" borderId="0" xfId="3" applyFont="1" applyFill="1" applyAlignment="1" applyProtection="1">
      <alignment horizontal="center" vertical="center"/>
      <protection locked="0" hidden="1"/>
    </xf>
    <xf numFmtId="0" fontId="69" fillId="19" borderId="0" xfId="4" applyFont="1" applyFill="1" applyAlignment="1">
      <alignment horizontal="center" vertical="center"/>
    </xf>
    <xf numFmtId="0" fontId="70" fillId="19" borderId="0" xfId="4" applyFont="1" applyFill="1" applyAlignment="1">
      <alignment horizontal="center"/>
    </xf>
    <xf numFmtId="0" fontId="69" fillId="19" borderId="0" xfId="4" applyFont="1" applyFill="1"/>
    <xf numFmtId="0" fontId="70" fillId="19" borderId="4" xfId="4" applyFont="1" applyFill="1" applyBorder="1" applyAlignment="1">
      <alignment horizontal="center"/>
    </xf>
    <xf numFmtId="0" fontId="66" fillId="19" borderId="3" xfId="4" applyFont="1" applyFill="1" applyBorder="1" applyAlignment="1">
      <alignment horizontal="center" vertical="center"/>
    </xf>
    <xf numFmtId="0" fontId="66" fillId="19" borderId="0" xfId="4" applyFont="1" applyFill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71" fillId="19" borderId="6" xfId="4" applyFont="1" applyFill="1" applyBorder="1"/>
    <xf numFmtId="0" fontId="72" fillId="19" borderId="0" xfId="3" applyFont="1" applyFill="1" applyProtection="1">
      <protection locked="0"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/>
    </xf>
    <xf numFmtId="165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 vertical="center"/>
    </xf>
    <xf numFmtId="0" fontId="71" fillId="19" borderId="3" xfId="4" applyFont="1" applyFill="1" applyBorder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6" fillId="17" borderId="6" xfId="4" applyFont="1" applyFill="1" applyBorder="1"/>
    <xf numFmtId="0" fontId="66" fillId="17" borderId="0" xfId="4" applyFont="1" applyFill="1"/>
    <xf numFmtId="0" fontId="66" fillId="17" borderId="29" xfId="4" applyFont="1" applyFill="1" applyBorder="1"/>
    <xf numFmtId="0" fontId="38" fillId="17" borderId="0" xfId="6" applyFill="1" applyBorder="1" applyAlignment="1" applyProtection="1">
      <alignment horizontal="center"/>
      <protection locked="0" hidden="1"/>
    </xf>
    <xf numFmtId="0" fontId="71" fillId="17" borderId="6" xfId="4" applyFont="1" applyFill="1" applyBorder="1"/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66" fillId="21" borderId="0" xfId="4" applyFont="1" applyFill="1"/>
    <xf numFmtId="0" fontId="66" fillId="21" borderId="3" xfId="4" applyFont="1" applyFill="1" applyBorder="1"/>
    <xf numFmtId="0" fontId="71" fillId="21" borderId="3" xfId="4" applyFont="1" applyFill="1" applyBorder="1"/>
    <xf numFmtId="0" fontId="71" fillId="21" borderId="0" xfId="4" applyFont="1" applyFill="1"/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32" fillId="0" borderId="0" xfId="4" applyFont="1"/>
    <xf numFmtId="0" fontId="78" fillId="0" borderId="0" xfId="6" applyFont="1" applyAlignment="1" applyProtection="1">
      <alignment horizontal="left" indent="1"/>
      <protection locked="0" hidden="1"/>
    </xf>
    <xf numFmtId="0" fontId="42" fillId="0" borderId="0" xfId="79" applyFont="1"/>
    <xf numFmtId="0" fontId="48" fillId="0" borderId="30" xfId="6" applyFont="1" applyFill="1" applyBorder="1" applyAlignment="1" applyProtection="1">
      <alignment horizontal="center"/>
      <protection locked="0" hidden="1"/>
    </xf>
    <xf numFmtId="0" fontId="66" fillId="0" borderId="31" xfId="4" applyFont="1" applyBorder="1" applyProtection="1">
      <protection locked="0"/>
    </xf>
    <xf numFmtId="0" fontId="66" fillId="17" borderId="0" xfId="4" applyFont="1" applyFill="1" applyProtection="1">
      <protection locked="0"/>
    </xf>
    <xf numFmtId="0" fontId="71" fillId="21" borderId="0" xfId="4" applyFont="1" applyFill="1" applyAlignment="1">
      <alignment horizontal="center"/>
    </xf>
    <xf numFmtId="0" fontId="38" fillId="21" borderId="0" xfId="6" applyFill="1" applyBorder="1" applyAlignment="1" applyProtection="1">
      <alignment horizontal="center"/>
      <protection locked="0" hidden="1"/>
    </xf>
    <xf numFmtId="0" fontId="66" fillId="0" borderId="31" xfId="4" applyFont="1" applyBorder="1"/>
    <xf numFmtId="0" fontId="47" fillId="0" borderId="31" xfId="6" applyFont="1" applyFill="1" applyBorder="1" applyAlignment="1" applyProtection="1">
      <alignment vertical="center" wrapText="1"/>
      <protection locked="0" hidden="1"/>
    </xf>
    <xf numFmtId="0" fontId="3" fillId="17" borderId="0" xfId="4" applyFill="1"/>
    <xf numFmtId="0" fontId="38" fillId="0" borderId="31" xfId="6" applyFill="1" applyBorder="1" applyAlignment="1" applyProtection="1">
      <alignment horizontal="center"/>
      <protection locked="0" hidden="1"/>
    </xf>
    <xf numFmtId="0" fontId="75" fillId="0" borderId="31" xfId="4" applyFont="1" applyBorder="1" applyAlignment="1">
      <alignment horizontal="center"/>
    </xf>
    <xf numFmtId="0" fontId="6" fillId="17" borderId="0" xfId="4" applyFont="1" applyFill="1"/>
    <xf numFmtId="0" fontId="48" fillId="0" borderId="31" xfId="6" applyFont="1" applyFill="1" applyBorder="1" applyAlignment="1" applyProtection="1">
      <alignment horizontal="center"/>
      <protection locked="0" hidden="1"/>
    </xf>
    <xf numFmtId="0" fontId="4" fillId="0" borderId="0" xfId="79" applyAlignment="1" applyProtection="1">
      <alignment horizontal="center" vertical="center"/>
      <protection locked="0"/>
    </xf>
    <xf numFmtId="0" fontId="48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8" fillId="17" borderId="4" xfId="6" applyFont="1" applyFill="1" applyBorder="1" applyAlignment="1" applyProtection="1">
      <alignment horizontal="center"/>
      <protection hidden="1"/>
    </xf>
    <xf numFmtId="0" fontId="71" fillId="17" borderId="4" xfId="4" applyFont="1" applyFill="1" applyBorder="1" applyProtection="1">
      <protection hidden="1"/>
    </xf>
    <xf numFmtId="0" fontId="48" fillId="17" borderId="3" xfId="6" applyFont="1" applyFill="1" applyBorder="1" applyAlignment="1" applyProtection="1">
      <alignment horizontal="center"/>
      <protection hidden="1"/>
    </xf>
    <xf numFmtId="0" fontId="48" fillId="16" borderId="0" xfId="6" applyFont="1" applyFill="1" applyBorder="1" applyAlignment="1" applyProtection="1">
      <alignment wrapText="1"/>
      <protection hidden="1"/>
    </xf>
    <xf numFmtId="0" fontId="48" fillId="16" borderId="3" xfId="6" applyFont="1" applyFill="1" applyBorder="1" applyAlignment="1" applyProtection="1">
      <alignment wrapText="1"/>
      <protection hidden="1"/>
    </xf>
    <xf numFmtId="0" fontId="48" fillId="18" borderId="0" xfId="6" applyFont="1" applyFill="1" applyBorder="1" applyAlignment="1" applyProtection="1">
      <alignment wrapText="1"/>
      <protection hidden="1"/>
    </xf>
    <xf numFmtId="0" fontId="48" fillId="16" borderId="4" xfId="6" applyFont="1" applyFill="1" applyBorder="1" applyAlignment="1" applyProtection="1">
      <alignment wrapText="1"/>
      <protection hidden="1"/>
    </xf>
    <xf numFmtId="0" fontId="48" fillId="16" borderId="5" xfId="6" applyFont="1" applyFill="1" applyBorder="1" applyAlignment="1" applyProtection="1">
      <alignment wrapText="1"/>
      <protection hidden="1"/>
    </xf>
    <xf numFmtId="0" fontId="48" fillId="16" borderId="6" xfId="6" applyFont="1" applyFill="1" applyBorder="1" applyAlignment="1" applyProtection="1">
      <alignment wrapText="1"/>
      <protection hidden="1"/>
    </xf>
    <xf numFmtId="0" fontId="48" fillId="16" borderId="20" xfId="6" applyFont="1" applyFill="1" applyBorder="1" applyAlignment="1" applyProtection="1">
      <alignment wrapText="1"/>
      <protection hidden="1"/>
    </xf>
    <xf numFmtId="0" fontId="67" fillId="16" borderId="4" xfId="4" applyFont="1" applyFill="1" applyBorder="1" applyAlignment="1" applyProtection="1">
      <alignment horizontal="center" vertical="center"/>
      <protection hidden="1"/>
    </xf>
    <xf numFmtId="0" fontId="48" fillId="21" borderId="6" xfId="6" applyFont="1" applyFill="1" applyBorder="1" applyAlignment="1" applyProtection="1">
      <alignment horizontal="center"/>
      <protection hidden="1"/>
    </xf>
    <xf numFmtId="0" fontId="48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71" fillId="17" borderId="20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21" borderId="4" xfId="4" applyFont="1" applyFill="1" applyBorder="1" applyProtection="1">
      <protection hidden="1"/>
    </xf>
    <xf numFmtId="0" fontId="48" fillId="21" borderId="4" xfId="6" applyFont="1" applyFill="1" applyBorder="1" applyAlignment="1" applyProtection="1">
      <alignment horizontal="center"/>
      <protection hidden="1"/>
    </xf>
    <xf numFmtId="0" fontId="71" fillId="21" borderId="5" xfId="4" applyFont="1" applyFill="1" applyBorder="1" applyProtection="1">
      <protection hidden="1"/>
    </xf>
    <xf numFmtId="0" fontId="71" fillId="21" borderId="3" xfId="4" applyFont="1" applyFill="1" applyBorder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6" fillId="0" borderId="0" xfId="4" applyFont="1" applyAlignment="1" applyProtection="1">
      <alignment horizontal="center"/>
      <protection hidden="1"/>
    </xf>
    <xf numFmtId="0" fontId="6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6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54" fillId="21" borderId="3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7" fillId="19" borderId="0" xfId="1" applyNumberFormat="1" applyFont="1" applyFill="1" applyAlignment="1" applyProtection="1">
      <alignment horizontal="center"/>
      <protection hidden="1"/>
    </xf>
    <xf numFmtId="0" fontId="47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8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3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8" fillId="20" borderId="0" xfId="6" applyFill="1" applyBorder="1" applyAlignment="1" applyProtection="1">
      <alignment horizontal="center"/>
      <protection hidden="1"/>
    </xf>
    <xf numFmtId="0" fontId="66" fillId="20" borderId="3" xfId="4" applyFont="1" applyFill="1" applyBorder="1" applyProtection="1"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8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3" fillId="19" borderId="4" xfId="6" applyFont="1" applyFill="1" applyBorder="1" applyAlignment="1" applyProtection="1">
      <alignment horizontal="center" vertical="top"/>
      <protection hidden="1"/>
    </xf>
    <xf numFmtId="0" fontId="71" fillId="20" borderId="3" xfId="4" applyFont="1" applyFill="1" applyBorder="1" applyAlignment="1" applyProtection="1">
      <alignment horizontal="center" vertical="center"/>
      <protection hidden="1"/>
    </xf>
    <xf numFmtId="0" fontId="43" fillId="20" borderId="0" xfId="6" applyFont="1" applyFill="1" applyBorder="1" applyAlignment="1" applyProtection="1">
      <alignment horizontal="center" vertical="center"/>
      <protection hidden="1"/>
    </xf>
    <xf numFmtId="0" fontId="23" fillId="5" borderId="33" xfId="0" applyFont="1" applyFill="1" applyBorder="1" applyAlignment="1">
      <alignment horizontal="left"/>
    </xf>
    <xf numFmtId="0" fontId="23" fillId="5" borderId="34" xfId="0" applyFont="1" applyFill="1" applyBorder="1" applyAlignment="1">
      <alignment horizontal="left"/>
    </xf>
    <xf numFmtId="0" fontId="2" fillId="0" borderId="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7" fillId="0" borderId="38" xfId="4" applyFont="1" applyBorder="1" applyAlignment="1">
      <alignment horizontal="center"/>
    </xf>
    <xf numFmtId="0" fontId="66" fillId="0" borderId="39" xfId="4" applyFont="1" applyBorder="1" applyAlignment="1">
      <alignment horizontal="center" vertical="center"/>
    </xf>
    <xf numFmtId="0" fontId="66" fillId="0" borderId="38" xfId="4" applyFont="1" applyBorder="1"/>
    <xf numFmtId="0" fontId="66" fillId="0" borderId="39" xfId="4" applyFont="1" applyBorder="1"/>
    <xf numFmtId="0" fontId="66" fillId="0" borderId="39" xfId="4" applyFont="1" applyBorder="1" applyAlignment="1">
      <alignment horizontal="center"/>
    </xf>
    <xf numFmtId="0" fontId="48" fillId="21" borderId="0" xfId="6" applyFont="1" applyFill="1" applyBorder="1" applyAlignment="1" applyProtection="1">
      <alignment wrapText="1"/>
      <protection hidden="1"/>
    </xf>
    <xf numFmtId="0" fontId="42" fillId="0" borderId="0" xfId="79" applyFont="1" applyAlignment="1">
      <alignment horizontal="right"/>
    </xf>
    <xf numFmtId="0" fontId="60" fillId="19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  <protection locked="0" hidden="1"/>
    </xf>
    <xf numFmtId="4" fontId="4" fillId="0" borderId="0" xfId="1" applyNumberFormat="1" applyFont="1" applyAlignment="1" applyProtection="1">
      <alignment horizontal="right"/>
      <protection hidden="1"/>
    </xf>
    <xf numFmtId="4" fontId="4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7" fillId="0" borderId="0" xfId="0" applyFont="1" applyProtection="1">
      <protection hidden="1"/>
    </xf>
    <xf numFmtId="0" fontId="48" fillId="0" borderId="0" xfId="6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7" fillId="0" borderId="17" xfId="0" applyFont="1" applyBorder="1" applyProtection="1">
      <protection hidden="1"/>
    </xf>
    <xf numFmtId="4" fontId="7" fillId="0" borderId="19" xfId="0" applyNumberFormat="1" applyFont="1" applyBorder="1" applyProtection="1">
      <protection hidden="1"/>
    </xf>
    <xf numFmtId="0" fontId="4" fillId="4" borderId="2" xfId="79" applyFill="1" applyBorder="1" applyAlignment="1" applyProtection="1">
      <alignment horizontal="center"/>
      <protection locked="0" hidden="1"/>
    </xf>
    <xf numFmtId="0" fontId="19" fillId="4" borderId="2" xfId="79" applyFont="1" applyFill="1" applyBorder="1" applyAlignment="1" applyProtection="1">
      <alignment horizontal="center"/>
      <protection locked="0" hidden="1"/>
    </xf>
    <xf numFmtId="0" fontId="66" fillId="0" borderId="39" xfId="4" applyFont="1" applyBorder="1" applyProtection="1">
      <protection locked="0"/>
    </xf>
    <xf numFmtId="0" fontId="83" fillId="0" borderId="0" xfId="6" applyNumberFormat="1" applyFont="1" applyFill="1" applyAlignment="1" applyProtection="1"/>
    <xf numFmtId="49" fontId="46" fillId="0" borderId="0" xfId="47" applyNumberFormat="1" applyFont="1" applyAlignment="1">
      <alignment horizontal="left" vertical="top" wrapText="1"/>
    </xf>
    <xf numFmtId="49" fontId="46" fillId="0" borderId="0" xfId="47" applyNumberFormat="1" applyFont="1" applyAlignment="1">
      <alignment vertical="top" wrapText="1"/>
    </xf>
    <xf numFmtId="49" fontId="51" fillId="0" borderId="0" xfId="47" applyNumberFormat="1" applyFont="1" applyAlignment="1">
      <alignment horizontal="left"/>
    </xf>
    <xf numFmtId="49" fontId="51" fillId="0" borderId="0" xfId="47" applyNumberFormat="1" applyFont="1"/>
    <xf numFmtId="0" fontId="18" fillId="0" borderId="0" xfId="79" applyFont="1" applyAlignment="1">
      <alignment horizontal="left"/>
    </xf>
    <xf numFmtId="0" fontId="4" fillId="0" borderId="0" xfId="79" applyAlignment="1" applyProtection="1">
      <alignment horizontal="left" vertical="center"/>
      <protection hidden="1"/>
    </xf>
    <xf numFmtId="0" fontId="18" fillId="0" borderId="0" xfId="79" applyFont="1" applyAlignment="1" applyProtection="1">
      <alignment horizontal="left"/>
      <protection hidden="1"/>
    </xf>
    <xf numFmtId="0" fontId="18" fillId="0" borderId="0" xfId="79" applyFont="1" applyAlignment="1">
      <alignment horizontal="left" vertical="center"/>
    </xf>
    <xf numFmtId="0" fontId="32" fillId="0" borderId="0" xfId="0" applyFont="1"/>
    <xf numFmtId="0" fontId="81" fillId="0" borderId="0" xfId="0" applyFont="1" applyAlignment="1">
      <alignment horizontal="left" vertical="top" indent="1"/>
    </xf>
    <xf numFmtId="0" fontId="4" fillId="0" borderId="0" xfId="79" applyAlignment="1">
      <alignment horizontal="left" indent="1"/>
    </xf>
    <xf numFmtId="0" fontId="18" fillId="0" borderId="0" xfId="79" applyFont="1" applyAlignment="1">
      <alignment horizontal="center" vertical="center"/>
    </xf>
    <xf numFmtId="0" fontId="82" fillId="0" borderId="0" xfId="0" applyFont="1"/>
    <xf numFmtId="0" fontId="32" fillId="0" borderId="0" xfId="0" applyFont="1" applyAlignment="1">
      <alignment vertical="top"/>
    </xf>
    <xf numFmtId="0" fontId="84" fillId="0" borderId="0" xfId="4" applyFont="1"/>
    <xf numFmtId="0" fontId="64" fillId="0" borderId="0" xfId="0" applyFont="1" applyAlignment="1">
      <alignment horizontal="left" vertical="center" indent="1"/>
    </xf>
    <xf numFmtId="0" fontId="7" fillId="0" borderId="0" xfId="0" applyFont="1" applyAlignment="1">
      <alignment horizontal="center"/>
    </xf>
    <xf numFmtId="0" fontId="32" fillId="0" borderId="0" xfId="0" applyFont="1" applyAlignment="1">
      <alignment vertical="center"/>
    </xf>
    <xf numFmtId="0" fontId="64" fillId="0" borderId="0" xfId="0" applyFont="1"/>
    <xf numFmtId="0" fontId="85" fillId="0" borderId="0" xfId="0" applyFont="1"/>
    <xf numFmtId="0" fontId="3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3" fillId="0" borderId="0" xfId="6" applyFont="1" applyFill="1" applyAlignment="1" applyProtection="1"/>
    <xf numFmtId="0" fontId="83" fillId="0" borderId="0" xfId="6" applyFont="1" applyFill="1" applyAlignment="1" applyProtection="1">
      <alignment horizontal="left"/>
    </xf>
    <xf numFmtId="0" fontId="86" fillId="19" borderId="0" xfId="6" applyFont="1" applyFill="1" applyBorder="1" applyAlignment="1" applyProtection="1">
      <alignment horizontal="center"/>
      <protection locked="0" hidden="1"/>
    </xf>
    <xf numFmtId="0" fontId="86" fillId="21" borderId="0" xfId="6" applyFont="1" applyFill="1" applyBorder="1" applyAlignment="1" applyProtection="1">
      <alignment horizontal="center"/>
      <protection locked="0" hidden="1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6" fillId="21" borderId="6" xfId="6" applyFont="1" applyFill="1" applyBorder="1" applyAlignment="1" applyProtection="1">
      <alignment horizontal="center"/>
      <protection hidden="1"/>
    </xf>
    <xf numFmtId="0" fontId="86" fillId="21" borderId="0" xfId="6" applyFont="1" applyFill="1" applyBorder="1" applyAlignment="1" applyProtection="1">
      <alignment horizontal="center"/>
      <protection hidden="1"/>
    </xf>
    <xf numFmtId="0" fontId="86" fillId="16" borderId="0" xfId="6" applyFont="1" applyFill="1" applyBorder="1" applyAlignment="1" applyProtection="1">
      <alignment horizontal="center" vertical="center"/>
      <protection locked="0" hidden="1"/>
    </xf>
    <xf numFmtId="0" fontId="70" fillId="16" borderId="0" xfId="4" applyFont="1" applyFill="1" applyAlignment="1">
      <alignment horizontal="center"/>
    </xf>
    <xf numFmtId="49" fontId="87" fillId="0" borderId="0" xfId="100" applyNumberFormat="1"/>
    <xf numFmtId="0" fontId="87" fillId="0" borderId="0" xfId="100"/>
    <xf numFmtId="169" fontId="87" fillId="0" borderId="0" xfId="100" applyNumberFormat="1"/>
    <xf numFmtId="170" fontId="87" fillId="0" borderId="0" xfId="100" applyNumberFormat="1"/>
    <xf numFmtId="0" fontId="32" fillId="0" borderId="0" xfId="101"/>
    <xf numFmtId="49" fontId="32" fillId="0" borderId="0" xfId="103" applyNumberFormat="1"/>
    <xf numFmtId="0" fontId="32" fillId="0" borderId="0" xfId="113"/>
    <xf numFmtId="49" fontId="32" fillId="0" borderId="0" xfId="123" applyNumberFormat="1"/>
    <xf numFmtId="0" fontId="88" fillId="0" borderId="0" xfId="79" applyFont="1" applyAlignment="1">
      <alignment horizontal="center"/>
    </xf>
    <xf numFmtId="0" fontId="30" fillId="0" borderId="0" xfId="79" applyFont="1" applyAlignment="1" applyProtection="1">
      <alignment horizontal="left" vertical="center" indent="1"/>
      <protection hidden="1"/>
    </xf>
    <xf numFmtId="0" fontId="4" fillId="0" borderId="0" xfId="79" applyAlignment="1" applyProtection="1">
      <alignment horizontal="left" vertical="center" indent="1"/>
      <protection hidden="1"/>
    </xf>
    <xf numFmtId="0" fontId="9" fillId="0" borderId="0" xfId="79" applyFont="1" applyAlignment="1" applyProtection="1">
      <alignment horizontal="center" vertical="center" wrapText="1"/>
      <protection hidden="1"/>
    </xf>
    <xf numFmtId="0" fontId="9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20" fillId="0" borderId="0" xfId="79" applyFont="1" applyAlignment="1" applyProtection="1">
      <alignment horizontal="left" vertical="center" indent="1"/>
      <protection hidden="1"/>
    </xf>
    <xf numFmtId="0" fontId="21" fillId="0" borderId="0" xfId="79" applyFont="1" applyAlignment="1" applyProtection="1">
      <alignment horizontal="left" vertical="center" indent="1"/>
      <protection hidden="1"/>
    </xf>
    <xf numFmtId="0" fontId="32" fillId="0" borderId="0" xfId="0" applyFont="1" applyProtection="1">
      <protection hidden="1"/>
    </xf>
    <xf numFmtId="0" fontId="10" fillId="2" borderId="0" xfId="79" applyFont="1" applyFill="1" applyAlignment="1" applyProtection="1">
      <alignment horizontal="left" vertical="center" indent="1"/>
      <protection hidden="1"/>
    </xf>
    <xf numFmtId="0" fontId="8" fillId="0" borderId="0" xfId="79" applyFont="1" applyAlignment="1" applyProtection="1">
      <alignment horizontal="left" vertical="center" wrapText="1" indent="1"/>
      <protection hidden="1"/>
    </xf>
    <xf numFmtId="0" fontId="8" fillId="9" borderId="0" xfId="79" applyFont="1" applyFill="1" applyAlignment="1" applyProtection="1">
      <alignment horizontal="left" vertical="center" indent="1"/>
      <protection hidden="1"/>
    </xf>
    <xf numFmtId="0" fontId="78" fillId="0" borderId="0" xfId="6" applyFont="1" applyAlignment="1" applyProtection="1">
      <alignment horizontal="left" indent="1"/>
      <protection hidden="1"/>
    </xf>
    <xf numFmtId="0" fontId="11" fillId="0" borderId="0" xfId="79" applyFont="1" applyAlignment="1" applyProtection="1">
      <alignment horizontal="left" vertical="center"/>
      <protection hidden="1"/>
    </xf>
    <xf numFmtId="0" fontId="57" fillId="0" borderId="0" xfId="79" applyFont="1" applyProtection="1">
      <protection hidden="1"/>
    </xf>
    <xf numFmtId="166" fontId="4" fillId="0" borderId="0" xfId="79" applyNumberFormat="1" applyAlignment="1" applyProtection="1">
      <alignment horizontal="center" vertical="center"/>
      <protection hidden="1"/>
    </xf>
    <xf numFmtId="0" fontId="41" fillId="0" borderId="0" xfId="79" applyFont="1" applyAlignment="1" applyProtection="1">
      <alignment horizontal="left" vertical="center"/>
      <protection hidden="1"/>
    </xf>
    <xf numFmtId="0" fontId="40" fillId="0" borderId="0" xfId="79" applyFont="1" applyAlignment="1" applyProtection="1">
      <alignment horizontal="center"/>
      <protection hidden="1"/>
    </xf>
    <xf numFmtId="167" fontId="4" fillId="0" borderId="0" xfId="79" applyNumberFormat="1" applyAlignment="1" applyProtection="1">
      <alignment horizontal="center"/>
      <protection hidden="1"/>
    </xf>
    <xf numFmtId="0" fontId="89" fillId="0" borderId="0" xfId="79" applyFont="1" applyAlignment="1" applyProtection="1">
      <alignment horizontal="left" vertical="center"/>
      <protection hidden="1"/>
    </xf>
    <xf numFmtId="0" fontId="16" fillId="0" borderId="0" xfId="79" applyFont="1" applyAlignment="1" applyProtection="1">
      <alignment horizontal="center"/>
      <protection hidden="1"/>
    </xf>
    <xf numFmtId="0" fontId="19" fillId="0" borderId="0" xfId="79" applyFont="1" applyAlignment="1" applyProtection="1">
      <alignment horizontal="center"/>
      <protection hidden="1"/>
    </xf>
    <xf numFmtId="0" fontId="22" fillId="0" borderId="0" xfId="79" applyFont="1" applyAlignment="1" applyProtection="1">
      <alignment horizontal="left"/>
      <protection hidden="1"/>
    </xf>
    <xf numFmtId="4" fontId="4" fillId="9" borderId="0" xfId="79" applyNumberFormat="1" applyFill="1" applyAlignment="1" applyProtection="1">
      <alignment horizontal="right"/>
      <protection hidden="1"/>
    </xf>
    <xf numFmtId="0" fontId="8" fillId="0" borderId="0" xfId="79" applyFont="1" applyAlignment="1" applyProtection="1">
      <alignment horizontal="right" vertical="center" indent="1"/>
      <protection hidden="1"/>
    </xf>
    <xf numFmtId="0" fontId="4" fillId="0" borderId="0" xfId="79" applyAlignment="1" applyProtection="1">
      <alignment horizontal="center" vertical="center"/>
      <protection locked="0" hidden="1"/>
    </xf>
    <xf numFmtId="0" fontId="32" fillId="0" borderId="0" xfId="135"/>
    <xf numFmtId="49" fontId="32" fillId="0" borderId="0" xfId="137" applyNumberFormat="1"/>
    <xf numFmtId="0" fontId="17" fillId="0" borderId="0" xfId="79" applyFont="1" applyProtection="1">
      <protection hidden="1"/>
    </xf>
    <xf numFmtId="4" fontId="14" fillId="0" borderId="0" xfId="7" applyNumberFormat="1" applyFont="1" applyAlignment="1" applyProtection="1">
      <alignment horizontal="right"/>
      <protection hidden="1"/>
    </xf>
    <xf numFmtId="0" fontId="16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right"/>
      <protection hidden="1"/>
    </xf>
    <xf numFmtId="0" fontId="19" fillId="9" borderId="0" xfId="79" applyFont="1" applyFill="1" applyProtection="1">
      <protection hidden="1"/>
    </xf>
    <xf numFmtId="0" fontId="4" fillId="9" borderId="0" xfId="79" applyFill="1" applyProtection="1">
      <protection hidden="1"/>
    </xf>
    <xf numFmtId="0" fontId="24" fillId="9" borderId="0" xfId="79" applyFont="1" applyFill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42" fillId="0" borderId="0" xfId="79" applyFont="1" applyProtection="1"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3" fontId="4" fillId="3" borderId="1" xfId="79" applyNumberFormat="1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 hidden="1"/>
    </xf>
    <xf numFmtId="0" fontId="4" fillId="4" borderId="2" xfId="79" applyFill="1" applyBorder="1" applyAlignment="1" applyProtection="1">
      <alignment horizontal="center" vertical="center"/>
      <protection locked="0" hidden="1"/>
    </xf>
    <xf numFmtId="0" fontId="4" fillId="9" borderId="2" xfId="79" applyFill="1" applyBorder="1" applyAlignment="1" applyProtection="1">
      <alignment horizontal="center" vertical="center"/>
      <protection locked="0" hidden="1"/>
    </xf>
    <xf numFmtId="0" fontId="19" fillId="0" borderId="0" xfId="79" applyFont="1" applyAlignment="1" applyProtection="1">
      <alignment horizontal="left" vertical="top" wrapText="1"/>
      <protection hidden="1"/>
    </xf>
    <xf numFmtId="167" fontId="4" fillId="0" borderId="0" xfId="79" applyNumberFormat="1" applyProtection="1">
      <protection hidden="1"/>
    </xf>
    <xf numFmtId="0" fontId="4" fillId="8" borderId="0" xfId="79" applyFill="1" applyAlignment="1" applyProtection="1">
      <alignment horizontal="center"/>
      <protection hidden="1"/>
    </xf>
    <xf numFmtId="0" fontId="4" fillId="8" borderId="0" xfId="79" applyFill="1" applyProtection="1">
      <protection hidden="1"/>
    </xf>
    <xf numFmtId="166" fontId="4" fillId="0" borderId="0" xfId="79" applyNumberFormat="1" applyAlignment="1" applyProtection="1">
      <alignment horizontal="center"/>
      <protection hidden="1"/>
    </xf>
    <xf numFmtId="0" fontId="4" fillId="0" borderId="0" xfId="79" applyAlignment="1" applyProtection="1">
      <alignment wrapText="1"/>
      <protection hidden="1"/>
    </xf>
    <xf numFmtId="0" fontId="4" fillId="0" borderId="0" xfId="79" quotePrefix="1" applyProtection="1">
      <protection hidden="1"/>
    </xf>
    <xf numFmtId="3" fontId="4" fillId="0" borderId="0" xfId="79" applyNumberFormat="1" applyProtection="1">
      <protection hidden="1"/>
    </xf>
    <xf numFmtId="0" fontId="42" fillId="0" borderId="0" xfId="79" applyFont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11" fillId="0" borderId="0" xfId="79" applyFont="1" applyAlignment="1">
      <alignment horizontal="center" vertical="center"/>
    </xf>
    <xf numFmtId="0" fontId="19" fillId="10" borderId="0" xfId="79" applyFont="1" applyFill="1" applyAlignment="1">
      <alignment vertical="top" wrapText="1"/>
    </xf>
    <xf numFmtId="0" fontId="14" fillId="0" borderId="0" xfId="0" applyFont="1" applyAlignment="1">
      <alignment horizontal="left" vertical="center"/>
    </xf>
    <xf numFmtId="4" fontId="4" fillId="0" borderId="0" xfId="2" applyNumberFormat="1" applyFont="1" applyAlignment="1" applyProtection="1">
      <alignment horizontal="right" vertical="center"/>
      <protection hidden="1"/>
    </xf>
    <xf numFmtId="4" fontId="2" fillId="0" borderId="0" xfId="7" applyNumberFormat="1" applyBorder="1" applyAlignment="1" applyProtection="1">
      <alignment horizontal="right"/>
      <protection hidden="1"/>
    </xf>
    <xf numFmtId="0" fontId="12" fillId="0" borderId="0" xfId="79" applyFont="1" applyAlignment="1">
      <alignment vertical="center"/>
    </xf>
    <xf numFmtId="0" fontId="93" fillId="0" borderId="0" xfId="79" applyFon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>
      <alignment horizontal="left" vertical="center" wrapText="1" indent="1"/>
    </xf>
    <xf numFmtId="4" fontId="14" fillId="0" borderId="0" xfId="7" applyNumberFormat="1" applyFont="1" applyBorder="1" applyAlignment="1" applyProtection="1">
      <alignment horizontal="right" vertical="center"/>
      <protection hidden="1"/>
    </xf>
    <xf numFmtId="0" fontId="35" fillId="0" borderId="0" xfId="0" applyFont="1" applyAlignment="1">
      <alignment horizontal="center" vertical="center"/>
    </xf>
    <xf numFmtId="0" fontId="19" fillId="0" borderId="0" xfId="79" applyFont="1" applyAlignment="1">
      <alignment horizontal="left" vertical="center"/>
    </xf>
    <xf numFmtId="0" fontId="8" fillId="0" borderId="0" xfId="79" applyFont="1" applyAlignment="1">
      <alignment horizontal="right" vertical="center" wrapText="1" indent="1"/>
    </xf>
    <xf numFmtId="0" fontId="42" fillId="0" borderId="0" xfId="79" applyFont="1" applyAlignment="1">
      <alignment horizontal="left" vertical="center"/>
    </xf>
    <xf numFmtId="0" fontId="20" fillId="0" borderId="0" xfId="79" applyFont="1" applyAlignment="1">
      <alignment horizontal="left" vertical="center"/>
    </xf>
    <xf numFmtId="167" fontId="42" fillId="0" borderId="0" xfId="79" applyNumberFormat="1" applyFont="1" applyAlignment="1" applyProtection="1">
      <alignment horizontal="left" vertical="center"/>
      <protection hidden="1"/>
    </xf>
    <xf numFmtId="3" fontId="4" fillId="0" borderId="43" xfId="79" applyNumberFormat="1" applyBorder="1" applyAlignment="1" applyProtection="1">
      <alignment horizontal="center" vertical="center"/>
      <protection hidden="1"/>
    </xf>
    <xf numFmtId="3" fontId="4" fillId="0" borderId="44" xfId="79" applyNumberFormat="1" applyBorder="1" applyAlignment="1" applyProtection="1">
      <alignment horizontal="center" vertical="center"/>
      <protection hidden="1"/>
    </xf>
    <xf numFmtId="167" fontId="4" fillId="0" borderId="13" xfId="79" applyNumberFormat="1" applyBorder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right" vertical="center" wrapText="1" indent="1"/>
      <protection hidden="1"/>
    </xf>
    <xf numFmtId="3" fontId="4" fillId="9" borderId="0" xfId="79" applyNumberFormat="1" applyFill="1" applyAlignment="1" applyProtection="1">
      <alignment horizontal="center" vertical="center"/>
      <protection hidden="1"/>
    </xf>
    <xf numFmtId="167" fontId="4" fillId="0" borderId="0" xfId="79" applyNumberFormat="1" applyAlignment="1" applyProtection="1">
      <alignment horizontal="right" vertical="center" wrapText="1"/>
      <protection hidden="1"/>
    </xf>
    <xf numFmtId="167" fontId="4" fillId="0" borderId="45" xfId="79" applyNumberFormat="1" applyBorder="1" applyAlignment="1" applyProtection="1">
      <alignment horizontal="center" vertical="center"/>
      <protection hidden="1"/>
    </xf>
    <xf numFmtId="167" fontId="4" fillId="10" borderId="9" xfId="79" applyNumberFormat="1" applyFill="1" applyBorder="1" applyAlignment="1" applyProtection="1">
      <alignment horizontal="center" vertical="center"/>
      <protection hidden="1"/>
    </xf>
    <xf numFmtId="167" fontId="4" fillId="0" borderId="46" xfId="79" applyNumberFormat="1" applyBorder="1" applyAlignment="1" applyProtection="1">
      <alignment horizontal="center" vertical="center"/>
      <protection hidden="1"/>
    </xf>
    <xf numFmtId="3" fontId="4" fillId="0" borderId="11" xfId="79" applyNumberFormat="1" applyBorder="1" applyAlignment="1" applyProtection="1">
      <alignment horizontal="center" vertical="center"/>
      <protection hidden="1"/>
    </xf>
    <xf numFmtId="167" fontId="4" fillId="0" borderId="14" xfId="79" applyNumberFormat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right" vertical="center" wrapText="1"/>
      <protection hidden="1"/>
    </xf>
    <xf numFmtId="167" fontId="4" fillId="10" borderId="13" xfId="79" applyNumberFormat="1" applyFill="1" applyBorder="1" applyAlignment="1" applyProtection="1">
      <alignment horizontal="center" vertical="center"/>
      <protection hidden="1"/>
    </xf>
    <xf numFmtId="0" fontId="4" fillId="0" borderId="0" xfId="79" applyAlignment="1">
      <alignment horizontal="right" vertical="center" wrapText="1"/>
    </xf>
    <xf numFmtId="167" fontId="4" fillId="0" borderId="0" xfId="79" applyNumberFormat="1" applyAlignment="1">
      <alignment horizontal="right" vertical="center" wrapText="1"/>
    </xf>
    <xf numFmtId="166" fontId="4" fillId="0" borderId="0" xfId="79" applyNumberFormat="1" applyAlignment="1">
      <alignment horizontal="right" vertical="center" wrapText="1"/>
    </xf>
    <xf numFmtId="3" fontId="4" fillId="0" borderId="47" xfId="79" applyNumberFormat="1" applyBorder="1" applyAlignment="1" applyProtection="1">
      <alignment horizontal="center" vertical="center"/>
      <protection hidden="1"/>
    </xf>
    <xf numFmtId="0" fontId="10" fillId="0" borderId="48" xfId="79" applyFont="1" applyBorder="1" applyAlignment="1">
      <alignment horizontal="left" vertical="center" indent="1"/>
    </xf>
    <xf numFmtId="0" fontId="77" fillId="0" borderId="0" xfId="6" applyFont="1" applyFill="1" applyBorder="1" applyAlignment="1" applyProtection="1">
      <alignment vertical="center"/>
      <protection locked="0" hidden="1"/>
    </xf>
    <xf numFmtId="0" fontId="19" fillId="0" borderId="0" xfId="79" applyFont="1" applyAlignment="1">
      <alignment vertical="top"/>
    </xf>
    <xf numFmtId="0" fontId="20" fillId="0" borderId="0" xfId="79" applyFont="1" applyAlignment="1">
      <alignment horizontal="right" vertical="center"/>
    </xf>
    <xf numFmtId="0" fontId="10" fillId="0" borderId="0" xfId="79" applyFont="1" applyAlignment="1">
      <alignment horizontal="right" vertical="center" indent="1"/>
    </xf>
    <xf numFmtId="0" fontId="20" fillId="0" borderId="0" xfId="79" applyFont="1" applyAlignment="1">
      <alignment horizontal="right" vertical="center" indent="1"/>
    </xf>
    <xf numFmtId="0" fontId="20" fillId="0" borderId="0" xfId="79" applyFont="1" applyAlignment="1" applyProtection="1">
      <alignment horizontal="center" vertical="center"/>
      <protection hidden="1"/>
    </xf>
    <xf numFmtId="3" fontId="4" fillId="0" borderId="2" xfId="79" applyNumberFormat="1" applyBorder="1" applyAlignment="1">
      <alignment horizontal="center"/>
    </xf>
    <xf numFmtId="0" fontId="86" fillId="19" borderId="0" xfId="6" applyNumberFormat="1" applyFont="1" applyFill="1" applyBorder="1" applyAlignment="1" applyProtection="1">
      <alignment horizontal="center"/>
      <protection locked="0" hidden="1"/>
    </xf>
    <xf numFmtId="0" fontId="86" fillId="19" borderId="0" xfId="6" applyFont="1" applyFill="1" applyBorder="1" applyAlignment="1" applyProtection="1">
      <alignment horizontal="center" vertical="center"/>
      <protection locked="0"/>
    </xf>
    <xf numFmtId="0" fontId="86" fillId="19" borderId="0" xfId="6" applyFont="1" applyFill="1" applyBorder="1" applyAlignment="1" applyProtection="1">
      <alignment horizontal="center" vertical="center"/>
      <protection locked="0" hidden="1"/>
    </xf>
    <xf numFmtId="0" fontId="86" fillId="20" borderId="0" xfId="6" applyFont="1" applyFill="1" applyBorder="1" applyAlignment="1" applyProtection="1">
      <alignment horizontal="center" vertic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 hidden="1"/>
    </xf>
    <xf numFmtId="0" fontId="86" fillId="17" borderId="0" xfId="6" applyFont="1" applyFill="1" applyBorder="1" applyAlignment="1" applyProtection="1">
      <alignment horizontal="center"/>
      <protection hidden="1"/>
    </xf>
    <xf numFmtId="0" fontId="49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3" fillId="6" borderId="49" xfId="6" applyFont="1" applyFill="1" applyBorder="1" applyAlignment="1" applyProtection="1">
      <alignment horizontal="left" vertical="center" indent="1"/>
      <protection locked="0" hidden="1"/>
    </xf>
    <xf numFmtId="0" fontId="95" fillId="6" borderId="50" xfId="6" applyFont="1" applyFill="1" applyBorder="1" applyAlignment="1" applyProtection="1">
      <alignment horizontal="left" vertical="center" indent="1"/>
      <protection hidden="1"/>
    </xf>
    <xf numFmtId="0" fontId="8" fillId="0" borderId="0" xfId="79" applyFont="1" applyAlignment="1">
      <alignment horizontal="right" vertical="center" wrapText="1"/>
    </xf>
    <xf numFmtId="0" fontId="32" fillId="0" borderId="0" xfId="100" applyFont="1"/>
    <xf numFmtId="3" fontId="4" fillId="22" borderId="51" xfId="0" applyNumberFormat="1" applyFont="1" applyFill="1" applyBorder="1" applyAlignment="1" applyProtection="1">
      <alignment horizontal="center" vertical="center"/>
      <protection locked="0"/>
    </xf>
    <xf numFmtId="3" fontId="4" fillId="22" borderId="52" xfId="0" applyNumberFormat="1" applyFont="1" applyFill="1" applyBorder="1" applyAlignment="1" applyProtection="1">
      <alignment horizontal="center" vertical="center"/>
      <protection locked="0"/>
    </xf>
    <xf numFmtId="0" fontId="4" fillId="22" borderId="52" xfId="0" applyFont="1" applyFill="1" applyBorder="1" applyAlignment="1" applyProtection="1">
      <alignment horizontal="center" vertical="center"/>
      <protection locked="0"/>
    </xf>
    <xf numFmtId="0" fontId="4" fillId="4" borderId="14" xfId="79" applyFill="1" applyBorder="1" applyAlignment="1" applyProtection="1">
      <alignment horizontal="center"/>
      <protection locked="0"/>
    </xf>
    <xf numFmtId="0" fontId="4" fillId="10" borderId="0" xfId="79" applyFill="1" applyAlignment="1" applyProtection="1">
      <alignment horizontal="center"/>
      <protection locked="0"/>
    </xf>
    <xf numFmtId="0" fontId="8" fillId="10" borderId="0" xfId="79" applyFont="1" applyFill="1" applyAlignment="1" applyProtection="1">
      <alignment horizontal="left" vertical="center" indent="1"/>
      <protection hidden="1"/>
    </xf>
    <xf numFmtId="1" fontId="17" fillId="10" borderId="0" xfId="79" applyNumberFormat="1" applyFont="1" applyFill="1" applyAlignment="1" applyProtection="1">
      <alignment horizontal="left" vertical="center"/>
      <protection hidden="1"/>
    </xf>
    <xf numFmtId="4" fontId="4" fillId="10" borderId="0" xfId="1" applyNumberFormat="1" applyFont="1" applyFill="1" applyAlignment="1" applyProtection="1">
      <alignment horizontal="right" vertical="center"/>
      <protection hidden="1"/>
    </xf>
    <xf numFmtId="4" fontId="14" fillId="10" borderId="0" xfId="7" applyNumberFormat="1" applyFont="1" applyFill="1" applyBorder="1" applyAlignment="1" applyProtection="1">
      <alignment horizontal="right"/>
      <protection hidden="1"/>
    </xf>
    <xf numFmtId="0" fontId="4" fillId="10" borderId="0" xfId="79" applyFill="1" applyAlignment="1">
      <alignment horizontal="center"/>
    </xf>
    <xf numFmtId="0" fontId="4" fillId="10" borderId="0" xfId="79" applyFill="1" applyAlignment="1" applyProtection="1">
      <alignment horizontal="center"/>
      <protection hidden="1"/>
    </xf>
    <xf numFmtId="4" fontId="4" fillId="10" borderId="0" xfId="79" applyNumberFormat="1" applyFill="1" applyAlignment="1" applyProtection="1">
      <alignment horizontal="right" vertical="center"/>
      <protection hidden="1"/>
    </xf>
    <xf numFmtId="0" fontId="3" fillId="11" borderId="0" xfId="4" applyFill="1"/>
    <xf numFmtId="0" fontId="3" fillId="11" borderId="0" xfId="4" applyFill="1" applyAlignment="1">
      <alignment horizontal="center"/>
    </xf>
    <xf numFmtId="0" fontId="3" fillId="11" borderId="2" xfId="4" applyFill="1" applyBorder="1"/>
    <xf numFmtId="0" fontId="1" fillId="11" borderId="0" xfId="5" applyFill="1"/>
    <xf numFmtId="0" fontId="3" fillId="11" borderId="2" xfId="4" applyFill="1" applyBorder="1" applyAlignment="1">
      <alignment horizontal="center"/>
    </xf>
    <xf numFmtId="0" fontId="1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3" fillId="23" borderId="0" xfId="4" applyFill="1"/>
    <xf numFmtId="0" fontId="3" fillId="23" borderId="2" xfId="4" applyFill="1" applyBorder="1"/>
    <xf numFmtId="0" fontId="3" fillId="23" borderId="0" xfId="4" applyFill="1" applyAlignment="1">
      <alignment horizontal="center"/>
    </xf>
    <xf numFmtId="0" fontId="3" fillId="23" borderId="2" xfId="4" applyFill="1" applyBorder="1" applyAlignment="1">
      <alignment horizontal="center"/>
    </xf>
    <xf numFmtId="0" fontId="3" fillId="12" borderId="2" xfId="4" applyFill="1" applyBorder="1"/>
    <xf numFmtId="0" fontId="3" fillId="12" borderId="0" xfId="4" applyFill="1"/>
    <xf numFmtId="0" fontId="3" fillId="12" borderId="0" xfId="4" applyFill="1" applyAlignment="1">
      <alignment horizontal="center"/>
    </xf>
    <xf numFmtId="0" fontId="3" fillId="24" borderId="2" xfId="4" applyFill="1" applyBorder="1"/>
    <xf numFmtId="0" fontId="1" fillId="24" borderId="2" xfId="4" applyFont="1" applyFill="1" applyBorder="1"/>
    <xf numFmtId="0" fontId="3" fillId="24" borderId="0" xfId="4" applyFill="1"/>
    <xf numFmtId="0" fontId="3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3" fillId="25" borderId="0" xfId="4" applyFill="1"/>
    <xf numFmtId="0" fontId="3" fillId="25" borderId="2" xfId="4" applyFill="1" applyBorder="1"/>
    <xf numFmtId="0" fontId="3" fillId="25" borderId="2" xfId="4" applyFill="1" applyBorder="1" applyAlignment="1">
      <alignment horizontal="center"/>
    </xf>
    <xf numFmtId="0" fontId="1" fillId="25" borderId="2" xfId="4" applyFont="1" applyFill="1" applyBorder="1"/>
    <xf numFmtId="1" fontId="4" fillId="10" borderId="0" xfId="79" applyNumberFormat="1" applyFill="1" applyAlignment="1" applyProtection="1">
      <alignment horizontal="center" vertical="center"/>
      <protection hidden="1"/>
    </xf>
    <xf numFmtId="0" fontId="1" fillId="11" borderId="0" xfId="4" applyFont="1" applyFill="1"/>
    <xf numFmtId="168" fontId="2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1" fillId="13" borderId="0" xfId="4" applyFont="1" applyFill="1"/>
    <xf numFmtId="0" fontId="3" fillId="13" borderId="0" xfId="4" applyFill="1"/>
    <xf numFmtId="0" fontId="1" fillId="0" borderId="2" xfId="4" applyFont="1" applyBorder="1" applyAlignment="1">
      <alignment horizontal="center"/>
    </xf>
    <xf numFmtId="0" fontId="4" fillId="10" borderId="0" xfId="79" applyFill="1" applyAlignment="1" applyProtection="1">
      <alignment horizontal="center" vertical="center"/>
      <protection hidden="1"/>
    </xf>
    <xf numFmtId="0" fontId="4" fillId="4" borderId="14" xfId="79" applyFill="1" applyBorder="1" applyAlignment="1" applyProtection="1">
      <alignment horizontal="center" vertical="center"/>
      <protection locked="0" hidden="1"/>
    </xf>
    <xf numFmtId="0" fontId="4" fillId="10" borderId="0" xfId="79" applyFill="1" applyAlignment="1" applyProtection="1">
      <alignment horizontal="center" vertical="center"/>
      <protection locked="0" hidden="1"/>
    </xf>
    <xf numFmtId="0" fontId="4" fillId="9" borderId="14" xfId="79" applyFill="1" applyBorder="1" applyAlignment="1" applyProtection="1">
      <alignment horizontal="center" vertical="center"/>
      <protection locked="0" hidden="1"/>
    </xf>
    <xf numFmtId="0" fontId="35" fillId="10" borderId="0" xfId="0" applyFont="1" applyFill="1" applyAlignment="1" applyProtection="1">
      <alignment horizontal="center"/>
      <protection hidden="1"/>
    </xf>
    <xf numFmtId="0" fontId="48" fillId="17" borderId="0" xfId="6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 vertical="center" indent="1"/>
    </xf>
    <xf numFmtId="0" fontId="59" fillId="17" borderId="40" xfId="6" applyFont="1" applyFill="1" applyBorder="1" applyAlignment="1" applyProtection="1">
      <alignment horizontal="left" vertical="center" wrapText="1"/>
      <protection locked="0" hidden="1"/>
    </xf>
    <xf numFmtId="0" fontId="59" fillId="17" borderId="41" xfId="6" applyFont="1" applyFill="1" applyBorder="1" applyAlignment="1" applyProtection="1">
      <alignment horizontal="left" vertical="center" wrapText="1"/>
      <protection locked="0" hidden="1"/>
    </xf>
    <xf numFmtId="0" fontId="59" fillId="17" borderId="42" xfId="6" applyFont="1" applyFill="1" applyBorder="1" applyAlignment="1" applyProtection="1">
      <alignment horizontal="left" vertical="center" wrapText="1"/>
      <protection locked="0" hidden="1"/>
    </xf>
    <xf numFmtId="0" fontId="53" fillId="7" borderId="37" xfId="6" applyFont="1" applyFill="1" applyBorder="1" applyAlignment="1" applyProtection="1">
      <alignment horizontal="center" vertical="center"/>
      <protection locked="0" hidden="1"/>
    </xf>
    <xf numFmtId="0" fontId="53" fillId="7" borderId="18" xfId="6" applyFont="1" applyFill="1" applyBorder="1" applyAlignment="1" applyProtection="1">
      <alignment horizontal="center" vertical="center"/>
      <protection locked="0" hidden="1"/>
    </xf>
    <xf numFmtId="0" fontId="53" fillId="7" borderId="24" xfId="6" applyFont="1" applyFill="1" applyBorder="1" applyAlignment="1" applyProtection="1">
      <alignment horizontal="center" vertical="center"/>
      <protection locked="0" hidden="1"/>
    </xf>
    <xf numFmtId="0" fontId="43" fillId="0" borderId="0" xfId="6" applyFont="1" applyBorder="1" applyAlignment="1" applyProtection="1">
      <alignment horizontal="left" vertical="top"/>
      <protection locked="0" hidden="1"/>
    </xf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74" fillId="21" borderId="6" xfId="3" applyFont="1" applyFill="1" applyBorder="1" applyAlignment="1" applyProtection="1">
      <alignment horizontal="center" wrapText="1"/>
      <protection hidden="1"/>
    </xf>
    <xf numFmtId="0" fontId="74" fillId="21" borderId="0" xfId="3" applyFont="1" applyFill="1" applyAlignment="1" applyProtection="1">
      <alignment horizontal="center" wrapText="1"/>
      <protection hidden="1"/>
    </xf>
    <xf numFmtId="0" fontId="94" fillId="21" borderId="0" xfId="6" applyFont="1" applyFill="1" applyBorder="1" applyAlignment="1" applyProtection="1">
      <alignment horizontal="center" vertical="center"/>
      <protection hidden="1"/>
    </xf>
    <xf numFmtId="0" fontId="94" fillId="21" borderId="3" xfId="6" applyFont="1" applyFill="1" applyBorder="1" applyAlignment="1" applyProtection="1">
      <alignment horizontal="center" vertical="center"/>
      <protection hidden="1"/>
    </xf>
    <xf numFmtId="0" fontId="38" fillId="0" borderId="0" xfId="6" applyAlignment="1" applyProtection="1">
      <alignment horizontal="left"/>
      <protection locked="0" hidden="1"/>
    </xf>
    <xf numFmtId="0" fontId="86" fillId="21" borderId="0" xfId="6" applyFont="1" applyFill="1" applyBorder="1" applyAlignment="1" applyProtection="1">
      <alignment horizontal="center" vertical="center" wrapText="1"/>
      <protection hidden="1"/>
    </xf>
    <xf numFmtId="0" fontId="62" fillId="14" borderId="32" xfId="4" applyFont="1" applyFill="1" applyBorder="1" applyAlignment="1">
      <alignment horizontal="left" vertical="center" wrapText="1"/>
    </xf>
    <xf numFmtId="0" fontId="7" fillId="14" borderId="33" xfId="0" applyFont="1" applyFill="1" applyBorder="1" applyAlignment="1">
      <alignment horizontal="left" vertical="center" wrapText="1"/>
    </xf>
    <xf numFmtId="0" fontId="7" fillId="14" borderId="6" xfId="0" applyFont="1" applyFill="1" applyBorder="1" applyAlignment="1">
      <alignment horizontal="left" vertical="center" wrapText="1"/>
    </xf>
    <xf numFmtId="0" fontId="7" fillId="14" borderId="0" xfId="0" applyFont="1" applyFill="1" applyAlignment="1">
      <alignment horizontal="left" vertical="center" wrapText="1"/>
    </xf>
    <xf numFmtId="0" fontId="7" fillId="14" borderId="20" xfId="0" applyFont="1" applyFill="1" applyBorder="1" applyAlignment="1">
      <alignment horizontal="left" vertical="center" wrapText="1"/>
    </xf>
    <xf numFmtId="0" fontId="7" fillId="14" borderId="4" xfId="0" applyFont="1" applyFill="1" applyBorder="1" applyAlignment="1">
      <alignment horizontal="left" vertical="center" wrapText="1"/>
    </xf>
    <xf numFmtId="0" fontId="63" fillId="14" borderId="35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>
      <alignment horizontal="left"/>
    </xf>
    <xf numFmtId="0" fontId="2" fillId="0" borderId="36" xfId="0" applyFont="1" applyBorder="1" applyAlignment="1">
      <alignment horizontal="left"/>
    </xf>
    <xf numFmtId="0" fontId="64" fillId="15" borderId="21" xfId="0" applyFont="1" applyFill="1" applyBorder="1"/>
    <xf numFmtId="0" fontId="2" fillId="0" borderId="22" xfId="0" applyFont="1" applyBorder="1"/>
    <xf numFmtId="0" fontId="64" fillId="0" borderId="17" xfId="0" applyFont="1" applyBorder="1" applyAlignment="1" applyProtection="1">
      <alignment horizontal="center"/>
      <protection locked="0" hidden="1"/>
    </xf>
    <xf numFmtId="0" fontId="2" fillId="0" borderId="23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86" fillId="20" borderId="0" xfId="6" applyNumberFormat="1" applyFont="1" applyFill="1" applyBorder="1" applyAlignment="1" applyProtection="1">
      <alignment horizontal="center"/>
      <protection hidden="1"/>
    </xf>
    <xf numFmtId="0" fontId="86" fillId="20" borderId="3" xfId="6" applyNumberFormat="1" applyFont="1" applyFill="1" applyBorder="1" applyAlignment="1" applyProtection="1">
      <alignment horizontal="center"/>
      <protection hidden="1"/>
    </xf>
    <xf numFmtId="0" fontId="79" fillId="0" borderId="37" xfId="4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59" fillId="19" borderId="25" xfId="6" applyFont="1" applyFill="1" applyBorder="1" applyAlignment="1" applyProtection="1">
      <alignment vertical="center" wrapText="1"/>
      <protection locked="0" hidden="1"/>
    </xf>
    <xf numFmtId="0" fontId="59" fillId="19" borderId="26" xfId="6" applyFont="1" applyFill="1" applyBorder="1" applyAlignment="1" applyProtection="1">
      <alignment vertical="center" wrapText="1"/>
      <protection locked="0" hidden="1"/>
    </xf>
    <xf numFmtId="0" fontId="59" fillId="19" borderId="27" xfId="6" applyFont="1" applyFill="1" applyBorder="1" applyAlignment="1" applyProtection="1">
      <alignment vertical="center" wrapText="1"/>
      <protection locked="0" hidden="1"/>
    </xf>
    <xf numFmtId="0" fontId="59" fillId="19" borderId="28" xfId="6" applyFont="1" applyFill="1" applyBorder="1" applyAlignment="1" applyProtection="1">
      <alignment vertical="center" wrapText="1"/>
      <protection locked="0" hidden="1"/>
    </xf>
    <xf numFmtId="0" fontId="59" fillId="18" borderId="25" xfId="6" applyFont="1" applyFill="1" applyBorder="1" applyAlignment="1" applyProtection="1">
      <alignment vertical="center" wrapText="1"/>
      <protection locked="0" hidden="1"/>
    </xf>
    <xf numFmtId="0" fontId="59" fillId="18" borderId="26" xfId="6" applyFont="1" applyFill="1" applyBorder="1" applyAlignment="1" applyProtection="1">
      <alignment vertical="center" wrapText="1"/>
      <protection locked="0" hidden="1"/>
    </xf>
    <xf numFmtId="0" fontId="59" fillId="18" borderId="27" xfId="6" applyFont="1" applyFill="1" applyBorder="1" applyAlignment="1" applyProtection="1">
      <alignment vertical="center" wrapText="1"/>
      <protection locked="0" hidden="1"/>
    </xf>
    <xf numFmtId="0" fontId="59" fillId="18" borderId="28" xfId="6" applyFont="1" applyFill="1" applyBorder="1" applyAlignment="1" applyProtection="1">
      <alignment vertical="center" wrapText="1"/>
      <protection locked="0" hidden="1"/>
    </xf>
    <xf numFmtId="0" fontId="64" fillId="15" borderId="21" xfId="0" applyFont="1" applyFill="1" applyBorder="1" applyProtection="1">
      <protection locked="0"/>
    </xf>
    <xf numFmtId="0" fontId="2" fillId="0" borderId="7" xfId="0" applyFont="1" applyBorder="1"/>
    <xf numFmtId="0" fontId="65" fillId="8" borderId="8" xfId="0" applyFont="1" applyFill="1" applyBorder="1" applyAlignment="1" applyProtection="1">
      <alignment horizontal="center"/>
      <protection locked="0"/>
    </xf>
    <xf numFmtId="0" fontId="2" fillId="8" borderId="24" xfId="0" applyFont="1" applyFill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left"/>
      <protection locked="0"/>
    </xf>
    <xf numFmtId="0" fontId="2" fillId="0" borderId="23" xfId="0" applyFont="1" applyBorder="1" applyAlignment="1" applyProtection="1">
      <alignment horizontal="left"/>
      <protection locked="0"/>
    </xf>
    <xf numFmtId="0" fontId="2" fillId="0" borderId="8" xfId="0" applyFont="1" applyBorder="1" applyAlignment="1" applyProtection="1">
      <alignment horizontal="left"/>
      <protection locked="0"/>
    </xf>
    <xf numFmtId="0" fontId="2" fillId="0" borderId="19" xfId="0" applyFont="1" applyBorder="1" applyAlignment="1" applyProtection="1">
      <alignment horizontal="left"/>
      <protection locked="0"/>
    </xf>
    <xf numFmtId="0" fontId="4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0" fontId="26" fillId="0" borderId="0" xfId="79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19" fillId="0" borderId="0" xfId="79" applyFont="1" applyAlignment="1" applyProtection="1">
      <alignment horizontal="left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/>
      <protection hidden="1"/>
    </xf>
    <xf numFmtId="0" fontId="96" fillId="0" borderId="0" xfId="79" applyFont="1" applyAlignment="1" applyProtection="1">
      <alignment horizontal="center" vertical="center" wrapText="1"/>
      <protection hidden="1"/>
    </xf>
    <xf numFmtId="0" fontId="4" fillId="0" borderId="0" xfId="79" applyAlignment="1">
      <alignment horizontal="center" wrapText="1"/>
    </xf>
    <xf numFmtId="0" fontId="42" fillId="0" borderId="0" xfId="79" applyFont="1" applyAlignment="1" applyProtection="1">
      <alignment horizont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92" fillId="0" borderId="0" xfId="79" applyFont="1" applyAlignment="1" applyProtection="1">
      <alignment horizontal="left" vertical="center"/>
      <protection hidden="1"/>
    </xf>
    <xf numFmtId="0" fontId="11" fillId="0" borderId="16" xfId="79" applyFont="1" applyBorder="1" applyAlignment="1" applyProtection="1">
      <alignment horizontal="center" vertical="center"/>
      <protection hidden="1"/>
    </xf>
    <xf numFmtId="0" fontId="4" fillId="8" borderId="11" xfId="79" applyFill="1" applyBorder="1" applyAlignment="1" applyProtection="1">
      <alignment horizontal="center"/>
      <protection locked="0" hidden="1"/>
    </xf>
    <xf numFmtId="0" fontId="4" fillId="8" borderId="22" xfId="79" applyFill="1" applyBorder="1" applyAlignment="1" applyProtection="1">
      <alignment horizontal="center"/>
      <protection locked="0" hidden="1"/>
    </xf>
    <xf numFmtId="0" fontId="4" fillId="8" borderId="7" xfId="79" applyFill="1" applyBorder="1" applyAlignment="1" applyProtection="1">
      <alignment horizontal="center"/>
      <protection locked="0" hidden="1"/>
    </xf>
    <xf numFmtId="0" fontId="19" fillId="10" borderId="0" xfId="79" applyFont="1" applyFill="1" applyAlignment="1" applyProtection="1">
      <alignment horizontal="center" vertical="top" wrapText="1"/>
      <protection hidden="1"/>
    </xf>
    <xf numFmtId="0" fontId="4" fillId="0" borderId="0" xfId="79" applyAlignment="1" applyProtection="1">
      <alignment horizontal="center" wrapText="1"/>
      <protection hidden="1"/>
    </xf>
    <xf numFmtId="0" fontId="42" fillId="0" borderId="0" xfId="79" applyFont="1" applyAlignment="1">
      <alignment horizontal="center"/>
    </xf>
    <xf numFmtId="0" fontId="19" fillId="10" borderId="0" xfId="79" applyFont="1" applyFill="1" applyAlignment="1">
      <alignment horizontal="center" vertical="top" wrapText="1"/>
    </xf>
    <xf numFmtId="0" fontId="26" fillId="0" borderId="0" xfId="79" applyFont="1" applyAlignment="1">
      <alignment horizontal="left" vertical="center"/>
    </xf>
    <xf numFmtId="0" fontId="0" fillId="0" borderId="0" xfId="0"/>
    <xf numFmtId="0" fontId="19" fillId="0" borderId="0" xfId="79" applyFont="1" applyAlignment="1">
      <alignment horizontal="left"/>
    </xf>
    <xf numFmtId="0" fontId="11" fillId="0" borderId="16" xfId="79" applyFont="1" applyBorder="1" applyAlignment="1">
      <alignment horizontal="center" vertical="center"/>
    </xf>
    <xf numFmtId="0" fontId="4" fillId="8" borderId="11" xfId="79" applyFill="1" applyBorder="1" applyAlignment="1" applyProtection="1">
      <alignment horizontal="center"/>
      <protection locked="0"/>
    </xf>
    <xf numFmtId="0" fontId="4" fillId="8" borderId="22" xfId="79" applyFill="1" applyBorder="1" applyAlignment="1" applyProtection="1">
      <alignment horizontal="center"/>
      <protection locked="0"/>
    </xf>
    <xf numFmtId="0" fontId="4" fillId="8" borderId="7" xfId="79" applyFill="1" applyBorder="1" applyAlignment="1" applyProtection="1">
      <alignment horizontal="center"/>
      <protection locked="0"/>
    </xf>
    <xf numFmtId="0" fontId="19" fillId="10" borderId="0" xfId="79" applyFont="1" applyFill="1" applyAlignment="1">
      <alignment horizontal="left" vertical="top" wrapText="1"/>
    </xf>
    <xf numFmtId="0" fontId="4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4" fillId="8" borderId="2" xfId="79" applyFill="1" applyBorder="1" applyAlignment="1" applyProtection="1">
      <alignment horizontal="center" vertical="center"/>
      <protection locked="0" hidden="1"/>
    </xf>
    <xf numFmtId="0" fontId="8" fillId="0" borderId="0" xfId="79" applyFont="1" applyAlignment="1">
      <alignment horizontal="left" vertical="center"/>
    </xf>
    <xf numFmtId="0" fontId="49" fillId="0" borderId="0" xfId="79" applyFont="1" applyAlignment="1">
      <alignment horizontal="center" vertical="center"/>
    </xf>
    <xf numFmtId="0" fontId="4" fillId="8" borderId="11" xfId="79" applyFill="1" applyBorder="1" applyAlignment="1" applyProtection="1">
      <alignment horizontal="center" vertical="center"/>
      <protection locked="0" hidden="1"/>
    </xf>
    <xf numFmtId="0" fontId="4" fillId="8" borderId="22" xfId="79" applyFill="1" applyBorder="1" applyAlignment="1" applyProtection="1">
      <alignment horizontal="center" vertical="center"/>
      <protection locked="0" hidden="1"/>
    </xf>
    <xf numFmtId="0" fontId="4" fillId="8" borderId="7" xfId="79" applyFill="1" applyBorder="1" applyAlignment="1" applyProtection="1">
      <alignment horizontal="center" vertical="center"/>
      <protection locked="0" hidden="1"/>
    </xf>
    <xf numFmtId="0" fontId="11" fillId="0" borderId="0" xfId="79" applyFont="1" applyAlignment="1">
      <alignment horizontal="center" vertical="center"/>
    </xf>
    <xf numFmtId="167" fontId="4" fillId="0" borderId="0" xfId="79" applyNumberFormat="1" applyAlignment="1" applyProtection="1">
      <alignment horizontal="right" vertical="center" wrapText="1"/>
      <protection hidden="1"/>
    </xf>
    <xf numFmtId="4" fontId="4" fillId="0" borderId="0" xfId="79" applyNumberFormat="1"/>
    <xf numFmtId="0" fontId="8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</cellXfs>
  <cellStyles count="149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3" xfId="9" xr:uid="{00000000-0005-0000-0000-000008000000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Normální" xfId="0" builtinId="0"/>
    <cellStyle name="normální 10" xfId="14" xr:uid="{00000000-0005-0000-0000-00000E000000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3" xfId="147" xr:uid="{00000000-0005-0000-0000-0000C1000000}"/>
    <cellStyle name="Normální 134" xfId="148" xr:uid="{00000000-0005-0000-0000-0000C2000000}"/>
    <cellStyle name="normální 14" xfId="18" xr:uid="{00000000-0005-0000-0000-000032000000}"/>
    <cellStyle name="normální 15" xfId="19" xr:uid="{00000000-0005-0000-0000-000033000000}"/>
    <cellStyle name="normální 16" xfId="20" xr:uid="{00000000-0005-0000-0000-000034000000}"/>
    <cellStyle name="normální 17" xfId="21" xr:uid="{00000000-0005-0000-0000-000035000000}"/>
    <cellStyle name="normální 18" xfId="22" xr:uid="{00000000-0005-0000-0000-000036000000}"/>
    <cellStyle name="normální 19" xfId="23" xr:uid="{00000000-0005-0000-0000-000037000000}"/>
    <cellStyle name="normální 2" xfId="24" xr:uid="{00000000-0005-0000-0000-000038000000}"/>
    <cellStyle name="normální 2 2" xfId="25" xr:uid="{00000000-0005-0000-0000-000039000000}"/>
    <cellStyle name="normální 20" xfId="26" xr:uid="{00000000-0005-0000-0000-00003A000000}"/>
    <cellStyle name="normální 21" xfId="27" xr:uid="{00000000-0005-0000-0000-00003B000000}"/>
    <cellStyle name="normální 22" xfId="28" xr:uid="{00000000-0005-0000-0000-00003C000000}"/>
    <cellStyle name="normální 23" xfId="29" xr:uid="{00000000-0005-0000-0000-00003D000000}"/>
    <cellStyle name="normální 24" xfId="30" xr:uid="{00000000-0005-0000-0000-00003E000000}"/>
    <cellStyle name="normální 25" xfId="31" xr:uid="{00000000-0005-0000-0000-00003F000000}"/>
    <cellStyle name="normální 26" xfId="32" xr:uid="{00000000-0005-0000-0000-000040000000}"/>
    <cellStyle name="normální 27" xfId="33" xr:uid="{00000000-0005-0000-0000-000041000000}"/>
    <cellStyle name="normální 28" xfId="34" xr:uid="{00000000-0005-0000-0000-000042000000}"/>
    <cellStyle name="normální 29" xfId="35" xr:uid="{00000000-0005-0000-0000-000043000000}"/>
    <cellStyle name="Normální 3" xfId="36" xr:uid="{00000000-0005-0000-0000-000044000000}"/>
    <cellStyle name="normální 30" xfId="37" xr:uid="{00000000-0005-0000-0000-000045000000}"/>
    <cellStyle name="normální 31" xfId="38" xr:uid="{00000000-0005-0000-0000-000046000000}"/>
    <cellStyle name="normální 32" xfId="39" xr:uid="{00000000-0005-0000-0000-000047000000}"/>
    <cellStyle name="normální 33" xfId="40" xr:uid="{00000000-0005-0000-0000-000048000000}"/>
    <cellStyle name="normální 34" xfId="41" xr:uid="{00000000-0005-0000-0000-000049000000}"/>
    <cellStyle name="Normální 35" xfId="42" xr:uid="{00000000-0005-0000-0000-00004A000000}"/>
    <cellStyle name="Normální 36" xfId="43" xr:uid="{00000000-0005-0000-0000-00004B000000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4" xfId="52" xr:uid="{00000000-0005-0000-0000-000054000000}"/>
    <cellStyle name="Normální 45" xfId="53" xr:uid="{00000000-0005-0000-0000-000055000000}"/>
    <cellStyle name="Normální 46" xfId="54" xr:uid="{00000000-0005-0000-0000-000056000000}"/>
    <cellStyle name="Normální 47" xfId="55" xr:uid="{00000000-0005-0000-0000-000057000000}"/>
    <cellStyle name="Normální 48" xfId="56" xr:uid="{00000000-0005-0000-0000-000058000000}"/>
    <cellStyle name="Normální 49" xfId="57" xr:uid="{00000000-0005-0000-0000-000059000000}"/>
    <cellStyle name="normální 5" xfId="58" xr:uid="{00000000-0005-0000-0000-00005A000000}"/>
    <cellStyle name="Normální 50" xfId="59" xr:uid="{00000000-0005-0000-0000-00005B000000}"/>
    <cellStyle name="Normální 51" xfId="60" xr:uid="{00000000-0005-0000-0000-00005C000000}"/>
    <cellStyle name="Normální 52" xfId="61" xr:uid="{00000000-0005-0000-0000-00005D000000}"/>
    <cellStyle name="Normální 53" xfId="62" xr:uid="{00000000-0005-0000-0000-00005E000000}"/>
    <cellStyle name="Normální 54" xfId="63" xr:uid="{00000000-0005-0000-0000-00005F000000}"/>
    <cellStyle name="Normální 55" xfId="64" xr:uid="{00000000-0005-0000-0000-000060000000}"/>
    <cellStyle name="Normální 56" xfId="65" xr:uid="{00000000-0005-0000-0000-000061000000}"/>
    <cellStyle name="Normální 57" xfId="66" xr:uid="{00000000-0005-0000-0000-000062000000}"/>
    <cellStyle name="Normální 58" xfId="67" xr:uid="{00000000-0005-0000-0000-000063000000}"/>
    <cellStyle name="Normální 59" xfId="68" xr:uid="{00000000-0005-0000-0000-000064000000}"/>
    <cellStyle name="normální 6" xfId="69" xr:uid="{00000000-0005-0000-0000-000065000000}"/>
    <cellStyle name="Normální 60" xfId="70" xr:uid="{00000000-0005-0000-0000-000066000000}"/>
    <cellStyle name="Normální 61" xfId="71" xr:uid="{00000000-0005-0000-0000-000067000000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7" xfId="81" xr:uid="{00000000-0005-0000-0000-00006D000000}"/>
    <cellStyle name="Normální 68" xfId="82" xr:uid="{00000000-0005-0000-0000-00006E000000}"/>
    <cellStyle name="Normální 69" xfId="83" xr:uid="{00000000-0005-0000-0000-00006F000000}"/>
    <cellStyle name="normální 7" xfId="76" xr:uid="{00000000-0005-0000-0000-000070000000}"/>
    <cellStyle name="Normální 70" xfId="84" xr:uid="{00000000-0005-0000-0000-000071000000}"/>
    <cellStyle name="Normální 71" xfId="85" xr:uid="{00000000-0005-0000-0000-000072000000}"/>
    <cellStyle name="Normální 72" xfId="86" xr:uid="{00000000-0005-0000-0000-000073000000}"/>
    <cellStyle name="Normální 73" xfId="87" xr:uid="{00000000-0005-0000-0000-000074000000}"/>
    <cellStyle name="Normální 74" xfId="88" xr:uid="{00000000-0005-0000-0000-000075000000}"/>
    <cellStyle name="Normální 75" xfId="89" xr:uid="{00000000-0005-0000-0000-000076000000}"/>
    <cellStyle name="Normální 76" xfId="90" xr:uid="{00000000-0005-0000-0000-000077000000}"/>
    <cellStyle name="Normální 77" xfId="91" xr:uid="{00000000-0005-0000-0000-000078000000}"/>
    <cellStyle name="Normální 78" xfId="92" xr:uid="{00000000-0005-0000-0000-000079000000}"/>
    <cellStyle name="Normální 79" xfId="93" xr:uid="{00000000-0005-0000-0000-00007A000000}"/>
    <cellStyle name="normální 8" xfId="77" xr:uid="{00000000-0005-0000-0000-00007B000000}"/>
    <cellStyle name="Normální 80" xfId="94" xr:uid="{00000000-0005-0000-0000-00007C000000}"/>
    <cellStyle name="Normální 81" xfId="95" xr:uid="{00000000-0005-0000-0000-00007D000000}"/>
    <cellStyle name="Normální 82" xfId="96" xr:uid="{00000000-0005-0000-0000-00007E000000}"/>
    <cellStyle name="Normální 83" xfId="97" xr:uid="{00000000-0005-0000-0000-00007F000000}"/>
    <cellStyle name="Normální 84" xfId="98" xr:uid="{00000000-0005-0000-0000-000080000000}"/>
    <cellStyle name="Normální 85" xfId="99" xr:uid="{00000000-0005-0000-0000-000081000000}"/>
    <cellStyle name="Normální 86" xfId="100" xr:uid="{00000000-0005-0000-0000-000082000000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4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FE3"/>
      <color rgb="FFCCFFFF"/>
      <color rgb="FFFF6600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3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image" Target="../media/image15.png"/><Relationship Id="rId11" Type="http://schemas.openxmlformats.org/officeDocument/2006/relationships/hyperlink" Target="#Ergo!barva_8"/><Relationship Id="rId24" Type="http://schemas.openxmlformats.org/officeDocument/2006/relationships/image" Target="../media/image12.png"/><Relationship Id="rId32" Type="http://schemas.openxmlformats.org/officeDocument/2006/relationships/hyperlink" Target="#Julie!A1"/><Relationship Id="rId37" Type="http://schemas.openxmlformats.org/officeDocument/2006/relationships/image" Target="../media/image19.png"/><Relationship Id="rId40" Type="http://schemas.openxmlformats.org/officeDocument/2006/relationships/hyperlink" Target="#Prosper!A1"/><Relationship Id="rId45" Type="http://schemas.openxmlformats.org/officeDocument/2006/relationships/hyperlink" Target="#'Arte GM'!A1"/><Relationship Id="rId53" Type="http://schemas.openxmlformats.org/officeDocument/2006/relationships/hyperlink" Target="#'Rekord (bezr&#225;mov&#253;)'!barva_7"/><Relationship Id="rId58" Type="http://schemas.openxmlformats.org/officeDocument/2006/relationships/hyperlink" Target="#'Era (r&#225;mov&#253;)'!barva_7"/><Relationship Id="rId66" Type="http://schemas.openxmlformats.org/officeDocument/2006/relationships/hyperlink" Target="#Tytan!barva_8"/><Relationship Id="rId74" Type="http://schemas.openxmlformats.org/officeDocument/2006/relationships/image" Target="../media/image36.png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'Romeo II'!A1"/><Relationship Id="rId35" Type="http://schemas.openxmlformats.org/officeDocument/2006/relationships/image" Target="../media/image18.png"/><Relationship Id="rId43" Type="http://schemas.openxmlformats.org/officeDocument/2006/relationships/image" Target="../media/image22.png"/><Relationship Id="rId48" Type="http://schemas.openxmlformats.org/officeDocument/2006/relationships/hyperlink" Target="#'Comfort II'!A1"/><Relationship Id="rId56" Type="http://schemas.openxmlformats.org/officeDocument/2006/relationships/hyperlink" Target="#'Era (bezr&#225;mov&#253;)'!A1"/><Relationship Id="rId64" Type="http://schemas.openxmlformats.org/officeDocument/2006/relationships/hyperlink" Target="#Universal!A1"/><Relationship Id="rId69" Type="http://schemas.openxmlformats.org/officeDocument/2006/relationships/image" Target="../media/image33.png"/><Relationship Id="rId8" Type="http://schemas.openxmlformats.org/officeDocument/2006/relationships/image" Target="../media/image4.jpeg"/><Relationship Id="rId51" Type="http://schemas.openxmlformats.org/officeDocument/2006/relationships/image" Target="../media/image25.png"/><Relationship Id="rId72" Type="http://schemas.openxmlformats.org/officeDocument/2006/relationships/image" Target="../media/image35.png"/><Relationship Id="rId3" Type="http://schemas.openxmlformats.org/officeDocument/2006/relationships/hyperlink" Target="#Gemini!A1"/><Relationship Id="rId12" Type="http://schemas.openxmlformats.org/officeDocument/2006/relationships/image" Target="../media/image6.jpeg"/><Relationship Id="rId17" Type="http://schemas.openxmlformats.org/officeDocument/2006/relationships/hyperlink" Target="#Polo!barva_7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Fox!A1"/><Relationship Id="rId46" Type="http://schemas.openxmlformats.org/officeDocument/2006/relationships/hyperlink" Target="#'Mini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2.jpeg"/><Relationship Id="rId20" Type="http://schemas.openxmlformats.org/officeDocument/2006/relationships/image" Target="../media/image10.png"/><Relationship Id="rId41" Type="http://schemas.openxmlformats.org/officeDocument/2006/relationships/image" Target="../media/image21.jpeg"/><Relationship Id="rId54" Type="http://schemas.openxmlformats.org/officeDocument/2006/relationships/image" Target="../media/image27.png"/><Relationship Id="rId62" Type="http://schemas.openxmlformats.org/officeDocument/2006/relationships/image" Target="../media/image30.emf"/><Relationship Id="rId70" Type="http://schemas.openxmlformats.org/officeDocument/2006/relationships/hyperlink" Target="#'Focus II'!barva_8"/><Relationship Id="rId75" Type="http://schemas.openxmlformats.org/officeDocument/2006/relationships/hyperlink" Target="#Vitara!A1"/><Relationship Id="rId1" Type="http://schemas.openxmlformats.org/officeDocument/2006/relationships/hyperlink" Target="#System10!A1"/><Relationship Id="rId6" Type="http://schemas.openxmlformats.org/officeDocument/2006/relationships/image" Target="../media/image3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4.png"/><Relationship Id="rId57" Type="http://schemas.openxmlformats.org/officeDocument/2006/relationships/image" Target="../media/image28.png"/><Relationship Id="rId10" Type="http://schemas.openxmlformats.org/officeDocument/2006/relationships/image" Target="../media/image5.emf"/><Relationship Id="rId31" Type="http://schemas.openxmlformats.org/officeDocument/2006/relationships/image" Target="../media/image16.png"/><Relationship Id="rId44" Type="http://schemas.openxmlformats.org/officeDocument/2006/relationships/hyperlink" Target="#Prosper_GM!A1"/><Relationship Id="rId52" Type="http://schemas.openxmlformats.org/officeDocument/2006/relationships/image" Target="../media/image26.jpeg"/><Relationship Id="rId60" Type="http://schemas.openxmlformats.org/officeDocument/2006/relationships/image" Target="../media/image29.emf"/><Relationship Id="rId65" Type="http://schemas.openxmlformats.org/officeDocument/2006/relationships/image" Target="../media/image31.jpeg"/><Relationship Id="rId73" Type="http://schemas.openxmlformats.org/officeDocument/2006/relationships/hyperlink" Target="#Lynx!A1"/><Relationship Id="rId4" Type="http://schemas.openxmlformats.org/officeDocument/2006/relationships/image" Target="../media/image2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9.png"/><Relationship Id="rId39" Type="http://schemas.openxmlformats.org/officeDocument/2006/relationships/image" Target="../media/image20.jpeg"/><Relationship Id="rId34" Type="http://schemas.openxmlformats.org/officeDocument/2006/relationships/hyperlink" Target="#Karat!barva_6"/><Relationship Id="rId50" Type="http://schemas.openxmlformats.org/officeDocument/2006/relationships/hyperlink" Target="#'Unicomfort II'!A1"/><Relationship Id="rId55" Type="http://schemas.openxmlformats.org/officeDocument/2006/relationships/hyperlink" Target="#'Rekord (r&#225;mov&#253;)'!barva_7"/><Relationship Id="rId76" Type="http://schemas.openxmlformats.org/officeDocument/2006/relationships/image" Target="../media/image37.png"/><Relationship Id="rId7" Type="http://schemas.openxmlformats.org/officeDocument/2006/relationships/hyperlink" Target="#Victoria!A1"/><Relationship Id="rId71" Type="http://schemas.openxmlformats.org/officeDocument/2006/relationships/image" Target="../media/image3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44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55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56.png"/><Relationship Id="rId4" Type="http://schemas.openxmlformats.org/officeDocument/2006/relationships/image" Target="../media/image4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35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58.png"/><Relationship Id="rId1" Type="http://schemas.openxmlformats.org/officeDocument/2006/relationships/image" Target="../media/image61.png"/><Relationship Id="rId6" Type="http://schemas.openxmlformats.org/officeDocument/2006/relationships/image" Target="../media/image35.pn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38.png"/><Relationship Id="rId1" Type="http://schemas.openxmlformats.org/officeDocument/2006/relationships/image" Target="../media/image64.jpeg"/><Relationship Id="rId6" Type="http://schemas.openxmlformats.org/officeDocument/2006/relationships/image" Target="../media/image35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2" Type="http://schemas.openxmlformats.org/officeDocument/2006/relationships/image" Target="../media/image35.png"/><Relationship Id="rId1" Type="http://schemas.openxmlformats.org/officeDocument/2006/relationships/image" Target="../media/image38.png"/><Relationship Id="rId6" Type="http://schemas.openxmlformats.org/officeDocument/2006/relationships/image" Target="../media/image69.png"/><Relationship Id="rId5" Type="http://schemas.openxmlformats.org/officeDocument/2006/relationships/image" Target="../media/image68.png"/><Relationship Id="rId4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35.png"/><Relationship Id="rId1" Type="http://schemas.openxmlformats.org/officeDocument/2006/relationships/image" Target="../media/image38.png"/><Relationship Id="rId6" Type="http://schemas.openxmlformats.org/officeDocument/2006/relationships/image" Target="../media/image69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38.png"/><Relationship Id="rId1" Type="http://schemas.openxmlformats.org/officeDocument/2006/relationships/image" Target="../media/image22.png"/><Relationship Id="rId6" Type="http://schemas.openxmlformats.org/officeDocument/2006/relationships/image" Target="../media/image35.png"/><Relationship Id="rId5" Type="http://schemas.openxmlformats.org/officeDocument/2006/relationships/image" Target="../media/image68.png"/><Relationship Id="rId4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4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0.png"/><Relationship Id="rId6" Type="http://schemas.openxmlformats.org/officeDocument/2006/relationships/image" Target="../media/image35.png"/><Relationship Id="rId5" Type="http://schemas.openxmlformats.org/officeDocument/2006/relationships/image" Target="../media/image73.pn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2.png"/><Relationship Id="rId6" Type="http://schemas.openxmlformats.org/officeDocument/2006/relationships/image" Target="../media/image35.png"/><Relationship Id="rId5" Type="http://schemas.openxmlformats.org/officeDocument/2006/relationships/image" Target="../media/image74.png"/><Relationship Id="rId4" Type="http://schemas.openxmlformats.org/officeDocument/2006/relationships/image" Target="../media/image7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2.jpeg"/><Relationship Id="rId6" Type="http://schemas.openxmlformats.org/officeDocument/2006/relationships/image" Target="../media/image35.png"/><Relationship Id="rId5" Type="http://schemas.openxmlformats.org/officeDocument/2006/relationships/image" Target="../media/image75.png"/><Relationship Id="rId4" Type="http://schemas.openxmlformats.org/officeDocument/2006/relationships/image" Target="../media/image7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4.png"/><Relationship Id="rId6" Type="http://schemas.openxmlformats.org/officeDocument/2006/relationships/image" Target="../media/image35.png"/><Relationship Id="rId5" Type="http://schemas.openxmlformats.org/officeDocument/2006/relationships/image" Target="../media/image76.png"/><Relationship Id="rId4" Type="http://schemas.openxmlformats.org/officeDocument/2006/relationships/image" Target="../media/image7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77.jpeg"/><Relationship Id="rId6" Type="http://schemas.openxmlformats.org/officeDocument/2006/relationships/image" Target="../media/image35.png"/><Relationship Id="rId5" Type="http://schemas.openxmlformats.org/officeDocument/2006/relationships/image" Target="../media/image78.png"/><Relationship Id="rId4" Type="http://schemas.openxmlformats.org/officeDocument/2006/relationships/image" Target="../media/image7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1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81.png"/><Relationship Id="rId4" Type="http://schemas.openxmlformats.org/officeDocument/2006/relationships/image" Target="../media/image8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5.png"/><Relationship Id="rId6" Type="http://schemas.openxmlformats.org/officeDocument/2006/relationships/image" Target="../media/image35.png"/><Relationship Id="rId5" Type="http://schemas.openxmlformats.org/officeDocument/2006/relationships/image" Target="../media/image82.png"/><Relationship Id="rId4" Type="http://schemas.openxmlformats.org/officeDocument/2006/relationships/image" Target="../media/image80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4.jpeg"/><Relationship Id="rId6" Type="http://schemas.openxmlformats.org/officeDocument/2006/relationships/image" Target="../media/image35.png"/><Relationship Id="rId5" Type="http://schemas.openxmlformats.org/officeDocument/2006/relationships/image" Target="../media/image83.png"/><Relationship Id="rId4" Type="http://schemas.openxmlformats.org/officeDocument/2006/relationships/image" Target="../media/image80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6.jpeg"/><Relationship Id="rId6" Type="http://schemas.openxmlformats.org/officeDocument/2006/relationships/image" Target="../media/image35.png"/><Relationship Id="rId5" Type="http://schemas.openxmlformats.org/officeDocument/2006/relationships/image" Target="../media/image84.png"/><Relationship Id="rId4" Type="http://schemas.openxmlformats.org/officeDocument/2006/relationships/image" Target="../media/image80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3.png"/><Relationship Id="rId6" Type="http://schemas.openxmlformats.org/officeDocument/2006/relationships/image" Target="../media/image35.png"/><Relationship Id="rId5" Type="http://schemas.openxmlformats.org/officeDocument/2006/relationships/image" Target="../media/image85.png"/><Relationship Id="rId4" Type="http://schemas.openxmlformats.org/officeDocument/2006/relationships/image" Target="../media/image8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86.jpeg"/><Relationship Id="rId6" Type="http://schemas.openxmlformats.org/officeDocument/2006/relationships/image" Target="../media/image35.png"/><Relationship Id="rId5" Type="http://schemas.openxmlformats.org/officeDocument/2006/relationships/image" Target="../media/image87.png"/><Relationship Id="rId4" Type="http://schemas.openxmlformats.org/officeDocument/2006/relationships/image" Target="../media/image7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7" Type="http://schemas.openxmlformats.org/officeDocument/2006/relationships/image" Target="../media/image35.png"/><Relationship Id="rId2" Type="http://schemas.openxmlformats.org/officeDocument/2006/relationships/image" Target="../media/image38.png"/><Relationship Id="rId1" Type="http://schemas.openxmlformats.org/officeDocument/2006/relationships/image" Target="../media/image30.emf"/><Relationship Id="rId6" Type="http://schemas.openxmlformats.org/officeDocument/2006/relationships/image" Target="../media/image89.png"/><Relationship Id="rId5" Type="http://schemas.openxmlformats.org/officeDocument/2006/relationships/image" Target="../media/image87.png"/><Relationship Id="rId4" Type="http://schemas.openxmlformats.org/officeDocument/2006/relationships/image" Target="../media/image8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38.png"/><Relationship Id="rId1" Type="http://schemas.openxmlformats.org/officeDocument/2006/relationships/image" Target="../media/image29.emf"/><Relationship Id="rId6" Type="http://schemas.openxmlformats.org/officeDocument/2006/relationships/image" Target="../media/image35.png"/><Relationship Id="rId5" Type="http://schemas.openxmlformats.org/officeDocument/2006/relationships/image" Target="../media/image89.png"/><Relationship Id="rId4" Type="http://schemas.openxmlformats.org/officeDocument/2006/relationships/image" Target="../media/image90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38.png"/><Relationship Id="rId1" Type="http://schemas.openxmlformats.org/officeDocument/2006/relationships/image" Target="../media/image23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38.png"/><Relationship Id="rId1" Type="http://schemas.openxmlformats.org/officeDocument/2006/relationships/image" Target="../media/image24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38.png"/><Relationship Id="rId1" Type="http://schemas.openxmlformats.org/officeDocument/2006/relationships/image" Target="../media/image25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5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98.png"/><Relationship Id="rId4" Type="http://schemas.openxmlformats.org/officeDocument/2006/relationships/image" Target="../media/image97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6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100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96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98.png"/><Relationship Id="rId4" Type="http://schemas.openxmlformats.org/officeDocument/2006/relationships/image" Target="../media/image10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9.png"/><Relationship Id="rId1" Type="http://schemas.openxmlformats.org/officeDocument/2006/relationships/image" Target="../media/image102.png"/><Relationship Id="rId6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10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7.png"/><Relationship Id="rId5" Type="http://schemas.openxmlformats.org/officeDocument/2006/relationships/image" Target="../media/image35.png"/><Relationship Id="rId4" Type="http://schemas.openxmlformats.org/officeDocument/2006/relationships/image" Target="../media/image4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2" Type="http://schemas.openxmlformats.org/officeDocument/2006/relationships/image" Target="../media/image103.png"/><Relationship Id="rId1" Type="http://schemas.openxmlformats.org/officeDocument/2006/relationships/hyperlink" Target="#profil!A1"/><Relationship Id="rId6" Type="http://schemas.openxmlformats.org/officeDocument/2006/relationships/image" Target="../media/image107.png"/><Relationship Id="rId5" Type="http://schemas.openxmlformats.org/officeDocument/2006/relationships/image" Target="../media/image106.png"/><Relationship Id="rId4" Type="http://schemas.openxmlformats.org/officeDocument/2006/relationships/image" Target="../media/image10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png"/><Relationship Id="rId7" Type="http://schemas.openxmlformats.org/officeDocument/2006/relationships/image" Target="../media/image114.png"/><Relationship Id="rId2" Type="http://schemas.openxmlformats.org/officeDocument/2006/relationships/image" Target="../media/image109.png"/><Relationship Id="rId1" Type="http://schemas.openxmlformats.org/officeDocument/2006/relationships/hyperlink" Target="#profil!A1"/><Relationship Id="rId6" Type="http://schemas.openxmlformats.org/officeDocument/2006/relationships/image" Target="../media/image113.png"/><Relationship Id="rId5" Type="http://schemas.openxmlformats.org/officeDocument/2006/relationships/image" Target="../media/image112.png"/><Relationship Id="rId4" Type="http://schemas.openxmlformats.org/officeDocument/2006/relationships/image" Target="../media/image11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emf"/><Relationship Id="rId7" Type="http://schemas.openxmlformats.org/officeDocument/2006/relationships/image" Target="../media/image120.png"/><Relationship Id="rId2" Type="http://schemas.openxmlformats.org/officeDocument/2006/relationships/image" Target="../media/image115.emf"/><Relationship Id="rId1" Type="http://schemas.openxmlformats.org/officeDocument/2006/relationships/hyperlink" Target="#profil!A1"/><Relationship Id="rId6" Type="http://schemas.openxmlformats.org/officeDocument/2006/relationships/image" Target="../media/image119.png"/><Relationship Id="rId5" Type="http://schemas.openxmlformats.org/officeDocument/2006/relationships/image" Target="../media/image118.emf"/><Relationship Id="rId4" Type="http://schemas.openxmlformats.org/officeDocument/2006/relationships/image" Target="../media/image117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2.png"/><Relationship Id="rId1" Type="http://schemas.openxmlformats.org/officeDocument/2006/relationships/image" Target="../media/image121.png"/><Relationship Id="rId4" Type="http://schemas.openxmlformats.org/officeDocument/2006/relationships/image" Target="../media/image123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png"/><Relationship Id="rId3" Type="http://schemas.openxmlformats.org/officeDocument/2006/relationships/image" Target="../media/image126.png"/><Relationship Id="rId7" Type="http://schemas.openxmlformats.org/officeDocument/2006/relationships/image" Target="../media/image130.png"/><Relationship Id="rId2" Type="http://schemas.openxmlformats.org/officeDocument/2006/relationships/image" Target="../media/image125.png"/><Relationship Id="rId1" Type="http://schemas.openxmlformats.org/officeDocument/2006/relationships/image" Target="../media/image124.png"/><Relationship Id="rId6" Type="http://schemas.openxmlformats.org/officeDocument/2006/relationships/image" Target="../media/image129.png"/><Relationship Id="rId5" Type="http://schemas.openxmlformats.org/officeDocument/2006/relationships/image" Target="../media/image128.png"/><Relationship Id="rId4" Type="http://schemas.openxmlformats.org/officeDocument/2006/relationships/image" Target="../media/image127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3.png"/><Relationship Id="rId2" Type="http://schemas.openxmlformats.org/officeDocument/2006/relationships/image" Target="../media/image132.png"/><Relationship Id="rId1" Type="http://schemas.openxmlformats.org/officeDocument/2006/relationships/hyperlink" Target="#profil!A1"/><Relationship Id="rId5" Type="http://schemas.openxmlformats.org/officeDocument/2006/relationships/image" Target="../media/image135.png"/><Relationship Id="rId4" Type="http://schemas.openxmlformats.org/officeDocument/2006/relationships/image" Target="../media/image134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png"/><Relationship Id="rId13" Type="http://schemas.openxmlformats.org/officeDocument/2006/relationships/image" Target="../media/image148.jpeg"/><Relationship Id="rId3" Type="http://schemas.openxmlformats.org/officeDocument/2006/relationships/image" Target="../media/image138.emf"/><Relationship Id="rId7" Type="http://schemas.openxmlformats.org/officeDocument/2006/relationships/image" Target="../media/image142.png"/><Relationship Id="rId12" Type="http://schemas.openxmlformats.org/officeDocument/2006/relationships/image" Target="../media/image147.jpeg"/><Relationship Id="rId2" Type="http://schemas.openxmlformats.org/officeDocument/2006/relationships/image" Target="../media/image137.png"/><Relationship Id="rId1" Type="http://schemas.openxmlformats.org/officeDocument/2006/relationships/image" Target="../media/image136.png"/><Relationship Id="rId6" Type="http://schemas.openxmlformats.org/officeDocument/2006/relationships/image" Target="../media/image141.png"/><Relationship Id="rId11" Type="http://schemas.openxmlformats.org/officeDocument/2006/relationships/image" Target="../media/image146.png"/><Relationship Id="rId5" Type="http://schemas.openxmlformats.org/officeDocument/2006/relationships/image" Target="../media/image140.png"/><Relationship Id="rId10" Type="http://schemas.openxmlformats.org/officeDocument/2006/relationships/image" Target="../media/image145.png"/><Relationship Id="rId4" Type="http://schemas.openxmlformats.org/officeDocument/2006/relationships/image" Target="../media/image139.emf"/><Relationship Id="rId9" Type="http://schemas.openxmlformats.org/officeDocument/2006/relationships/image" Target="../media/image144.png"/><Relationship Id="rId14" Type="http://schemas.openxmlformats.org/officeDocument/2006/relationships/image" Target="../media/image14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4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8.png"/><Relationship Id="rId4" Type="http://schemas.openxmlformats.org/officeDocument/2006/relationships/image" Target="../media/image4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9.png"/><Relationship Id="rId4" Type="http://schemas.openxmlformats.org/officeDocument/2006/relationships/image" Target="../media/image4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676311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695031</xdr:colOff>
      <xdr:row>24</xdr:row>
      <xdr:rowOff>1229824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705802</xdr:colOff>
      <xdr:row>40</xdr:row>
      <xdr:rowOff>1201102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678180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640080</xdr:colOff>
      <xdr:row>24</xdr:row>
      <xdr:rowOff>1226820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678180</xdr:colOff>
      <xdr:row>29</xdr:row>
      <xdr:rowOff>1208722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1325880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693420</xdr:colOff>
      <xdr:row>24</xdr:row>
      <xdr:rowOff>1277302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743902</xdr:colOff>
      <xdr:row>35</xdr:row>
      <xdr:rowOff>1315402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617634</xdr:colOff>
      <xdr:row>51</xdr:row>
      <xdr:rowOff>379054</xdr:rowOff>
    </xdr:from>
    <xdr:to>
      <xdr:col>7</xdr:col>
      <xdr:colOff>619460</xdr:colOff>
      <xdr:row>51</xdr:row>
      <xdr:rowOff>380904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1287622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1226820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693420</xdr:colOff>
      <xdr:row>24</xdr:row>
      <xdr:rowOff>1264920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1267557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741915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681" y="3303932"/>
          <a:ext cx="704022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278069</xdr:colOff>
      <xdr:row>59</xdr:row>
      <xdr:rowOff>182178</xdr:rowOff>
    </xdr:from>
    <xdr:to>
      <xdr:col>11</xdr:col>
      <xdr:colOff>448516</xdr:colOff>
      <xdr:row>68</xdr:row>
      <xdr:rowOff>153182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187" y="21170796"/>
          <a:ext cx="4496759" cy="2794886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1114145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9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744351</xdr:colOff>
      <xdr:row>45</xdr:row>
      <xdr:rowOff>1304645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7</xdr:col>
      <xdr:colOff>62196</xdr:colOff>
      <xdr:row>45</xdr:row>
      <xdr:rowOff>96372</xdr:rowOff>
    </xdr:from>
    <xdr:to>
      <xdr:col>7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1278366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517340</xdr:colOff>
      <xdr:row>0</xdr:row>
      <xdr:rowOff>134470</xdr:rowOff>
    </xdr:from>
    <xdr:to>
      <xdr:col>16</xdr:col>
      <xdr:colOff>30130</xdr:colOff>
      <xdr:row>2</xdr:row>
      <xdr:rowOff>293470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94D69E0-8A3B-485E-AA9E-7EDEE0B2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859869" y="134470"/>
          <a:ext cx="1283320" cy="540000"/>
        </a:xfrm>
        <a:prstGeom prst="rect">
          <a:avLst/>
        </a:prstGeom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654423</xdr:colOff>
      <xdr:row>13</xdr:row>
      <xdr:rowOff>181538</xdr:rowOff>
    </xdr:from>
    <xdr:to>
      <xdr:col>7</xdr:col>
      <xdr:colOff>274465</xdr:colOff>
      <xdr:row>23</xdr:row>
      <xdr:rowOff>111061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5070" y="2691656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474281</xdr:colOff>
      <xdr:row>16</xdr:row>
      <xdr:rowOff>42229</xdr:rowOff>
    </xdr:from>
    <xdr:to>
      <xdr:col>4</xdr:col>
      <xdr:colOff>340661</xdr:colOff>
      <xdr:row>25</xdr:row>
      <xdr:rowOff>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73293" y="2893005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</xdr:row>
      <xdr:rowOff>134470</xdr:rowOff>
    </xdr:from>
    <xdr:to>
      <xdr:col>5</xdr:col>
      <xdr:colOff>558359</xdr:colOff>
      <xdr:row>17</xdr:row>
      <xdr:rowOff>94315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7109012" y="1335741"/>
          <a:ext cx="1257606" cy="2156199"/>
        </a:xfrm>
        <a:prstGeom prst="rect">
          <a:avLst/>
        </a:prstGeom>
      </xdr:spPr>
    </xdr:pic>
    <xdr:clientData/>
  </xdr:twoCellAnchor>
  <xdr:twoCellAnchor editAs="oneCell">
    <xdr:from>
      <xdr:col>0</xdr:col>
      <xdr:colOff>997324</xdr:colOff>
      <xdr:row>15</xdr:row>
      <xdr:rowOff>33617</xdr:rowOff>
    </xdr:from>
    <xdr:to>
      <xdr:col>1</xdr:col>
      <xdr:colOff>8803</xdr:colOff>
      <xdr:row>24</xdr:row>
      <xdr:rowOff>87368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324" y="3003176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0</xdr:row>
      <xdr:rowOff>112059</xdr:rowOff>
    </xdr:from>
    <xdr:to>
      <xdr:col>8</xdr:col>
      <xdr:colOff>1417791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ED533AD-DBCD-4730-B6B7-328AEC1B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22324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1569600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708212</xdr:colOff>
      <xdr:row>13</xdr:row>
      <xdr:rowOff>228603</xdr:rowOff>
    </xdr:from>
    <xdr:to>
      <xdr:col>8</xdr:col>
      <xdr:colOff>3283</xdr:colOff>
      <xdr:row>24</xdr:row>
      <xdr:rowOff>1244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0418" y="2738721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4</xdr:col>
      <xdr:colOff>331698</xdr:colOff>
      <xdr:row>25</xdr:row>
      <xdr:rowOff>8966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250647</xdr:colOff>
      <xdr:row>5</xdr:row>
      <xdr:rowOff>152399</xdr:rowOff>
    </xdr:from>
    <xdr:to>
      <xdr:col>5</xdr:col>
      <xdr:colOff>606403</xdr:colOff>
      <xdr:row>17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72788" y="1353670"/>
          <a:ext cx="1359804" cy="2115672"/>
        </a:xfrm>
        <a:prstGeom prst="rect">
          <a:avLst/>
        </a:prstGeom>
      </xdr:spPr>
    </xdr:pic>
    <xdr:clientData/>
  </xdr:twoCellAnchor>
  <xdr:twoCellAnchor editAs="oneCell">
    <xdr:from>
      <xdr:col>0</xdr:col>
      <xdr:colOff>919453</xdr:colOff>
      <xdr:row>15</xdr:row>
      <xdr:rowOff>16809</xdr:rowOff>
    </xdr:from>
    <xdr:to>
      <xdr:col>1</xdr:col>
      <xdr:colOff>20579</xdr:colOff>
      <xdr:row>24</xdr:row>
      <xdr:rowOff>40353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9453" y="3053603"/>
          <a:ext cx="1644861" cy="156995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56029</xdr:rowOff>
    </xdr:from>
    <xdr:to>
      <xdr:col>8</xdr:col>
      <xdr:colOff>1473820</xdr:colOff>
      <xdr:row>2</xdr:row>
      <xdr:rowOff>192617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B9573B72-F9D4-43DD-A8FD-52AD2524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99912" y="56029"/>
          <a:ext cx="1283320" cy="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4</xdr:col>
      <xdr:colOff>280147</xdr:colOff>
      <xdr:row>24</xdr:row>
      <xdr:rowOff>152398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940225</xdr:colOff>
      <xdr:row>5</xdr:row>
      <xdr:rowOff>206189</xdr:rowOff>
    </xdr:from>
    <xdr:to>
      <xdr:col>4</xdr:col>
      <xdr:colOff>895989</xdr:colOff>
      <xdr:row>14</xdr:row>
      <xdr:rowOff>17930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3496" y="1532965"/>
          <a:ext cx="925073" cy="1461247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101179</xdr:colOff>
      <xdr:row>21</xdr:row>
      <xdr:rowOff>76340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941294</xdr:colOff>
      <xdr:row>15</xdr:row>
      <xdr:rowOff>100853</xdr:rowOff>
    </xdr:from>
    <xdr:to>
      <xdr:col>0</xdr:col>
      <xdr:colOff>2576630</xdr:colOff>
      <xdr:row>24</xdr:row>
      <xdr:rowOff>154604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1294" y="3260912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123265</xdr:rowOff>
    </xdr:from>
    <xdr:to>
      <xdr:col>8</xdr:col>
      <xdr:colOff>588555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BCB9EBD-9E26-4CAA-9BC6-60A5BF706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1735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200810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115692</xdr:colOff>
      <xdr:row>16</xdr:row>
      <xdr:rowOff>78085</xdr:rowOff>
    </xdr:from>
    <xdr:to>
      <xdr:col>4</xdr:col>
      <xdr:colOff>4482</xdr:colOff>
      <xdr:row>25</xdr:row>
      <xdr:rowOff>35858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4704" y="2758532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856128</xdr:colOff>
      <xdr:row>15</xdr:row>
      <xdr:rowOff>57807</xdr:rowOff>
    </xdr:from>
    <xdr:to>
      <xdr:col>1</xdr:col>
      <xdr:colOff>10643</xdr:colOff>
      <xdr:row>24</xdr:row>
      <xdr:rowOff>100853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856128" y="3105807"/>
          <a:ext cx="1829398" cy="1582812"/>
        </a:xfrm>
        <a:prstGeom prst="rect">
          <a:avLst/>
        </a:prstGeom>
      </xdr:spPr>
    </xdr:pic>
    <xdr:clientData/>
  </xdr:twoCellAnchor>
  <xdr:twoCellAnchor editAs="oneCell">
    <xdr:from>
      <xdr:col>3</xdr:col>
      <xdr:colOff>558436</xdr:colOff>
      <xdr:row>6</xdr:row>
      <xdr:rowOff>134470</xdr:rowOff>
    </xdr:from>
    <xdr:to>
      <xdr:col>4</xdr:col>
      <xdr:colOff>875595</xdr:colOff>
      <xdr:row>15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21354" y="1398494"/>
          <a:ext cx="1267419" cy="1667435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638736</xdr:colOff>
      <xdr:row>0</xdr:row>
      <xdr:rowOff>112059</xdr:rowOff>
    </xdr:from>
    <xdr:to>
      <xdr:col>8</xdr:col>
      <xdr:colOff>588556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515C1FF-7778-46E4-8E10-3FE19680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80177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6</xdr:row>
      <xdr:rowOff>19049</xdr:rowOff>
    </xdr:from>
    <xdr:to>
      <xdr:col>4</xdr:col>
      <xdr:colOff>894789</xdr:colOff>
      <xdr:row>15</xdr:row>
      <xdr:rowOff>91604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1276349"/>
          <a:ext cx="857250" cy="1672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24</xdr:row>
      <xdr:rowOff>561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17</xdr:row>
      <xdr:rowOff>89647</xdr:rowOff>
    </xdr:from>
    <xdr:to>
      <xdr:col>0</xdr:col>
      <xdr:colOff>2693699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19718"/>
          <a:ext cx="2037594" cy="1618842"/>
        </a:xfrm>
        <a:prstGeom prst="rect">
          <a:avLst/>
        </a:prstGeom>
      </xdr:spPr>
    </xdr:pic>
    <xdr:clientData/>
  </xdr:twoCellAnchor>
  <xdr:twoCellAnchor editAs="oneCell">
    <xdr:from>
      <xdr:col>6</xdr:col>
      <xdr:colOff>683559</xdr:colOff>
      <xdr:row>0</xdr:row>
      <xdr:rowOff>134471</xdr:rowOff>
    </xdr:from>
    <xdr:to>
      <xdr:col>8</xdr:col>
      <xdr:colOff>625759</xdr:colOff>
      <xdr:row>2</xdr:row>
      <xdr:rowOff>286299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F79A8BD-922E-45A7-8D75-C68C063F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37912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14</xdr:row>
      <xdr:rowOff>20629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265356</xdr:colOff>
      <xdr:row>19</xdr:row>
      <xdr:rowOff>135368</xdr:rowOff>
    </xdr:from>
    <xdr:to>
      <xdr:col>2</xdr:col>
      <xdr:colOff>2460141</xdr:colOff>
      <xdr:row>27</xdr:row>
      <xdr:rowOff>56591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9032" y="2768750"/>
          <a:ext cx="2190975" cy="1324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739588</xdr:colOff>
      <xdr:row>17</xdr:row>
      <xdr:rowOff>118782</xdr:rowOff>
    </xdr:from>
    <xdr:to>
      <xdr:col>0</xdr:col>
      <xdr:colOff>2685602</xdr:colOff>
      <xdr:row>26</xdr:row>
      <xdr:rowOff>133395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9588" y="3489511"/>
          <a:ext cx="1949824" cy="1596211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934581</xdr:colOff>
      <xdr:row>21</xdr:row>
      <xdr:rowOff>17259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616323</xdr:colOff>
      <xdr:row>0</xdr:row>
      <xdr:rowOff>123265</xdr:rowOff>
    </xdr:from>
    <xdr:to>
      <xdr:col>8</xdr:col>
      <xdr:colOff>554713</xdr:colOff>
      <xdr:row>2</xdr:row>
      <xdr:rowOff>246518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8D45E2A-7E92-4F99-B1D7-05E5738F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876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591670</xdr:colOff>
      <xdr:row>5</xdr:row>
      <xdr:rowOff>83483</xdr:rowOff>
    </xdr:from>
    <xdr:to>
      <xdr:col>5</xdr:col>
      <xdr:colOff>7451</xdr:colOff>
      <xdr:row>13</xdr:row>
      <xdr:rowOff>313764</xdr:rowOff>
    </xdr:to>
    <xdr:pic>
      <xdr:nvPicPr>
        <xdr:cNvPr id="282840" name="Obrázek 4" descr="Prosper.jpg">
          <a:extLst>
            <a:ext uri="{FF2B5EF4-FFF2-40B4-BE49-F238E27FC236}">
              <a16:creationId xmlns:a16="http://schemas.microsoft.com/office/drawing/2014/main" id="{00000000-0008-0000-1300-0000D8500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0105" y="1284461"/>
          <a:ext cx="1241474" cy="1621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172853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851647</xdr:colOff>
      <xdr:row>10</xdr:row>
      <xdr:rowOff>9724</xdr:rowOff>
    </xdr:from>
    <xdr:to>
      <xdr:col>7</xdr:col>
      <xdr:colOff>94409</xdr:colOff>
      <xdr:row>23</xdr:row>
      <xdr:rowOff>139624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310E3ED-791A-45FC-B597-0FD33B55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3788" y="2089536"/>
          <a:ext cx="2097741" cy="2065406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582706</xdr:colOff>
      <xdr:row>16</xdr:row>
      <xdr:rowOff>17929</xdr:rowOff>
    </xdr:from>
    <xdr:to>
      <xdr:col>3</xdr:col>
      <xdr:colOff>516105</xdr:colOff>
      <xdr:row>24</xdr:row>
      <xdr:rowOff>86088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F8DC55F-5748-44AC-B853-724A05E48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1718" y="2913529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546848</xdr:colOff>
      <xdr:row>14</xdr:row>
      <xdr:rowOff>44825</xdr:rowOff>
    </xdr:from>
    <xdr:to>
      <xdr:col>0</xdr:col>
      <xdr:colOff>2380389</xdr:colOff>
      <xdr:row>25</xdr:row>
      <xdr:rowOff>113927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27A3B-C6E7-43C6-9275-789CC2C8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848" y="2949390"/>
          <a:ext cx="1904979" cy="1550894"/>
        </a:xfrm>
        <a:prstGeom prst="rect">
          <a:avLst/>
        </a:prstGeom>
      </xdr:spPr>
    </xdr:pic>
    <xdr:clientData/>
  </xdr:twoCellAnchor>
  <xdr:twoCellAnchor editAs="oneCell">
    <xdr:from>
      <xdr:col>6</xdr:col>
      <xdr:colOff>784412</xdr:colOff>
      <xdr:row>0</xdr:row>
      <xdr:rowOff>123265</xdr:rowOff>
    </xdr:from>
    <xdr:to>
      <xdr:col>8</xdr:col>
      <xdr:colOff>734232</xdr:colOff>
      <xdr:row>2</xdr:row>
      <xdr:rowOff>264615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8759401-84A6-41B7-A666-8136CAC9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4147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1508390</xdr:colOff>
      <xdr:row>2</xdr:row>
      <xdr:rowOff>244836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FDC6AA5-6FFE-40B3-8803-3F808F3D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9343" y="112058"/>
          <a:ext cx="1283320" cy="546163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887728</xdr:colOff>
      <xdr:row>23</xdr:row>
      <xdr:rowOff>153689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693208</xdr:colOff>
      <xdr:row>5</xdr:row>
      <xdr:rowOff>26459</xdr:rowOff>
    </xdr:from>
    <xdr:to>
      <xdr:col>5</xdr:col>
      <xdr:colOff>382805</xdr:colOff>
      <xdr:row>13</xdr:row>
      <xdr:rowOff>283781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5458" y="1307042"/>
          <a:ext cx="737347" cy="1644586"/>
        </a:xfrm>
        <a:prstGeom prst="rect">
          <a:avLst/>
        </a:prstGeom>
      </xdr:spPr>
    </xdr:pic>
    <xdr:clientData/>
  </xdr:twoCellAnchor>
  <xdr:twoCellAnchor editAs="oneCell">
    <xdr:from>
      <xdr:col>0</xdr:col>
      <xdr:colOff>613833</xdr:colOff>
      <xdr:row>14</xdr:row>
      <xdr:rowOff>201083</xdr:rowOff>
    </xdr:from>
    <xdr:to>
      <xdr:col>0</xdr:col>
      <xdr:colOff>2537102</xdr:colOff>
      <xdr:row>24</xdr:row>
      <xdr:rowOff>10450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833" y="3153833"/>
          <a:ext cx="1927079" cy="1607159"/>
        </a:xfrm>
        <a:prstGeom prst="rect">
          <a:avLst/>
        </a:prstGeom>
      </xdr:spPr>
    </xdr:pic>
    <xdr:clientData/>
  </xdr:twoCellAnchor>
  <xdr:twoCellAnchor editAs="oneCell">
    <xdr:from>
      <xdr:col>4</xdr:col>
      <xdr:colOff>916941</xdr:colOff>
      <xdr:row>14</xdr:row>
      <xdr:rowOff>151975</xdr:rowOff>
    </xdr:from>
    <xdr:to>
      <xdr:col>7</xdr:col>
      <xdr:colOff>140691</xdr:colOff>
      <xdr:row>23</xdr:row>
      <xdr:rowOff>49974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465D653-C26B-F552-E779-97DB2CF8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52274" y="3072975"/>
          <a:ext cx="2240000" cy="150666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1508390</xdr:colOff>
      <xdr:row>2</xdr:row>
      <xdr:rowOff>244836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2A812A9-5535-40AA-A0D9-3029B4F6F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9343" y="112058"/>
          <a:ext cx="1283320" cy="546163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275780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431" y="1299042"/>
          <a:ext cx="1378990" cy="160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887728</xdr:colOff>
      <xdr:row>23</xdr:row>
      <xdr:rowOff>153689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529828</xdr:colOff>
      <xdr:row>14</xdr:row>
      <xdr:rowOff>178593</xdr:rowOff>
    </xdr:from>
    <xdr:to>
      <xdr:col>0</xdr:col>
      <xdr:colOff>2439569</xdr:colOff>
      <xdr:row>23</xdr:row>
      <xdr:rowOff>104877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828" y="3107531"/>
          <a:ext cx="1909741" cy="15426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7</xdr:col>
      <xdr:colOff>210222</xdr:colOff>
      <xdr:row>23</xdr:row>
      <xdr:rowOff>87441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BD8B3AC-F761-6502-E780-13D54DEC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36781" y="3178969"/>
          <a:ext cx="2238095" cy="151428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78440</xdr:colOff>
      <xdr:row>4</xdr:row>
      <xdr:rowOff>205326</xdr:rowOff>
    </xdr:from>
    <xdr:to>
      <xdr:col>4</xdr:col>
      <xdr:colOff>815787</xdr:colOff>
      <xdr:row>13</xdr:row>
      <xdr:rowOff>253074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0581" y="1003185"/>
          <a:ext cx="737347" cy="1643466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864037</xdr:colOff>
      <xdr:row>10</xdr:row>
      <xdr:rowOff>38099</xdr:rowOff>
    </xdr:from>
    <xdr:to>
      <xdr:col>6</xdr:col>
      <xdr:colOff>853441</xdr:colOff>
      <xdr:row>23</xdr:row>
      <xdr:rowOff>102801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9B34EC7-5B76-406A-AA2A-38139482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937" y="2103119"/>
          <a:ext cx="1810583" cy="1835681"/>
        </a:xfrm>
        <a:prstGeom prst="rect">
          <a:avLst/>
        </a:prstGeom>
      </xdr:spPr>
    </xdr:pic>
    <xdr:clientData/>
  </xdr:twoCellAnchor>
  <xdr:twoCellAnchor editAs="oneCell">
    <xdr:from>
      <xdr:col>2</xdr:col>
      <xdr:colOff>371061</xdr:colOff>
      <xdr:row>16</xdr:row>
      <xdr:rowOff>0</xdr:rowOff>
    </xdr:from>
    <xdr:to>
      <xdr:col>3</xdr:col>
      <xdr:colOff>23741</xdr:colOff>
      <xdr:row>25</xdr:row>
      <xdr:rowOff>103933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D5D5A94-9F7A-4962-9F6F-4E386469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7600" y="2888974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751425</xdr:colOff>
      <xdr:row>14</xdr:row>
      <xdr:rowOff>94713</xdr:rowOff>
    </xdr:from>
    <xdr:to>
      <xdr:col>1</xdr:col>
      <xdr:colOff>298</xdr:colOff>
      <xdr:row>27</xdr:row>
      <xdr:rowOff>32732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083B62B-29DE-49F9-BCCD-61CF1E97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425" y="2999278"/>
          <a:ext cx="1795410" cy="1628449"/>
        </a:xfrm>
        <a:prstGeom prst="rect">
          <a:avLst/>
        </a:prstGeom>
      </xdr:spPr>
    </xdr:pic>
    <xdr:clientData/>
  </xdr:twoCellAnchor>
  <xdr:twoCellAnchor editAs="oneCell">
    <xdr:from>
      <xdr:col>6</xdr:col>
      <xdr:colOff>840442</xdr:colOff>
      <xdr:row>0</xdr:row>
      <xdr:rowOff>100853</xdr:rowOff>
    </xdr:from>
    <xdr:to>
      <xdr:col>8</xdr:col>
      <xdr:colOff>790262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C7EDB08-F6C8-411F-A102-55544AA4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92236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163125</xdr:colOff>
      <xdr:row>12</xdr:row>
      <xdr:rowOff>353869</xdr:rowOff>
    </xdr:from>
    <xdr:to>
      <xdr:col>8</xdr:col>
      <xdr:colOff>1904</xdr:colOff>
      <xdr:row>24</xdr:row>
      <xdr:rowOff>226730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84" y="2897604"/>
          <a:ext cx="2122874" cy="2461420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934771</xdr:colOff>
      <xdr:row>22</xdr:row>
      <xdr:rowOff>28812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2302988</xdr:colOff>
      <xdr:row>21</xdr:row>
      <xdr:rowOff>170361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0</xdr:row>
      <xdr:rowOff>134471</xdr:rowOff>
    </xdr:from>
    <xdr:to>
      <xdr:col>8</xdr:col>
      <xdr:colOff>1425186</xdr:colOff>
      <xdr:row>2</xdr:row>
      <xdr:rowOff>272964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8E0CE2-99DE-4945-86D1-7C99C6D9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6441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246561</xdr:colOff>
      <xdr:row>17</xdr:row>
      <xdr:rowOff>54800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91665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816458</xdr:colOff>
      <xdr:row>9</xdr:row>
      <xdr:rowOff>157860</xdr:rowOff>
    </xdr:from>
    <xdr:to>
      <xdr:col>8</xdr:col>
      <xdr:colOff>1545</xdr:colOff>
      <xdr:row>20</xdr:row>
      <xdr:rowOff>168072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6011" y="2174919"/>
          <a:ext cx="1802781" cy="2028615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14</xdr:row>
      <xdr:rowOff>38224</xdr:rowOff>
    </xdr:from>
    <xdr:to>
      <xdr:col>3</xdr:col>
      <xdr:colOff>15240</xdr:colOff>
      <xdr:row>22</xdr:row>
      <xdr:rowOff>132129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404692</xdr:colOff>
      <xdr:row>14</xdr:row>
      <xdr:rowOff>51247</xdr:rowOff>
    </xdr:from>
    <xdr:to>
      <xdr:col>2</xdr:col>
      <xdr:colOff>131204</xdr:colOff>
      <xdr:row>20</xdr:row>
      <xdr:rowOff>57495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4692" y="3063388"/>
          <a:ext cx="3340633" cy="102385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145677</xdr:rowOff>
    </xdr:from>
    <xdr:to>
      <xdr:col>8</xdr:col>
      <xdr:colOff>1470010</xdr:colOff>
      <xdr:row>2</xdr:row>
      <xdr:rowOff>286075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31A1E5F-481D-4C91-9ABB-5365D2F0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50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15</xdr:row>
      <xdr:rowOff>94437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163709</xdr:colOff>
      <xdr:row>3</xdr:row>
      <xdr:rowOff>133382</xdr:rowOff>
    </xdr:from>
    <xdr:to>
      <xdr:col>8</xdr:col>
      <xdr:colOff>1561084</xdr:colOff>
      <xdr:row>5</xdr:row>
      <xdr:rowOff>131001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3944" y="868488"/>
          <a:ext cx="2742081" cy="543905"/>
        </a:xfrm>
        <a:prstGeom prst="rect">
          <a:avLst/>
        </a:prstGeom>
      </xdr:spPr>
    </xdr:pic>
    <xdr:clientData/>
  </xdr:twoCellAnchor>
  <xdr:twoCellAnchor editAs="oneCell">
    <xdr:from>
      <xdr:col>5</xdr:col>
      <xdr:colOff>546847</xdr:colOff>
      <xdr:row>12</xdr:row>
      <xdr:rowOff>171407</xdr:rowOff>
    </xdr:from>
    <xdr:to>
      <xdr:col>7</xdr:col>
      <xdr:colOff>310830</xdr:colOff>
      <xdr:row>21</xdr:row>
      <xdr:rowOff>210990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14329" y="2672560"/>
          <a:ext cx="1775887" cy="200935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3</xdr:col>
      <xdr:colOff>244609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11768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123265</xdr:rowOff>
    </xdr:from>
    <xdr:to>
      <xdr:col>8</xdr:col>
      <xdr:colOff>1501947</xdr:colOff>
      <xdr:row>2</xdr:row>
      <xdr:rowOff>250328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9523F9C-ECBC-40BF-B221-389C8F3D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779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8966</xdr:rowOff>
    </xdr:from>
    <xdr:to>
      <xdr:col>8</xdr:col>
      <xdr:colOff>876</xdr:colOff>
      <xdr:row>20</xdr:row>
      <xdr:rowOff>94621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93624" y="2259107"/>
          <a:ext cx="158762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3</xdr:col>
      <xdr:colOff>168167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78441</xdr:rowOff>
    </xdr:from>
    <xdr:to>
      <xdr:col>8</xdr:col>
      <xdr:colOff>1470010</xdr:colOff>
      <xdr:row>2</xdr:row>
      <xdr:rowOff>211219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6396A4D-5434-4ED9-8E31-B1E180F0F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197224</xdr:colOff>
      <xdr:row>17</xdr:row>
      <xdr:rowOff>52018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1569154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753036</xdr:colOff>
      <xdr:row>11</xdr:row>
      <xdr:rowOff>3</xdr:rowOff>
    </xdr:from>
    <xdr:to>
      <xdr:col>8</xdr:col>
      <xdr:colOff>877</xdr:colOff>
      <xdr:row>20</xdr:row>
      <xdr:rowOff>95183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4660" y="2250144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3</xdr:col>
      <xdr:colOff>106758</xdr:colOff>
      <xdr:row>22</xdr:row>
      <xdr:rowOff>62753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123264</xdr:rowOff>
    </xdr:from>
    <xdr:to>
      <xdr:col>8</xdr:col>
      <xdr:colOff>1473820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0DAFF84-7DDA-441A-AA67-A1C45ECA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89535</xdr:colOff>
      <xdr:row>5</xdr:row>
      <xdr:rowOff>53340</xdr:rowOff>
    </xdr:from>
    <xdr:to>
      <xdr:col>5</xdr:col>
      <xdr:colOff>362397</xdr:colOff>
      <xdr:row>17</xdr:row>
      <xdr:rowOff>1062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2994" y="1362187"/>
          <a:ext cx="1273100" cy="213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1571058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10</xdr:row>
      <xdr:rowOff>53790</xdr:rowOff>
    </xdr:from>
    <xdr:to>
      <xdr:col>8</xdr:col>
      <xdr:colOff>876</xdr:colOff>
      <xdr:row>20</xdr:row>
      <xdr:rowOff>380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5341" y="2250143"/>
          <a:ext cx="159659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1506071</xdr:colOff>
      <xdr:row>14</xdr:row>
      <xdr:rowOff>26894</xdr:rowOff>
    </xdr:from>
    <xdr:to>
      <xdr:col>3</xdr:col>
      <xdr:colOff>159114</xdr:colOff>
      <xdr:row>21</xdr:row>
      <xdr:rowOff>35860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27812" y="2868706"/>
          <a:ext cx="1833609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45046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100853</xdr:rowOff>
    </xdr:from>
    <xdr:to>
      <xdr:col>8</xdr:col>
      <xdr:colOff>1498137</xdr:colOff>
      <xdr:row>2</xdr:row>
      <xdr:rowOff>239346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92C12B6-FF85-4DA3-AA2D-2A4F07DA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71412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8967</xdr:rowOff>
    </xdr:from>
    <xdr:to>
      <xdr:col>7</xdr:col>
      <xdr:colOff>305676</xdr:colOff>
      <xdr:row>21</xdr:row>
      <xdr:rowOff>113112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466730" y="2429438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439270</xdr:colOff>
      <xdr:row>19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1070022</xdr:colOff>
      <xdr:row>11</xdr:row>
      <xdr:rowOff>17929</xdr:rowOff>
    </xdr:from>
    <xdr:to>
      <xdr:col>2</xdr:col>
      <xdr:colOff>2241409</xdr:colOff>
      <xdr:row>20</xdr:row>
      <xdr:rowOff>35857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69034" y="2429435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1048870</xdr:colOff>
      <xdr:row>11</xdr:row>
      <xdr:rowOff>134472</xdr:rowOff>
    </xdr:from>
    <xdr:to>
      <xdr:col>1</xdr:col>
      <xdr:colOff>345141</xdr:colOff>
      <xdr:row>20</xdr:row>
      <xdr:rowOff>406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48870" y="2554943"/>
          <a:ext cx="1761565" cy="1354075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100853</xdr:rowOff>
    </xdr:from>
    <xdr:to>
      <xdr:col>8</xdr:col>
      <xdr:colOff>1485026</xdr:colOff>
      <xdr:row>2</xdr:row>
      <xdr:rowOff>237441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7297D85-AC46-49BD-BB65-118945D2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242048</xdr:colOff>
      <xdr:row>19</xdr:row>
      <xdr:rowOff>13501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1569151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193797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2534019</xdr:colOff>
      <xdr:row>21</xdr:row>
      <xdr:rowOff>8963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11</xdr:row>
      <xdr:rowOff>62752</xdr:rowOff>
    </xdr:from>
    <xdr:to>
      <xdr:col>1</xdr:col>
      <xdr:colOff>71718</xdr:colOff>
      <xdr:row>19</xdr:row>
      <xdr:rowOff>68940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66800" y="2483223"/>
          <a:ext cx="1532965" cy="134192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78442</xdr:rowOff>
    </xdr:from>
    <xdr:to>
      <xdr:col>8</xdr:col>
      <xdr:colOff>1462614</xdr:colOff>
      <xdr:row>2</xdr:row>
      <xdr:rowOff>215030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BBA275D-6BC0-42A6-9900-F8EC765B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0" y="78442"/>
          <a:ext cx="1283320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17</xdr:row>
      <xdr:rowOff>25630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1551558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259352</xdr:colOff>
      <xdr:row>20</xdr:row>
      <xdr:rowOff>153134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1432560</xdr:colOff>
      <xdr:row>12</xdr:row>
      <xdr:rowOff>0</xdr:rowOff>
    </xdr:from>
    <xdr:to>
      <xdr:col>2</xdr:col>
      <xdr:colOff>2607757</xdr:colOff>
      <xdr:row>20</xdr:row>
      <xdr:rowOff>179629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2040" y="2354580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1277760</xdr:colOff>
      <xdr:row>12</xdr:row>
      <xdr:rowOff>145103</xdr:rowOff>
    </xdr:from>
    <xdr:to>
      <xdr:col>1</xdr:col>
      <xdr:colOff>360845</xdr:colOff>
      <xdr:row>19</xdr:row>
      <xdr:rowOff>145631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7760" y="2906232"/>
          <a:ext cx="1580428" cy="116784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89647</xdr:rowOff>
    </xdr:from>
    <xdr:to>
      <xdr:col>8</xdr:col>
      <xdr:colOff>1498136</xdr:colOff>
      <xdr:row>2</xdr:row>
      <xdr:rowOff>226235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CD38741-DC2D-4729-88FA-76C1A710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14529" y="89647"/>
          <a:ext cx="1283320" cy="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944880</xdr:colOff>
      <xdr:row>4</xdr:row>
      <xdr:rowOff>60960</xdr:rowOff>
    </xdr:from>
    <xdr:to>
      <xdr:col>4</xdr:col>
      <xdr:colOff>747656</xdr:colOff>
      <xdr:row>12</xdr:row>
      <xdr:rowOff>135816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4660" y="853440"/>
          <a:ext cx="81534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730624</xdr:colOff>
      <xdr:row>10</xdr:row>
      <xdr:rowOff>4483</xdr:rowOff>
    </xdr:from>
    <xdr:to>
      <xdr:col>7</xdr:col>
      <xdr:colOff>292229</xdr:colOff>
      <xdr:row>19</xdr:row>
      <xdr:rowOff>128798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0859" y="2093259"/>
          <a:ext cx="1569699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1775012</xdr:colOff>
      <xdr:row>11</xdr:row>
      <xdr:rowOff>152401</xdr:rowOff>
    </xdr:from>
    <xdr:to>
      <xdr:col>2</xdr:col>
      <xdr:colOff>2946399</xdr:colOff>
      <xdr:row>20</xdr:row>
      <xdr:rowOff>107576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4024" y="2393577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1344707</xdr:colOff>
      <xdr:row>11</xdr:row>
      <xdr:rowOff>143435</xdr:rowOff>
    </xdr:from>
    <xdr:to>
      <xdr:col>1</xdr:col>
      <xdr:colOff>123266</xdr:colOff>
      <xdr:row>18</xdr:row>
      <xdr:rowOff>132876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4707" y="2563906"/>
          <a:ext cx="1324535" cy="1154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123264</xdr:rowOff>
    </xdr:from>
    <xdr:to>
      <xdr:col>8</xdr:col>
      <xdr:colOff>1485026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ADE28CF-4CB4-4661-864E-81EEC51B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8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16</xdr:row>
      <xdr:rowOff>6820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717177</xdr:colOff>
      <xdr:row>8</xdr:row>
      <xdr:rowOff>143441</xdr:rowOff>
    </xdr:from>
    <xdr:to>
      <xdr:col>7</xdr:col>
      <xdr:colOff>278782</xdr:colOff>
      <xdr:row>18</xdr:row>
      <xdr:rowOff>133286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170895" y="1900523"/>
          <a:ext cx="1569699" cy="1809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1981200</xdr:colOff>
      <xdr:row>11</xdr:row>
      <xdr:rowOff>71716</xdr:rowOff>
    </xdr:from>
    <xdr:to>
      <xdr:col>3</xdr:col>
      <xdr:colOff>2613</xdr:colOff>
      <xdr:row>20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0212" y="2483222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1317814</xdr:colOff>
      <xdr:row>11</xdr:row>
      <xdr:rowOff>161363</xdr:rowOff>
    </xdr:from>
    <xdr:to>
      <xdr:col>1</xdr:col>
      <xdr:colOff>2244</xdr:colOff>
      <xdr:row>18</xdr:row>
      <xdr:rowOff>35399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17814" y="2581834"/>
          <a:ext cx="1127312" cy="103944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78441</xdr:rowOff>
    </xdr:from>
    <xdr:to>
      <xdr:col>8</xdr:col>
      <xdr:colOff>1496231</xdr:colOff>
      <xdr:row>2</xdr:row>
      <xdr:rowOff>215029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27B887-335B-4025-A81E-9B42C78D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140188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13</xdr:row>
      <xdr:rowOff>175940</xdr:rowOff>
    </xdr:from>
    <xdr:to>
      <xdr:col>8</xdr:col>
      <xdr:colOff>2191</xdr:colOff>
      <xdr:row>23</xdr:row>
      <xdr:rowOff>123940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9975" y="2686058"/>
          <a:ext cx="1635052" cy="1826778"/>
        </a:xfrm>
        <a:prstGeom prst="rect">
          <a:avLst/>
        </a:prstGeom>
      </xdr:spPr>
    </xdr:pic>
    <xdr:clientData/>
  </xdr:twoCellAnchor>
  <xdr:twoCellAnchor editAs="oneCell">
    <xdr:from>
      <xdr:col>4</xdr:col>
      <xdr:colOff>439479</xdr:colOff>
      <xdr:row>5</xdr:row>
      <xdr:rowOff>83820</xdr:rowOff>
    </xdr:from>
    <xdr:to>
      <xdr:col>5</xdr:col>
      <xdr:colOff>555841</xdr:colOff>
      <xdr:row>17</xdr:row>
      <xdr:rowOff>117514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5099" y="1280160"/>
          <a:ext cx="1114582" cy="217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85212</xdr:colOff>
      <xdr:row>16</xdr:row>
      <xdr:rowOff>14884</xdr:rowOff>
    </xdr:from>
    <xdr:to>
      <xdr:col>3</xdr:col>
      <xdr:colOff>896472</xdr:colOff>
      <xdr:row>24</xdr:row>
      <xdr:rowOff>141867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8492" y="2849524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682666</xdr:colOff>
      <xdr:row>15</xdr:row>
      <xdr:rowOff>18830</xdr:rowOff>
    </xdr:from>
    <xdr:to>
      <xdr:col>0</xdr:col>
      <xdr:colOff>2488381</xdr:colOff>
      <xdr:row>24</xdr:row>
      <xdr:rowOff>136071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682666" y="3022006"/>
          <a:ext cx="1801905" cy="16636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1501946</xdr:colOff>
      <xdr:row>2</xdr:row>
      <xdr:rowOff>241250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C95FE8A-CDAA-45B1-96DA-842B379F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9558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313765</xdr:colOff>
      <xdr:row>14</xdr:row>
      <xdr:rowOff>79067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739588</xdr:colOff>
      <xdr:row>11</xdr:row>
      <xdr:rowOff>5</xdr:rowOff>
    </xdr:from>
    <xdr:to>
      <xdr:col>7</xdr:col>
      <xdr:colOff>301193</xdr:colOff>
      <xdr:row>20</xdr:row>
      <xdr:rowOff>50361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9141" y="2250146"/>
          <a:ext cx="156969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1488141</xdr:colOff>
      <xdr:row>15</xdr:row>
      <xdr:rowOff>89647</xdr:rowOff>
    </xdr:from>
    <xdr:to>
      <xdr:col>3</xdr:col>
      <xdr:colOff>139279</xdr:colOff>
      <xdr:row>22</xdr:row>
      <xdr:rowOff>98612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87153" y="2823882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47064</xdr:colOff>
      <xdr:row>20</xdr:row>
      <xdr:rowOff>14255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145676</xdr:rowOff>
    </xdr:from>
    <xdr:to>
      <xdr:col>8</xdr:col>
      <xdr:colOff>1451408</xdr:colOff>
      <xdr:row>2</xdr:row>
      <xdr:rowOff>282264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F2AA06B-90A2-4FAB-8D37-08F18955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206188</xdr:colOff>
      <xdr:row>6</xdr:row>
      <xdr:rowOff>35858</xdr:rowOff>
    </xdr:from>
    <xdr:to>
      <xdr:col>5</xdr:col>
      <xdr:colOff>448236</xdr:colOff>
      <xdr:row>18</xdr:row>
      <xdr:rowOff>129400</xdr:rowOff>
    </xdr:to>
    <xdr:pic>
      <xdr:nvPicPr>
        <xdr:cNvPr id="286938" name="Obrázek 4">
          <a:extLst>
            <a:ext uri="{FF2B5EF4-FFF2-40B4-BE49-F238E27FC236}">
              <a16:creationId xmlns:a16="http://schemas.microsoft.com/office/drawing/2014/main" id="{00000000-0008-0000-2400-0000DA6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5859" y="1470211"/>
          <a:ext cx="1246094" cy="221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166999</xdr:rowOff>
    </xdr:from>
    <xdr:to>
      <xdr:col>8</xdr:col>
      <xdr:colOff>1531052</xdr:colOff>
      <xdr:row>6</xdr:row>
      <xdr:rowOff>22414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6380" y="727293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1515035</xdr:colOff>
      <xdr:row>15</xdr:row>
      <xdr:rowOff>35859</xdr:rowOff>
    </xdr:from>
    <xdr:to>
      <xdr:col>3</xdr:col>
      <xdr:colOff>166173</xdr:colOff>
      <xdr:row>22</xdr:row>
      <xdr:rowOff>44825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B2A6871-69CB-4FE4-A247-5A211172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14047" y="27700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313767</xdr:colOff>
      <xdr:row>14</xdr:row>
      <xdr:rowOff>119301</xdr:rowOff>
    </xdr:from>
    <xdr:to>
      <xdr:col>1</xdr:col>
      <xdr:colOff>791135</xdr:colOff>
      <xdr:row>19</xdr:row>
      <xdr:rowOff>174471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83F06C-86FA-4FFD-9234-D16255FB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67" y="3032830"/>
          <a:ext cx="3014380" cy="888888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313764</xdr:colOff>
      <xdr:row>13</xdr:row>
      <xdr:rowOff>164124</xdr:rowOff>
    </xdr:from>
    <xdr:to>
      <xdr:col>2</xdr:col>
      <xdr:colOff>1057837</xdr:colOff>
      <xdr:row>20</xdr:row>
      <xdr:rowOff>98871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5FFD245-4A22-448D-9639-9811C4C28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9805"/>
        <a:stretch/>
      </xdr:blipFill>
      <xdr:spPr>
        <a:xfrm>
          <a:off x="3944470" y="2907324"/>
          <a:ext cx="744073" cy="1144982"/>
        </a:xfrm>
        <a:prstGeom prst="rect">
          <a:avLst/>
        </a:prstGeom>
      </xdr:spPr>
    </xdr:pic>
    <xdr:clientData/>
  </xdr:twoCellAnchor>
  <xdr:twoCellAnchor editAs="oneCell">
    <xdr:from>
      <xdr:col>5</xdr:col>
      <xdr:colOff>886894</xdr:colOff>
      <xdr:row>8</xdr:row>
      <xdr:rowOff>152400</xdr:rowOff>
    </xdr:from>
    <xdr:to>
      <xdr:col>8</xdr:col>
      <xdr:colOff>412376</xdr:colOff>
      <xdr:row>19</xdr:row>
      <xdr:rowOff>6647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128A305-847D-4E06-9BBA-272953CF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40612" y="1909482"/>
          <a:ext cx="1856305" cy="1835447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156884</xdr:colOff>
      <xdr:row>0</xdr:row>
      <xdr:rowOff>123264</xdr:rowOff>
    </xdr:from>
    <xdr:to>
      <xdr:col>8</xdr:col>
      <xdr:colOff>1440204</xdr:colOff>
      <xdr:row>2</xdr:row>
      <xdr:rowOff>259852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159C7F6-516F-487B-9995-7CB86CF7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81766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295836</xdr:colOff>
      <xdr:row>18</xdr:row>
      <xdr:rowOff>19022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1553464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2187388</xdr:colOff>
      <xdr:row>13</xdr:row>
      <xdr:rowOff>8966</xdr:rowOff>
    </xdr:from>
    <xdr:to>
      <xdr:col>3</xdr:col>
      <xdr:colOff>23905</xdr:colOff>
      <xdr:row>20</xdr:row>
      <xdr:rowOff>81962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2420472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2414316</xdr:colOff>
      <xdr:row>18</xdr:row>
      <xdr:rowOff>53786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358590</xdr:colOff>
      <xdr:row>16</xdr:row>
      <xdr:rowOff>141735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0</xdr:row>
      <xdr:rowOff>112059</xdr:rowOff>
    </xdr:from>
    <xdr:to>
      <xdr:col>8</xdr:col>
      <xdr:colOff>1462615</xdr:colOff>
      <xdr:row>2</xdr:row>
      <xdr:rowOff>248647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E66EFD-A4E3-400F-8AAC-238DF553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304799</xdr:colOff>
      <xdr:row>18</xdr:row>
      <xdr:rowOff>4089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1519847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2052918</xdr:colOff>
      <xdr:row>14</xdr:row>
      <xdr:rowOff>98612</xdr:rowOff>
    </xdr:from>
    <xdr:to>
      <xdr:col>2</xdr:col>
      <xdr:colOff>3071905</xdr:colOff>
      <xdr:row>22</xdr:row>
      <xdr:rowOff>55067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8824" y="2590800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215400</xdr:colOff>
      <xdr:row>20</xdr:row>
      <xdr:rowOff>62948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730525</xdr:colOff>
      <xdr:row>18</xdr:row>
      <xdr:rowOff>105290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1496231</xdr:colOff>
      <xdr:row>2</xdr:row>
      <xdr:rowOff>237440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B487A42-9A99-406C-854A-32E85225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7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179293</xdr:colOff>
      <xdr:row>16</xdr:row>
      <xdr:rowOff>153782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1425389</xdr:colOff>
      <xdr:row>13</xdr:row>
      <xdr:rowOff>152400</xdr:rowOff>
    </xdr:from>
    <xdr:to>
      <xdr:col>3</xdr:col>
      <xdr:colOff>76527</xdr:colOff>
      <xdr:row>20</xdr:row>
      <xdr:rowOff>116542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29201" y="30748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376519</xdr:colOff>
      <xdr:row>14</xdr:row>
      <xdr:rowOff>53790</xdr:rowOff>
    </xdr:from>
    <xdr:to>
      <xdr:col>2</xdr:col>
      <xdr:colOff>378759</xdr:colOff>
      <xdr:row>20</xdr:row>
      <xdr:rowOff>39815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6519" y="3048002"/>
          <a:ext cx="3606052" cy="1016966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567540</xdr:colOff>
      <xdr:row>17</xdr:row>
      <xdr:rowOff>123219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123265</xdr:rowOff>
    </xdr:from>
    <xdr:to>
      <xdr:col>8</xdr:col>
      <xdr:colOff>1462614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53F8E9FD-7B51-442C-AB2B-07D1E5F3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394447</xdr:colOff>
      <xdr:row>17</xdr:row>
      <xdr:rowOff>141811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1531051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1398495</xdr:colOff>
      <xdr:row>14</xdr:row>
      <xdr:rowOff>53789</xdr:rowOff>
    </xdr:from>
    <xdr:to>
      <xdr:col>3</xdr:col>
      <xdr:colOff>49633</xdr:colOff>
      <xdr:row>21</xdr:row>
      <xdr:rowOff>107578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7507" y="2716307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206189</xdr:colOff>
      <xdr:row>13</xdr:row>
      <xdr:rowOff>215157</xdr:rowOff>
    </xdr:from>
    <xdr:to>
      <xdr:col>2</xdr:col>
      <xdr:colOff>403412</xdr:colOff>
      <xdr:row>20</xdr:row>
      <xdr:rowOff>20425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6189" y="3137651"/>
          <a:ext cx="3818964" cy="1087221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134470</xdr:rowOff>
    </xdr:from>
    <xdr:to>
      <xdr:col>8</xdr:col>
      <xdr:colOff>1507437</xdr:colOff>
      <xdr:row>2</xdr:row>
      <xdr:rowOff>271058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798C743-5E89-4B1C-99B2-2B505D2BA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134470"/>
          <a:ext cx="1283320" cy="540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65332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95845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3398221</xdr:colOff>
      <xdr:row>22</xdr:row>
      <xdr:rowOff>125554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69812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24990</xdr:colOff>
      <xdr:row>19</xdr:row>
      <xdr:rowOff>101601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145677</xdr:rowOff>
    </xdr:from>
    <xdr:to>
      <xdr:col>8</xdr:col>
      <xdr:colOff>592365</xdr:colOff>
      <xdr:row>2</xdr:row>
      <xdr:rowOff>286075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359C30-6768-4CF8-B40A-C43E2C4A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26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3402983</xdr:colOff>
      <xdr:row>22</xdr:row>
      <xdr:rowOff>125553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89044</xdr:colOff>
      <xdr:row>19</xdr:row>
      <xdr:rowOff>63090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1411285</xdr:colOff>
      <xdr:row>19</xdr:row>
      <xdr:rowOff>101473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6</xdr:col>
      <xdr:colOff>582706</xdr:colOff>
      <xdr:row>0</xdr:row>
      <xdr:rowOff>134471</xdr:rowOff>
    </xdr:from>
    <xdr:to>
      <xdr:col>8</xdr:col>
      <xdr:colOff>532526</xdr:colOff>
      <xdr:row>2</xdr:row>
      <xdr:rowOff>277726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7516DF2-B715-4749-BB3D-E279FA74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5500" y="134471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65332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65332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1039905</xdr:colOff>
      <xdr:row>17</xdr:row>
      <xdr:rowOff>53789</xdr:rowOff>
    </xdr:from>
    <xdr:to>
      <xdr:col>2</xdr:col>
      <xdr:colOff>3398221</xdr:colOff>
      <xdr:row>26</xdr:row>
      <xdr:rowOff>125551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33581" y="2799230"/>
          <a:ext cx="2356411" cy="1616270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892660</xdr:colOff>
      <xdr:row>18</xdr:row>
      <xdr:rowOff>140377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2494421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21740</xdr:colOff>
      <xdr:row>19</xdr:row>
      <xdr:rowOff>2328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649941</xdr:colOff>
      <xdr:row>0</xdr:row>
      <xdr:rowOff>145676</xdr:rowOff>
    </xdr:from>
    <xdr:to>
      <xdr:col>8</xdr:col>
      <xdr:colOff>597856</xdr:colOff>
      <xdr:row>2</xdr:row>
      <xdr:rowOff>286074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D8AF59B-443E-46FB-A659-D564A53C5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5500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1</xdr:col>
      <xdr:colOff>1114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21</xdr:row>
      <xdr:rowOff>11206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</xdr:colOff>
      <xdr:row>17</xdr:row>
      <xdr:rowOff>138126</xdr:rowOff>
    </xdr:from>
    <xdr:to>
      <xdr:col>2</xdr:col>
      <xdr:colOff>2484158</xdr:colOff>
      <xdr:row>27</xdr:row>
      <xdr:rowOff>46620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65" y="2657208"/>
          <a:ext cx="2421405" cy="1629718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826998</xdr:colOff>
      <xdr:row>23</xdr:row>
      <xdr:rowOff>80384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145676</xdr:rowOff>
    </xdr:from>
    <xdr:to>
      <xdr:col>8</xdr:col>
      <xdr:colOff>588555</xdr:colOff>
      <xdr:row>2</xdr:row>
      <xdr:rowOff>282264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9037BE0-CC8A-4747-82BF-DF78E6A9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16353" y="145676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1582485</xdr:colOff>
      <xdr:row>5</xdr:row>
      <xdr:rowOff>95701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8</xdr:col>
      <xdr:colOff>1347</xdr:colOff>
      <xdr:row>23</xdr:row>
      <xdr:rowOff>134016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373" y="2857498"/>
          <a:ext cx="1660154" cy="179898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96934</xdr:colOff>
      <xdr:row>24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2571302</xdr:colOff>
      <xdr:row>25</xdr:row>
      <xdr:rowOff>17334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51992"/>
          <a:ext cx="1801905" cy="1715472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1503628</xdr:colOff>
      <xdr:row>2</xdr:row>
      <xdr:rowOff>244836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FD340D3-7782-46CE-917A-828CCDC2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13098" y="112058"/>
          <a:ext cx="1283320" cy="540448"/>
        </a:xfrm>
        <a:prstGeom prst="rect">
          <a:avLst/>
        </a:prstGeom>
      </xdr:spPr>
    </xdr:pic>
    <xdr:clientData/>
  </xdr:twoCellAnchor>
  <xdr:twoCellAnchor>
    <xdr:from>
      <xdr:col>4</xdr:col>
      <xdr:colOff>63202</xdr:colOff>
      <xdr:row>4</xdr:row>
      <xdr:rowOff>98612</xdr:rowOff>
    </xdr:from>
    <xdr:to>
      <xdr:col>5</xdr:col>
      <xdr:colOff>627082</xdr:colOff>
      <xdr:row>19</xdr:row>
      <xdr:rowOff>152400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7611484" y="1147483"/>
          <a:ext cx="1567927" cy="2823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244943" cy="14447552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127309" cy="11038336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1896528" cy="9556375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321102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057909" cy="15540337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632461</xdr:colOff>
      <xdr:row>4</xdr:row>
      <xdr:rowOff>103094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441961</xdr:colOff>
      <xdr:row>5</xdr:row>
      <xdr:rowOff>129540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400272</xdr:colOff>
      <xdr:row>15</xdr:row>
      <xdr:rowOff>26895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584497</xdr:colOff>
      <xdr:row>29</xdr:row>
      <xdr:rowOff>22861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236220</xdr:colOff>
      <xdr:row>48</xdr:row>
      <xdr:rowOff>22860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335280</xdr:colOff>
      <xdr:row>9</xdr:row>
      <xdr:rowOff>68580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6</xdr:col>
      <xdr:colOff>225910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94518</xdr:colOff>
      <xdr:row>35</xdr:row>
      <xdr:rowOff>132521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504652</xdr:colOff>
      <xdr:row>38</xdr:row>
      <xdr:rowOff>57687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564776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466163</xdr:colOff>
      <xdr:row>20</xdr:row>
      <xdr:rowOff>71718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519953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986118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560294</xdr:colOff>
      <xdr:row>85</xdr:row>
      <xdr:rowOff>144916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2891119</xdr:colOff>
      <xdr:row>86</xdr:row>
      <xdr:rowOff>20941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4</xdr:col>
      <xdr:colOff>403413</xdr:colOff>
      <xdr:row>85</xdr:row>
      <xdr:rowOff>99008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1321278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523570</xdr:colOff>
      <xdr:row>23</xdr:row>
      <xdr:rowOff>133982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0" y="2803828"/>
          <a:ext cx="1737055" cy="1944064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751131</xdr:colOff>
      <xdr:row>24</xdr:row>
      <xdr:rowOff>57485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42501" y="3326894"/>
          <a:ext cx="3371355" cy="15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21229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1516738</xdr:colOff>
      <xdr:row>2</xdr:row>
      <xdr:rowOff>239346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C8E0A2-0A9B-44C5-957F-89D60C85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75763" y="100853"/>
          <a:ext cx="1283320" cy="540448"/>
        </a:xfrm>
        <a:prstGeom prst="rect">
          <a:avLst/>
        </a:prstGeom>
      </xdr:spPr>
    </xdr:pic>
    <xdr:clientData/>
  </xdr:twoCellAnchor>
  <xdr:twoCellAnchor>
    <xdr:from>
      <xdr:col>3</xdr:col>
      <xdr:colOff>959223</xdr:colOff>
      <xdr:row>9</xdr:row>
      <xdr:rowOff>152401</xdr:rowOff>
    </xdr:from>
    <xdr:to>
      <xdr:col>5</xdr:col>
      <xdr:colOff>549536</xdr:colOff>
      <xdr:row>20</xdr:row>
      <xdr:rowOff>51100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352" y="2097742"/>
          <a:ext cx="1598408" cy="205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521665</xdr:colOff>
      <xdr:row>23</xdr:row>
      <xdr:rowOff>130172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482" y="2768417"/>
          <a:ext cx="1697611" cy="1956167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749226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3866" y="2942084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4</xdr:col>
      <xdr:colOff>283000</xdr:colOff>
      <xdr:row>7</xdr:row>
      <xdr:rowOff>38100</xdr:rowOff>
    </xdr:from>
    <xdr:to>
      <xdr:col>5</xdr:col>
      <xdr:colOff>670139</xdr:colOff>
      <xdr:row>19</xdr:row>
      <xdr:rowOff>54572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1025" y="1657350"/>
          <a:ext cx="1402503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17419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605" y="3209087"/>
          <a:ext cx="1707054" cy="156724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1514833</xdr:colOff>
      <xdr:row>2</xdr:row>
      <xdr:rowOff>241251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FF4B337-2A6D-400E-9138-B2D8D4D7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649605</xdr:colOff>
      <xdr:row>13</xdr:row>
      <xdr:rowOff>232192</xdr:rowOff>
    </xdr:from>
    <xdr:to>
      <xdr:col>8</xdr:col>
      <xdr:colOff>560</xdr:colOff>
      <xdr:row>23</xdr:row>
      <xdr:rowOff>141755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2311" y="2742310"/>
          <a:ext cx="1635050" cy="182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162309</xdr:colOff>
      <xdr:row>16</xdr:row>
      <xdr:rowOff>52087</xdr:rowOff>
    </xdr:from>
    <xdr:to>
      <xdr:col>3</xdr:col>
      <xdr:colOff>969758</xdr:colOff>
      <xdr:row>25</xdr:row>
      <xdr:rowOff>17704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1321" y="2902863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15</xdr:row>
      <xdr:rowOff>33619</xdr:rowOff>
    </xdr:from>
    <xdr:to>
      <xdr:col>1</xdr:col>
      <xdr:colOff>8627</xdr:colOff>
      <xdr:row>24</xdr:row>
      <xdr:rowOff>130661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003178"/>
          <a:ext cx="1801905" cy="1647264"/>
        </a:xfrm>
        <a:prstGeom prst="rect">
          <a:avLst/>
        </a:prstGeom>
      </xdr:spPr>
    </xdr:pic>
    <xdr:clientData/>
  </xdr:twoCellAnchor>
  <xdr:twoCellAnchor editAs="oneCell">
    <xdr:from>
      <xdr:col>4</xdr:col>
      <xdr:colOff>166785</xdr:colOff>
      <xdr:row>6</xdr:row>
      <xdr:rowOff>98613</xdr:rowOff>
    </xdr:from>
    <xdr:to>
      <xdr:col>5</xdr:col>
      <xdr:colOff>574440</xdr:colOff>
      <xdr:row>19</xdr:row>
      <xdr:rowOff>57601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3750" y="1532966"/>
          <a:ext cx="1411702" cy="2241177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103094</xdr:rowOff>
    </xdr:from>
    <xdr:to>
      <xdr:col>8</xdr:col>
      <xdr:colOff>1503627</xdr:colOff>
      <xdr:row>2</xdr:row>
      <xdr:rowOff>241587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C16E46E-6600-4660-BB2B-8430D7E7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4029" y="103094"/>
          <a:ext cx="1283320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8</xdr:col>
      <xdr:colOff>310</xdr:colOff>
      <xdr:row>23</xdr:row>
      <xdr:rowOff>134968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0588" y="2817157"/>
          <a:ext cx="1620709" cy="1817814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25</xdr:row>
      <xdr:rowOff>19180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58" y="2955757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2574159</xdr:colOff>
      <xdr:row>25</xdr:row>
      <xdr:rowOff>21144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35407"/>
          <a:ext cx="1801905" cy="1713791"/>
        </a:xfrm>
        <a:prstGeom prst="rect">
          <a:avLst/>
        </a:prstGeom>
      </xdr:spPr>
    </xdr:pic>
    <xdr:clientData/>
  </xdr:twoCellAnchor>
  <xdr:twoCellAnchor editAs="oneCell">
    <xdr:from>
      <xdr:col>4</xdr:col>
      <xdr:colOff>546684</xdr:colOff>
      <xdr:row>5</xdr:row>
      <xdr:rowOff>17929</xdr:rowOff>
    </xdr:from>
    <xdr:to>
      <xdr:col>5</xdr:col>
      <xdr:colOff>533720</xdr:colOff>
      <xdr:row>19</xdr:row>
      <xdr:rowOff>20031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7377790" y="1290917"/>
          <a:ext cx="991084" cy="251743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1504580</xdr:colOff>
      <xdr:row>2</xdr:row>
      <xdr:rowOff>248646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96BB342-445C-4009-9C0E-2B83CFFE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4883" y="112058"/>
          <a:ext cx="1283320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744069</xdr:colOff>
      <xdr:row>13</xdr:row>
      <xdr:rowOff>253875</xdr:rowOff>
    </xdr:from>
    <xdr:to>
      <xdr:col>7</xdr:col>
      <xdr:colOff>310321</xdr:colOff>
      <xdr:row>24</xdr:row>
      <xdr:rowOff>26516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5716" y="2763993"/>
          <a:ext cx="1605723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456353</xdr:colOff>
      <xdr:row>16</xdr:row>
      <xdr:rowOff>33264</xdr:rowOff>
    </xdr:from>
    <xdr:to>
      <xdr:col>3</xdr:col>
      <xdr:colOff>647702</xdr:colOff>
      <xdr:row>24</xdr:row>
      <xdr:rowOff>152401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5365" y="288404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133476</xdr:colOff>
      <xdr:row>6</xdr:row>
      <xdr:rowOff>0</xdr:rowOff>
    </xdr:from>
    <xdr:to>
      <xdr:col>5</xdr:col>
      <xdr:colOff>658593</xdr:colOff>
      <xdr:row>19</xdr:row>
      <xdr:rowOff>188259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96276" y="1434353"/>
          <a:ext cx="1573986" cy="2474258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1008530</xdr:colOff>
      <xdr:row>15</xdr:row>
      <xdr:rowOff>22413</xdr:rowOff>
    </xdr:from>
    <xdr:to>
      <xdr:col>1</xdr:col>
      <xdr:colOff>8803</xdr:colOff>
      <xdr:row>24</xdr:row>
      <xdr:rowOff>76165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530" y="3059207"/>
          <a:ext cx="1644861" cy="1600164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0</xdr:row>
      <xdr:rowOff>112059</xdr:rowOff>
    </xdr:from>
    <xdr:to>
      <xdr:col>8</xdr:col>
      <xdr:colOff>1462613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0CC49F4-D6E1-47DD-9570-FB6FB894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73117" y="112059"/>
          <a:ext cx="1283320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18024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H252"/>
  <sheetViews>
    <sheetView zoomScale="85" zoomScaleNormal="85" workbookViewId="0">
      <pane ySplit="1" topLeftCell="A22" activePane="bottomLeft" state="frozenSplit"/>
      <selection activeCell="I60" sqref="I60"/>
      <selection pane="bottomLeft" activeCell="A48" sqref="A48"/>
    </sheetView>
  </sheetViews>
  <sheetFormatPr defaultColWidth="8.7109375" defaultRowHeight="12.75" x14ac:dyDescent="0.2"/>
  <cols>
    <col min="1" max="1" width="63.7109375" customWidth="1"/>
    <col min="2" max="2" width="45.140625" style="140" customWidth="1"/>
    <col min="3" max="3" width="17.42578125" customWidth="1"/>
    <col min="4" max="4" width="8.7109375" customWidth="1"/>
    <col min="5" max="5" width="127.42578125" style="147" customWidth="1"/>
  </cols>
  <sheetData>
    <row r="1" spans="1:8" ht="51" x14ac:dyDescent="0.2">
      <c r="A1" s="87" t="s">
        <v>15</v>
      </c>
      <c r="B1" s="377" t="s">
        <v>101</v>
      </c>
      <c r="C1" s="378" t="s">
        <v>102</v>
      </c>
      <c r="D1" s="378" t="s">
        <v>103</v>
      </c>
      <c r="E1" s="150" t="s">
        <v>104</v>
      </c>
      <c r="F1" s="87" t="s">
        <v>105</v>
      </c>
      <c r="G1" s="88">
        <f>cennik!A2</f>
        <v>2</v>
      </c>
      <c r="H1" t="s">
        <v>106</v>
      </c>
    </row>
    <row r="2" spans="1:8" ht="15" x14ac:dyDescent="0.25">
      <c r="A2" t="str">
        <f t="shared" ref="A2:A33" si="0">IF($G$1=1,B2,IF($G$1=2,D2,IF($G$1=3,E2,IF($G$1=4,C2,"zadat jazyk"))))</f>
        <v>druhá lišta nieje potrebná</v>
      </c>
      <c r="B2" s="379" t="s">
        <v>107</v>
      </c>
      <c r="C2" s="380" t="s">
        <v>108</v>
      </c>
      <c r="D2" s="380" t="s">
        <v>109</v>
      </c>
      <c r="E2" s="150" t="s">
        <v>110</v>
      </c>
    </row>
    <row r="3" spans="1:8" x14ac:dyDescent="0.2">
      <c r="A3" t="str">
        <f t="shared" si="0"/>
        <v>táto položka je na objednávku, počítajte prosím s dodaciou  lehotou  do 4 týždnov</v>
      </c>
      <c r="B3" s="140" t="s">
        <v>111</v>
      </c>
      <c r="C3" t="s">
        <v>215</v>
      </c>
      <c r="D3" t="s">
        <v>296</v>
      </c>
      <c r="E3" s="147" t="s">
        <v>112</v>
      </c>
    </row>
    <row r="4" spans="1:8" x14ac:dyDescent="0.2">
      <c r="A4" t="str">
        <f t="shared" si="0"/>
        <v>k tejto farbe nieje k dispozícií</v>
      </c>
      <c r="B4" s="140" t="s">
        <v>118</v>
      </c>
      <c r="C4" t="s">
        <v>216</v>
      </c>
      <c r="D4" t="s">
        <v>297</v>
      </c>
      <c r="E4" t="s">
        <v>489</v>
      </c>
    </row>
    <row r="5" spans="1:8" x14ac:dyDescent="0.2">
      <c r="A5" t="str">
        <f t="shared" si="0"/>
        <v>oliva kartáčovaná</v>
      </c>
      <c r="B5" s="140" t="s">
        <v>116</v>
      </c>
      <c r="C5" t="s">
        <v>201</v>
      </c>
      <c r="D5" t="s">
        <v>116</v>
      </c>
      <c r="E5" s="147" t="s">
        <v>430</v>
      </c>
    </row>
    <row r="6" spans="1:8" x14ac:dyDescent="0.2">
      <c r="A6" t="str">
        <f t="shared" si="0"/>
        <v xml:space="preserve">Pokiaľ budete používať ako výplň sklo / zrkadlo, je nutné doobjednať tesnenie. Dĺžka tesnenia na jedno krídlo je </v>
      </c>
      <c r="B6" s="140" t="s">
        <v>145</v>
      </c>
      <c r="C6" t="s">
        <v>212</v>
      </c>
      <c r="D6" t="s">
        <v>298</v>
      </c>
      <c r="E6" s="147" t="s">
        <v>392</v>
      </c>
    </row>
    <row r="7" spans="1:8" x14ac:dyDescent="0.2">
      <c r="A7" t="str">
        <f t="shared" si="0"/>
        <v xml:space="preserve">Pokiaľ budete používať ako výplň sklo / zrkadlo, je nutné doobjednať tesnenie. Dĺžka tesnenia na jedno krídlo je </v>
      </c>
      <c r="B7" s="140" t="s">
        <v>691</v>
      </c>
      <c r="C7" t="s">
        <v>212</v>
      </c>
      <c r="D7" t="s">
        <v>298</v>
      </c>
      <c r="E7" s="147" t="s">
        <v>392</v>
      </c>
    </row>
    <row r="8" spans="1:8" x14ac:dyDescent="0.2">
      <c r="A8" t="str">
        <f t="shared" si="0"/>
        <v>m, pokiaľ je preskenných viac krídel, treba vynásobiť</v>
      </c>
      <c r="B8" s="140" t="s">
        <v>146</v>
      </c>
      <c r="C8" t="s">
        <v>214</v>
      </c>
      <c r="D8" s="140" t="s">
        <v>299</v>
      </c>
      <c r="E8" s="147" t="s">
        <v>393</v>
      </c>
    </row>
    <row r="9" spans="1:8" x14ac:dyDescent="0.2">
      <c r="A9" t="str">
        <f t="shared" si="0"/>
        <v>ks, pokiaľ je preskenných viac krídel, treba vynásobiť</v>
      </c>
      <c r="B9" s="140" t="s">
        <v>688</v>
      </c>
      <c r="C9" t="s">
        <v>214</v>
      </c>
      <c r="D9" s="140" t="s">
        <v>689</v>
      </c>
      <c r="E9" s="147" t="s">
        <v>690</v>
      </c>
    </row>
    <row r="10" spans="1:8" x14ac:dyDescent="0.2">
      <c r="A10" t="str">
        <f t="shared" si="0"/>
        <v>Potrebná dĺžka tesnenia pri celkovom presklení (nutné objednať celé metre)</v>
      </c>
      <c r="B10" s="140" t="s">
        <v>63</v>
      </c>
      <c r="C10" t="s">
        <v>213</v>
      </c>
      <c r="D10" t="s">
        <v>300</v>
      </c>
      <c r="E10" s="147" t="s">
        <v>394</v>
      </c>
    </row>
    <row r="11" spans="1:8" x14ac:dyDescent="0.2">
      <c r="A11" t="str">
        <f t="shared" si="0"/>
        <v>Potrebná dĺžka tesnenia pri celkovom presklení (nutné objednať celé metre)</v>
      </c>
      <c r="B11" s="140" t="s">
        <v>692</v>
      </c>
      <c r="C11" t="s">
        <v>213</v>
      </c>
      <c r="D11" t="s">
        <v>300</v>
      </c>
      <c r="E11" s="147" t="s">
        <v>394</v>
      </c>
    </row>
    <row r="12" spans="1:8" x14ac:dyDescent="0.2">
      <c r="A12" t="str">
        <f t="shared" si="0"/>
        <v>(pri kombináciach s H profilmi je nutné pripočítať potrebnú dĺžku - tesnenie musí byť po celom odvode každého skla</v>
      </c>
      <c r="B12" s="140" t="s">
        <v>67</v>
      </c>
      <c r="C12" t="s">
        <v>147</v>
      </c>
      <c r="D12" t="s">
        <v>301</v>
      </c>
      <c r="E12" s="147" t="s">
        <v>395</v>
      </c>
    </row>
    <row r="13" spans="1:8" x14ac:dyDescent="0.2">
      <c r="A13" t="str">
        <f t="shared" si="0"/>
        <v>(pri kombináciach s H profilmi je nutné pripočítať potrebnú dĺžku - tesnenie musí byť po celom odvode každého skla</v>
      </c>
      <c r="B13" s="140" t="s">
        <v>693</v>
      </c>
      <c r="C13" t="s">
        <v>147</v>
      </c>
      <c r="D13" t="s">
        <v>301</v>
      </c>
      <c r="E13" s="147" t="s">
        <v>395</v>
      </c>
    </row>
    <row r="14" spans="1:8" x14ac:dyDescent="0.2">
      <c r="A14" t="str">
        <f t="shared" si="0"/>
        <v>Vaša poznámka:</v>
      </c>
      <c r="B14" s="140" t="s">
        <v>94</v>
      </c>
      <c r="C14" t="s">
        <v>150</v>
      </c>
      <c r="D14" t="s">
        <v>273</v>
      </c>
      <c r="E14" s="148" t="s">
        <v>396</v>
      </c>
    </row>
    <row r="15" spans="1:8" x14ac:dyDescent="0.2">
      <c r="A15" t="str">
        <f t="shared" si="0"/>
        <v>CELKOM  (bez DPH)</v>
      </c>
      <c r="B15" s="140" t="s">
        <v>747</v>
      </c>
      <c r="C15" t="s">
        <v>750</v>
      </c>
      <c r="D15" t="s">
        <v>748</v>
      </c>
      <c r="E15" s="148" t="s">
        <v>749</v>
      </c>
    </row>
    <row r="16" spans="1:8" x14ac:dyDescent="0.2">
      <c r="A16" t="str">
        <f t="shared" si="0"/>
        <v>názov</v>
      </c>
      <c r="B16" s="381" t="s">
        <v>15</v>
      </c>
      <c r="C16" t="s">
        <v>151</v>
      </c>
      <c r="D16" t="s">
        <v>265</v>
      </c>
      <c r="E16" s="148" t="s">
        <v>397</v>
      </c>
    </row>
    <row r="17" spans="1:5" x14ac:dyDescent="0.2">
      <c r="A17" t="str">
        <f t="shared" si="0"/>
        <v>ks</v>
      </c>
      <c r="B17" s="140" t="s">
        <v>40</v>
      </c>
      <c r="C17" t="s">
        <v>152</v>
      </c>
      <c r="D17" t="s">
        <v>40</v>
      </c>
      <c r="E17" s="147" t="s">
        <v>398</v>
      </c>
    </row>
    <row r="18" spans="1:5" x14ac:dyDescent="0.2">
      <c r="A18" t="str">
        <f t="shared" si="0"/>
        <v>cena/ks</v>
      </c>
      <c r="B18" s="140" t="s">
        <v>41</v>
      </c>
      <c r="C18" t="s">
        <v>153</v>
      </c>
      <c r="D18" t="s">
        <v>41</v>
      </c>
      <c r="E18" s="149" t="s">
        <v>399</v>
      </c>
    </row>
    <row r="19" spans="1:5" x14ac:dyDescent="0.2">
      <c r="A19" t="str">
        <f t="shared" si="0"/>
        <v>cena celkom</v>
      </c>
      <c r="B19" s="382" t="s">
        <v>42</v>
      </c>
      <c r="C19" t="s">
        <v>154</v>
      </c>
      <c r="D19" t="s">
        <v>289</v>
      </c>
      <c r="E19" s="149" t="s">
        <v>400</v>
      </c>
    </row>
    <row r="20" spans="1:5" x14ac:dyDescent="0.2">
      <c r="A20" t="str">
        <f t="shared" si="0"/>
        <v>celkom netto:</v>
      </c>
      <c r="B20" s="383" t="s">
        <v>58</v>
      </c>
      <c r="C20" t="s">
        <v>155</v>
      </c>
      <c r="D20" t="s">
        <v>290</v>
      </c>
      <c r="E20" s="149" t="s">
        <v>401</v>
      </c>
    </row>
    <row r="21" spans="1:5" x14ac:dyDescent="0.2">
      <c r="A21" t="str">
        <f t="shared" si="0"/>
        <v>partnerská zľava:</v>
      </c>
      <c r="B21" s="140" t="s">
        <v>56</v>
      </c>
      <c r="C21" t="s">
        <v>156</v>
      </c>
      <c r="D21" t="s">
        <v>274</v>
      </c>
      <c r="E21" s="148" t="s">
        <v>402</v>
      </c>
    </row>
    <row r="22" spans="1:5" x14ac:dyDescent="0.2">
      <c r="A22" t="str">
        <f t="shared" si="0"/>
        <v>KOVANIE NA VSTAVANÉ SKRINE:</v>
      </c>
      <c r="B22" s="140" t="s">
        <v>90</v>
      </c>
      <c r="C22" t="s">
        <v>157</v>
      </c>
      <c r="D22" t="s">
        <v>302</v>
      </c>
      <c r="E22" s="147" t="s">
        <v>403</v>
      </c>
    </row>
    <row r="23" spans="1:5" x14ac:dyDescent="0.2">
      <c r="A23" t="str">
        <f t="shared" si="0"/>
        <v>Zákazník:</v>
      </c>
      <c r="B23" s="140" t="s">
        <v>73</v>
      </c>
      <c r="C23" t="s">
        <v>158</v>
      </c>
      <c r="D23" t="s">
        <v>275</v>
      </c>
      <c r="E23" s="147" t="s">
        <v>404</v>
      </c>
    </row>
    <row r="24" spans="1:5" x14ac:dyDescent="0.2">
      <c r="A24" t="str">
        <f t="shared" si="0"/>
        <v>Názov:</v>
      </c>
      <c r="B24" s="140" t="s">
        <v>74</v>
      </c>
      <c r="C24" t="s">
        <v>159</v>
      </c>
      <c r="D24" t="s">
        <v>266</v>
      </c>
      <c r="E24" s="147" t="s">
        <v>405</v>
      </c>
    </row>
    <row r="25" spans="1:5" x14ac:dyDescent="0.2">
      <c r="A25" t="str">
        <f t="shared" si="0"/>
        <v>Ulica:</v>
      </c>
      <c r="B25" s="140" t="s">
        <v>75</v>
      </c>
      <c r="C25" t="s">
        <v>160</v>
      </c>
      <c r="D25" t="s">
        <v>303</v>
      </c>
      <c r="E25" s="147" t="s">
        <v>303</v>
      </c>
    </row>
    <row r="26" spans="1:5" x14ac:dyDescent="0.2">
      <c r="A26" t="str">
        <f t="shared" si="0"/>
        <v>Mesto, PSČ:</v>
      </c>
      <c r="B26" s="140" t="s">
        <v>79</v>
      </c>
      <c r="C26" t="s">
        <v>161</v>
      </c>
      <c r="D26" t="s">
        <v>267</v>
      </c>
      <c r="E26" s="147" t="s">
        <v>406</v>
      </c>
    </row>
    <row r="27" spans="1:5" x14ac:dyDescent="0.2">
      <c r="A27" t="str">
        <f t="shared" si="0"/>
        <v>IČO:</v>
      </c>
      <c r="B27" s="140" t="s">
        <v>76</v>
      </c>
      <c r="C27" t="s">
        <v>162</v>
      </c>
      <c r="D27" t="s">
        <v>76</v>
      </c>
      <c r="E27" s="152" t="s">
        <v>409</v>
      </c>
    </row>
    <row r="28" spans="1:5" x14ac:dyDescent="0.2">
      <c r="A28" t="str">
        <f t="shared" si="0"/>
        <v>Zľava:</v>
      </c>
      <c r="B28" s="140" t="s">
        <v>77</v>
      </c>
      <c r="C28" t="s">
        <v>163</v>
      </c>
      <c r="D28" t="s">
        <v>268</v>
      </c>
      <c r="E28" s="147" t="s">
        <v>407</v>
      </c>
    </row>
    <row r="29" spans="1:5" x14ac:dyDescent="0.2">
      <c r="A29" t="str">
        <f t="shared" si="0"/>
        <v>Poznámka:</v>
      </c>
      <c r="B29" s="140" t="s">
        <v>78</v>
      </c>
      <c r="C29" t="s">
        <v>164</v>
      </c>
      <c r="D29" t="s">
        <v>78</v>
      </c>
      <c r="E29" s="147" t="s">
        <v>408</v>
      </c>
    </row>
    <row r="30" spans="1:5" x14ac:dyDescent="0.2">
      <c r="A30" t="str">
        <f t="shared" si="0"/>
        <v>Výplň tl. 10mm(lebo sklo/zrkadlo s použitím tesnenia - hr.4 alebo 6mm) - rámové dvere</v>
      </c>
      <c r="B30" s="140" t="s">
        <v>72</v>
      </c>
      <c r="C30" t="s">
        <v>165</v>
      </c>
      <c r="D30" t="s">
        <v>304</v>
      </c>
      <c r="E30" s="147" t="s">
        <v>410</v>
      </c>
    </row>
    <row r="31" spans="1:5" x14ac:dyDescent="0.2">
      <c r="A31" t="str">
        <f t="shared" si="0"/>
        <v>Výplň tl. 4 mm ( sklo lebo zrkadlo) - rámové dvere</v>
      </c>
      <c r="B31" s="140" t="s">
        <v>851</v>
      </c>
      <c r="C31" t="s">
        <v>890</v>
      </c>
      <c r="D31" t="s">
        <v>852</v>
      </c>
      <c r="E31" s="147" t="s">
        <v>891</v>
      </c>
    </row>
    <row r="32" spans="1:5" x14ac:dyDescent="0.2">
      <c r="A32" t="str">
        <f t="shared" si="0"/>
        <v>Výplň 18mm (drevotrieska 18mm, prípadne kombinácia DTD + sklo / zrkadlo</v>
      </c>
      <c r="B32" s="140" t="s">
        <v>84</v>
      </c>
      <c r="C32" t="s">
        <v>166</v>
      </c>
      <c r="D32" t="s">
        <v>305</v>
      </c>
      <c r="E32" s="147" t="s">
        <v>411</v>
      </c>
    </row>
    <row r="33" spans="1:5" x14ac:dyDescent="0.2">
      <c r="A33" t="str">
        <f t="shared" si="0"/>
        <v>zadajte počet:</v>
      </c>
      <c r="B33" s="140" t="s">
        <v>49</v>
      </c>
      <c r="C33" t="s">
        <v>167</v>
      </c>
      <c r="D33" t="s">
        <v>276</v>
      </c>
      <c r="E33" s="147" t="s">
        <v>412</v>
      </c>
    </row>
    <row r="34" spans="1:5" x14ac:dyDescent="0.2">
      <c r="A34" t="str">
        <f t="shared" ref="A34:A67" si="1">IF($G$1=1,B34,IF($G$1=2,D34,IF($G$1=3,E34,IF($G$1=4,C34,"zadat jazyk"))))</f>
        <v>výška</v>
      </c>
      <c r="B34" s="140" t="s">
        <v>38</v>
      </c>
      <c r="C34" t="s">
        <v>169</v>
      </c>
      <c r="D34" t="s">
        <v>38</v>
      </c>
      <c r="E34" s="147" t="s">
        <v>413</v>
      </c>
    </row>
    <row r="35" spans="1:5" x14ac:dyDescent="0.2">
      <c r="A35" t="str">
        <f t="shared" si="1"/>
        <v>šírka</v>
      </c>
      <c r="B35" s="140" t="s">
        <v>168</v>
      </c>
      <c r="C35" t="s">
        <v>170</v>
      </c>
      <c r="D35" t="s">
        <v>269</v>
      </c>
      <c r="E35" s="147" t="s">
        <v>414</v>
      </c>
    </row>
    <row r="36" spans="1:5" x14ac:dyDescent="0.2">
      <c r="A36" t="str">
        <f t="shared" si="1"/>
        <v>počet dverí:</v>
      </c>
      <c r="B36" s="140" t="s">
        <v>6</v>
      </c>
      <c r="C36" t="s">
        <v>171</v>
      </c>
      <c r="D36" t="s">
        <v>270</v>
      </c>
      <c r="E36" s="147" t="s">
        <v>415</v>
      </c>
    </row>
    <row r="37" spans="1:5" x14ac:dyDescent="0.2">
      <c r="A37" t="str">
        <f t="shared" si="1"/>
        <v>farba</v>
      </c>
      <c r="B37" s="140" t="s">
        <v>7</v>
      </c>
      <c r="C37" t="s">
        <v>172</v>
      </c>
      <c r="D37" t="s">
        <v>291</v>
      </c>
      <c r="E37" s="147" t="s">
        <v>416</v>
      </c>
    </row>
    <row r="38" spans="1:5" x14ac:dyDescent="0.2">
      <c r="A38" t="str">
        <f t="shared" si="1"/>
        <v>typ spodného vedenia</v>
      </c>
      <c r="B38" s="140" t="s">
        <v>985</v>
      </c>
      <c r="C38" s="147" t="s">
        <v>1034</v>
      </c>
      <c r="D38" s="147" t="s">
        <v>1035</v>
      </c>
      <c r="E38" s="147" t="s">
        <v>1033</v>
      </c>
    </row>
    <row r="39" spans="1:5" x14ac:dyDescent="0.2">
      <c r="A39" t="str">
        <f t="shared" si="1"/>
        <v>V prípade použitia skla ako výplne</v>
      </c>
      <c r="B39" s="384" t="s">
        <v>64</v>
      </c>
      <c r="C39" t="s">
        <v>173</v>
      </c>
      <c r="D39" t="s">
        <v>306</v>
      </c>
      <c r="E39" s="147" t="s">
        <v>417</v>
      </c>
    </row>
    <row r="40" spans="1:5" x14ac:dyDescent="0.2">
      <c r="A40" t="str">
        <f t="shared" si="1"/>
        <v>je treba použiť bezpečnostné sklo</v>
      </c>
      <c r="B40" s="381" t="s">
        <v>65</v>
      </c>
      <c r="C40" t="s">
        <v>174</v>
      </c>
      <c r="D40" t="s">
        <v>307</v>
      </c>
      <c r="E40" s="147" t="s">
        <v>418</v>
      </c>
    </row>
    <row r="41" spans="1:5" x14ac:dyDescent="0.2">
      <c r="A41" t="str">
        <f t="shared" si="1"/>
        <v>alebo sklo zabezpečiť ochrannou fóliou</v>
      </c>
      <c r="B41" s="381" t="s">
        <v>66</v>
      </c>
      <c r="C41" t="s">
        <v>175</v>
      </c>
      <c r="D41" t="s">
        <v>308</v>
      </c>
      <c r="E41" s="147" t="s">
        <v>419</v>
      </c>
    </row>
    <row r="42" spans="1:5" x14ac:dyDescent="0.2">
      <c r="A42" t="str">
        <f t="shared" si="1"/>
        <v>u sklenenej výplne (alebo zrkadla)</v>
      </c>
      <c r="B42" s="381" t="s">
        <v>853</v>
      </c>
      <c r="C42" t="s">
        <v>876</v>
      </c>
      <c r="D42" t="s">
        <v>875</v>
      </c>
      <c r="E42" s="147" t="s">
        <v>1042</v>
      </c>
    </row>
    <row r="43" spans="1:5" x14ac:dyDescent="0.2">
      <c r="A43" t="str">
        <f t="shared" si="1"/>
        <v>Maximálna hmotnosť krídla je 50 kg</v>
      </c>
      <c r="B43" s="140" t="s">
        <v>80</v>
      </c>
      <c r="C43" t="s">
        <v>176</v>
      </c>
      <c r="D43" t="s">
        <v>309</v>
      </c>
      <c r="E43" s="147" t="s">
        <v>420</v>
      </c>
    </row>
    <row r="44" spans="1:5" x14ac:dyDescent="0.2">
      <c r="A44" t="str">
        <f t="shared" si="1"/>
        <v>Maximálna hmotnosť krídla je 35 kg</v>
      </c>
      <c r="B44" s="140" t="s">
        <v>683</v>
      </c>
      <c r="C44" t="s">
        <v>684</v>
      </c>
      <c r="D44" t="s">
        <v>685</v>
      </c>
      <c r="E44" s="147" t="s">
        <v>686</v>
      </c>
    </row>
    <row r="45" spans="1:5" x14ac:dyDescent="0.2">
      <c r="A45" t="str">
        <f t="shared" si="1"/>
        <v>vypíšte týchto 5 políčok !!! Údaje v mm</v>
      </c>
      <c r="B45" s="140" t="s">
        <v>986</v>
      </c>
      <c r="C45" t="s">
        <v>1036</v>
      </c>
      <c r="D45" t="s">
        <v>1038</v>
      </c>
      <c r="E45" t="s">
        <v>1040</v>
      </c>
    </row>
    <row r="46" spans="1:5" x14ac:dyDescent="0.2">
      <c r="A46" t="str">
        <f t="shared" ref="A46" si="2">IF($G$1=1,B46,IF($G$1=2,D46,IF($G$1=3,E46,IF($G$1=4,C46,"zadat jazyk"))))</f>
        <v>vypíšte tieto 4 políčka !!! Údaje v mm</v>
      </c>
      <c r="B46" s="140" t="s">
        <v>1000</v>
      </c>
      <c r="C46" t="s">
        <v>1037</v>
      </c>
      <c r="D46" t="s">
        <v>1039</v>
      </c>
      <c r="E46" t="s">
        <v>1041</v>
      </c>
    </row>
    <row r="47" spans="1:5" x14ac:dyDescent="0.2">
      <c r="A47" t="str">
        <f t="shared" si="1"/>
        <v>krídlo dverí:</v>
      </c>
      <c r="B47" s="7" t="s">
        <v>8</v>
      </c>
      <c r="C47" s="7" t="s">
        <v>177</v>
      </c>
      <c r="D47" t="s">
        <v>292</v>
      </c>
      <c r="E47" s="148" t="s">
        <v>421</v>
      </c>
    </row>
    <row r="48" spans="1:5" x14ac:dyDescent="0.2">
      <c r="A48" t="str">
        <f t="shared" si="1"/>
        <v>rozmer výplne 18mm:</v>
      </c>
      <c r="B48" s="7" t="s">
        <v>16</v>
      </c>
      <c r="C48" s="7" t="s">
        <v>178</v>
      </c>
      <c r="D48" t="s">
        <v>271</v>
      </c>
      <c r="E48" s="148" t="s">
        <v>422</v>
      </c>
    </row>
    <row r="49" spans="1:5" x14ac:dyDescent="0.2">
      <c r="A49" t="str">
        <f t="shared" si="1"/>
        <v>rozmer výplne 12mm:</v>
      </c>
      <c r="B49" s="7" t="s">
        <v>17</v>
      </c>
      <c r="C49" s="7" t="s">
        <v>179</v>
      </c>
      <c r="D49" t="s">
        <v>272</v>
      </c>
      <c r="E49" s="148" t="s">
        <v>423</v>
      </c>
    </row>
    <row r="50" spans="1:5" x14ac:dyDescent="0.2">
      <c r="A50" t="str">
        <f t="shared" si="1"/>
        <v>rozmer zrkadla /na DTD 12mm/</v>
      </c>
      <c r="B50" s="7" t="s">
        <v>18</v>
      </c>
      <c r="C50" s="7" t="s">
        <v>180</v>
      </c>
      <c r="D50" t="s">
        <v>310</v>
      </c>
      <c r="E50" s="147" t="s">
        <v>424</v>
      </c>
    </row>
    <row r="51" spans="1:5" x14ac:dyDescent="0.2">
      <c r="A51" t="str">
        <f t="shared" si="1"/>
        <v>Dĺžka úchytkového profilu (+2 mm)</v>
      </c>
      <c r="B51" s="7" t="s">
        <v>68</v>
      </c>
      <c r="C51" s="7" t="s">
        <v>181</v>
      </c>
      <c r="D51" t="s">
        <v>311</v>
      </c>
      <c r="E51" s="147" t="s">
        <v>425</v>
      </c>
    </row>
    <row r="52" spans="1:5" x14ac:dyDescent="0.2">
      <c r="A52" t="str">
        <f t="shared" si="1"/>
        <v>dodatočné odpočty výšky vypočítaných výplní pri použití deliacich profilov</v>
      </c>
      <c r="B52" s="7" t="s">
        <v>11</v>
      </c>
      <c r="C52" s="7" t="s">
        <v>127</v>
      </c>
      <c r="D52" t="s">
        <v>312</v>
      </c>
      <c r="E52" s="147" t="s">
        <v>426</v>
      </c>
    </row>
    <row r="53" spans="1:5" x14ac:dyDescent="0.2">
      <c r="A53" t="str">
        <f t="shared" si="1"/>
        <v>H18, T profil = 2mm</v>
      </c>
      <c r="B53" s="7" t="s">
        <v>45</v>
      </c>
      <c r="C53" s="7" t="s">
        <v>45</v>
      </c>
      <c r="D53" s="7" t="s">
        <v>45</v>
      </c>
      <c r="E53" s="148" t="s">
        <v>45</v>
      </c>
    </row>
    <row r="54" spans="1:5" x14ac:dyDescent="0.2">
      <c r="A54" t="str">
        <f t="shared" si="1"/>
        <v>odpočítať v prípade sklenenej výplne = 4mm (2mm z každej strany)</v>
      </c>
      <c r="B54" s="7" t="s">
        <v>92</v>
      </c>
      <c r="C54" s="7" t="s">
        <v>182</v>
      </c>
      <c r="D54" t="s">
        <v>313</v>
      </c>
      <c r="E54" s="147" t="s">
        <v>427</v>
      </c>
    </row>
    <row r="55" spans="1:5" x14ac:dyDescent="0.2">
      <c r="A55" t="str">
        <f t="shared" si="1"/>
        <v>viď obrázok</v>
      </c>
      <c r="B55" s="7" t="s">
        <v>93</v>
      </c>
      <c r="C55" s="7" t="s">
        <v>183</v>
      </c>
      <c r="D55" t="s">
        <v>314</v>
      </c>
      <c r="E55" s="147" t="s">
        <v>428</v>
      </c>
    </row>
    <row r="56" spans="1:5" ht="15" x14ac:dyDescent="0.25">
      <c r="A56" t="str">
        <f t="shared" si="1"/>
        <v>kartáčovaná oliva</v>
      </c>
      <c r="B56" s="7" t="s">
        <v>119</v>
      </c>
      <c r="C56" s="385" t="s">
        <v>201</v>
      </c>
      <c r="D56" t="s">
        <v>119</v>
      </c>
      <c r="E56" s="147" t="s">
        <v>430</v>
      </c>
    </row>
    <row r="57" spans="1:5" x14ac:dyDescent="0.2">
      <c r="A57" t="str">
        <f t="shared" si="1"/>
        <v>výška až 3,5m!</v>
      </c>
      <c r="B57" s="140" t="s">
        <v>89</v>
      </c>
      <c r="C57" t="s">
        <v>202</v>
      </c>
      <c r="D57" t="s">
        <v>89</v>
      </c>
      <c r="E57" s="147" t="s">
        <v>429</v>
      </c>
    </row>
    <row r="58" spans="1:5" x14ac:dyDescent="0.2">
      <c r="A58" t="str">
        <f t="shared" si="1"/>
        <v>výška až 3 m!</v>
      </c>
      <c r="B58" s="140" t="s">
        <v>697</v>
      </c>
      <c r="C58" t="s">
        <v>696</v>
      </c>
      <c r="D58" t="s">
        <v>697</v>
      </c>
      <c r="E58" s="147" t="s">
        <v>698</v>
      </c>
    </row>
    <row r="59" spans="1:5" x14ac:dyDescent="0.2">
      <c r="A59" t="str">
        <f t="shared" si="1"/>
        <v>Na zostavu je možné použiť dekoračnú fóliu, viď vzorkovník fólií.Ceny sa líšia podľa dekoru, časť je na objednávku</v>
      </c>
      <c r="B59" s="140" t="s">
        <v>83</v>
      </c>
      <c r="C59" t="s">
        <v>203</v>
      </c>
      <c r="D59" t="s">
        <v>315</v>
      </c>
      <c r="E59" s="147" t="s">
        <v>431</v>
      </c>
    </row>
    <row r="60" spans="1:5" x14ac:dyDescent="0.2">
      <c r="A60" t="str">
        <f t="shared" si="1"/>
        <v>cena podľa dekoru</v>
      </c>
      <c r="B60" s="140" t="s">
        <v>95</v>
      </c>
      <c r="C60" t="s">
        <v>205</v>
      </c>
      <c r="D60" t="s">
        <v>293</v>
      </c>
      <c r="E60" s="147" t="s">
        <v>432</v>
      </c>
    </row>
    <row r="61" spans="1:5" ht="15" x14ac:dyDescent="0.25">
      <c r="A61" t="str">
        <f t="shared" si="1"/>
        <v>systém GM 18 (kombinácia DTD 18mm a sklo)</v>
      </c>
      <c r="B61" s="140" t="s">
        <v>3577</v>
      </c>
      <c r="C61" t="s">
        <v>3578</v>
      </c>
      <c r="D61" t="s">
        <v>3579</v>
      </c>
      <c r="E61" s="385" t="s">
        <v>3580</v>
      </c>
    </row>
    <row r="62" spans="1:5" ht="15" x14ac:dyDescent="0.25">
      <c r="A62" t="str">
        <f t="shared" si="1"/>
        <v>systém Simple (kombinácia DTD 18mm a sklo)</v>
      </c>
      <c r="B62" s="140" t="s">
        <v>742</v>
      </c>
      <c r="C62" t="s">
        <v>700</v>
      </c>
      <c r="D62" t="s">
        <v>701</v>
      </c>
      <c r="E62" s="385" t="s">
        <v>702</v>
      </c>
    </row>
    <row r="63" spans="1:5" x14ac:dyDescent="0.2">
      <c r="A63" t="str">
        <f t="shared" si="1"/>
        <v>rozmer výplne 16mm</v>
      </c>
      <c r="B63" s="7" t="s">
        <v>91</v>
      </c>
      <c r="C63" s="7" t="s">
        <v>206</v>
      </c>
      <c r="D63" t="s">
        <v>294</v>
      </c>
      <c r="E63" s="147" t="s">
        <v>433</v>
      </c>
    </row>
    <row r="64" spans="1:5" x14ac:dyDescent="0.2">
      <c r="A64" t="str">
        <f t="shared" si="1"/>
        <v>Pri tejto zostave nie je možné použiť kombináciu so sklom / zrkadlom</v>
      </c>
      <c r="B64" s="140" t="s">
        <v>69</v>
      </c>
      <c r="C64" t="s">
        <v>207</v>
      </c>
      <c r="D64" t="s">
        <v>316</v>
      </c>
      <c r="E64" s="147" t="s">
        <v>434</v>
      </c>
    </row>
    <row r="65" spans="1:5" x14ac:dyDescent="0.2">
      <c r="A65" t="str">
        <f t="shared" si="1"/>
        <v>Táto položka je na objednávku, počítajte prosím s dodacou dobou 3-4 týždne</v>
      </c>
      <c r="B65" s="140" t="s">
        <v>100</v>
      </c>
      <c r="C65" t="s">
        <v>208</v>
      </c>
      <c r="D65" t="s">
        <v>317</v>
      </c>
      <c r="E65" s="147" t="s">
        <v>112</v>
      </c>
    </row>
    <row r="66" spans="1:5" x14ac:dyDescent="0.2">
      <c r="A66" t="str">
        <f t="shared" si="1"/>
        <v>Voliteľné príslušenstvo:</v>
      </c>
      <c r="B66" s="140" t="s">
        <v>982</v>
      </c>
      <c r="C66" t="s">
        <v>132</v>
      </c>
      <c r="D66" t="s">
        <v>984</v>
      </c>
      <c r="E66" s="147" t="s">
        <v>983</v>
      </c>
    </row>
    <row r="67" spans="1:5" ht="15" x14ac:dyDescent="0.25">
      <c r="A67" t="str">
        <f t="shared" si="1"/>
        <v>plocha k aplikácií</v>
      </c>
      <c r="B67" s="140" t="s">
        <v>219</v>
      </c>
      <c r="C67" s="385" t="s">
        <v>217</v>
      </c>
      <c r="D67" t="s">
        <v>318</v>
      </c>
      <c r="E67" s="385" t="s">
        <v>487</v>
      </c>
    </row>
    <row r="68" spans="1:5" ht="15" x14ac:dyDescent="0.25">
      <c r="A68" t="str">
        <f t="shared" ref="A68:A101" si="3">IF($G$1=1,B68,IF($G$1=2,D68,IF($G$1=3,E68,IF($G$1=4,C68,"zadat jazyk"))))</f>
        <v>dekoračné fólie</v>
      </c>
      <c r="B68" s="140" t="s">
        <v>220</v>
      </c>
      <c r="C68" s="385" t="s">
        <v>218</v>
      </c>
      <c r="D68" t="s">
        <v>319</v>
      </c>
      <c r="E68" s="385" t="s">
        <v>488</v>
      </c>
    </row>
    <row r="69" spans="1:5" ht="15" x14ac:dyDescent="0.25">
      <c r="A69" t="str">
        <f t="shared" si="3"/>
        <v>Systémy:    Vzorkovník profilov objednávajte pod kódom 494207</v>
      </c>
      <c r="B69" s="140" t="s">
        <v>3582</v>
      </c>
      <c r="C69" s="385" t="s">
        <v>3583</v>
      </c>
      <c r="D69" t="s">
        <v>3584</v>
      </c>
      <c r="E69" s="147" t="s">
        <v>3585</v>
      </c>
    </row>
    <row r="70" spans="1:5" x14ac:dyDescent="0.2">
      <c r="A70" t="str">
        <f t="shared" si="3"/>
        <v>VNÚTORNÝ ROZMER SKRINE:</v>
      </c>
      <c r="B70" s="10" t="s">
        <v>222</v>
      </c>
      <c r="C70" s="7" t="s">
        <v>120</v>
      </c>
      <c r="D70" t="s">
        <v>295</v>
      </c>
      <c r="E70" s="148" t="s">
        <v>435</v>
      </c>
    </row>
    <row r="71" spans="1:5" x14ac:dyDescent="0.2">
      <c r="A71" t="str">
        <f t="shared" si="3"/>
        <v>krídlo dverí:</v>
      </c>
      <c r="B71" s="10" t="s">
        <v>8</v>
      </c>
      <c r="C71" s="7" t="s">
        <v>121</v>
      </c>
      <c r="D71" t="s">
        <v>292</v>
      </c>
      <c r="E71" s="148" t="s">
        <v>421</v>
      </c>
    </row>
    <row r="72" spans="1:5" x14ac:dyDescent="0.2">
      <c r="A72" t="str">
        <f t="shared" si="3"/>
        <v>rozmer výplne 10 mm:</v>
      </c>
      <c r="B72" s="10" t="s">
        <v>1018</v>
      </c>
      <c r="C72" s="7" t="s">
        <v>1015</v>
      </c>
      <c r="D72" t="s">
        <v>1016</v>
      </c>
      <c r="E72" s="148" t="s">
        <v>1017</v>
      </c>
    </row>
    <row r="73" spans="1:5" x14ac:dyDescent="0.2">
      <c r="A73" t="str">
        <f t="shared" si="3"/>
        <v>rozmer zrkadla / skla</v>
      </c>
      <c r="B73" s="10" t="s">
        <v>9</v>
      </c>
      <c r="C73" s="7" t="s">
        <v>122</v>
      </c>
      <c r="D73" t="s">
        <v>320</v>
      </c>
      <c r="E73" s="148" t="s">
        <v>436</v>
      </c>
    </row>
    <row r="74" spans="1:5" x14ac:dyDescent="0.2">
      <c r="A74" t="str">
        <f t="shared" si="3"/>
        <v>dĺžka vodiacej a krycej lišty krídla</v>
      </c>
      <c r="B74" s="10" t="s">
        <v>10</v>
      </c>
      <c r="C74" s="7" t="s">
        <v>123</v>
      </c>
      <c r="D74" t="s">
        <v>321</v>
      </c>
      <c r="E74" s="148" t="s">
        <v>437</v>
      </c>
    </row>
    <row r="75" spans="1:5" x14ac:dyDescent="0.2">
      <c r="A75" t="str">
        <f t="shared" si="3"/>
        <v>Horný/spodný profil</v>
      </c>
      <c r="B75" s="10" t="s">
        <v>1019</v>
      </c>
      <c r="C75" s="7" t="s">
        <v>124</v>
      </c>
      <c r="D75" t="s">
        <v>322</v>
      </c>
      <c r="E75" s="148" t="s">
        <v>438</v>
      </c>
    </row>
    <row r="76" spans="1:5" x14ac:dyDescent="0.2">
      <c r="A76" t="str">
        <f t="shared" si="3"/>
        <v>úchytková lišta</v>
      </c>
      <c r="B76" s="10" t="s">
        <v>39</v>
      </c>
      <c r="C76" s="7" t="s">
        <v>125</v>
      </c>
      <c r="D76" t="s">
        <v>39</v>
      </c>
      <c r="E76" s="148" t="s">
        <v>439</v>
      </c>
    </row>
    <row r="77" spans="1:5" x14ac:dyDescent="0.2">
      <c r="A77" t="str">
        <f t="shared" si="3"/>
        <v>dĺžka tesnenia na sklo na jednom krídle</v>
      </c>
      <c r="B77" s="7" t="s">
        <v>6563</v>
      </c>
      <c r="C77" s="7" t="s">
        <v>126</v>
      </c>
      <c r="D77" t="s">
        <v>6564</v>
      </c>
      <c r="E77" s="147" t="s">
        <v>6565</v>
      </c>
    </row>
    <row r="78" spans="1:5" ht="15" x14ac:dyDescent="0.25">
      <c r="A78" t="str">
        <f t="shared" si="3"/>
        <v>dodatočné odpočty výšky vypočítaných výplní pri použití deliacich profilov výplne:</v>
      </c>
      <c r="B78" s="7" t="s">
        <v>11</v>
      </c>
      <c r="C78" s="385" t="s">
        <v>127</v>
      </c>
      <c r="D78" t="s">
        <v>323</v>
      </c>
      <c r="E78" s="147" t="s">
        <v>426</v>
      </c>
    </row>
    <row r="79" spans="1:5" x14ac:dyDescent="0.2">
      <c r="A79" t="str">
        <f t="shared" si="3"/>
        <v>odpočet na tesnenie: 2mm/1strana</v>
      </c>
      <c r="B79" s="7" t="s">
        <v>223</v>
      </c>
      <c r="C79" s="7" t="s">
        <v>130</v>
      </c>
      <c r="D79" t="s">
        <v>324</v>
      </c>
      <c r="E79" s="147" t="s">
        <v>440</v>
      </c>
    </row>
    <row r="80" spans="1:5" x14ac:dyDescent="0.2">
      <c r="A80" t="str">
        <f t="shared" si="3"/>
        <v>Objednávacie kódy, ceny:</v>
      </c>
      <c r="B80" s="10" t="s">
        <v>224</v>
      </c>
      <c r="C80" s="7" t="s">
        <v>131</v>
      </c>
      <c r="D80" t="s">
        <v>325</v>
      </c>
      <c r="E80" s="148" t="s">
        <v>441</v>
      </c>
    </row>
    <row r="81" spans="1:5" x14ac:dyDescent="0.2">
      <c r="A81" t="str">
        <f t="shared" si="3"/>
        <v>Horný profil:</v>
      </c>
      <c r="B81" s="7" t="s">
        <v>737</v>
      </c>
      <c r="C81" s="7" t="s">
        <v>133</v>
      </c>
      <c r="D81" t="s">
        <v>326</v>
      </c>
      <c r="E81" s="148" t="s">
        <v>442</v>
      </c>
    </row>
    <row r="82" spans="1:5" x14ac:dyDescent="0.2">
      <c r="A82" t="str">
        <f t="shared" si="3"/>
        <v>spodný profil:</v>
      </c>
      <c r="B82" s="7" t="s">
        <v>736</v>
      </c>
      <c r="C82" s="7" t="s">
        <v>134</v>
      </c>
      <c r="D82" t="s">
        <v>327</v>
      </c>
      <c r="E82" s="148" t="s">
        <v>443</v>
      </c>
    </row>
    <row r="83" spans="1:5" x14ac:dyDescent="0.2">
      <c r="A83" t="str">
        <f t="shared" si="3"/>
        <v>krycí profil (maska):</v>
      </c>
      <c r="B83" s="7" t="s">
        <v>988</v>
      </c>
      <c r="C83" s="7" t="s">
        <v>135</v>
      </c>
      <c r="D83" t="s">
        <v>988</v>
      </c>
      <c r="E83" s="148" t="s">
        <v>989</v>
      </c>
    </row>
    <row r="84" spans="1:5" x14ac:dyDescent="0.2">
      <c r="A84" t="str">
        <f t="shared" si="3"/>
        <v>horné vozíky (sady)</v>
      </c>
      <c r="B84" s="7" t="s">
        <v>228</v>
      </c>
      <c r="C84" s="7" t="s">
        <v>136</v>
      </c>
      <c r="D84" t="s">
        <v>328</v>
      </c>
      <c r="E84" s="148" t="s">
        <v>445</v>
      </c>
    </row>
    <row r="85" spans="1:5" x14ac:dyDescent="0.2">
      <c r="A85" t="str">
        <f t="shared" si="3"/>
        <v>spodné vozíky (sada)</v>
      </c>
      <c r="B85" s="7" t="s">
        <v>229</v>
      </c>
      <c r="C85" s="7" t="s">
        <v>137</v>
      </c>
      <c r="D85" t="s">
        <v>329</v>
      </c>
      <c r="E85" s="148" t="s">
        <v>446</v>
      </c>
    </row>
    <row r="86" spans="1:5" x14ac:dyDescent="0.2">
      <c r="A86" t="str">
        <f t="shared" si="3"/>
        <v xml:space="preserve">pozicionér </v>
      </c>
      <c r="B86" s="7" t="s">
        <v>981</v>
      </c>
      <c r="C86" s="7" t="s">
        <v>186</v>
      </c>
      <c r="D86" t="s">
        <v>340</v>
      </c>
      <c r="E86" s="148" t="s">
        <v>447</v>
      </c>
    </row>
    <row r="87" spans="1:5" x14ac:dyDescent="0.2">
      <c r="A87" t="str">
        <f t="shared" si="3"/>
        <v>pozicionér</v>
      </c>
      <c r="B87" s="7" t="s">
        <v>720</v>
      </c>
      <c r="C87" s="7" t="s">
        <v>186</v>
      </c>
      <c r="D87" t="s">
        <v>721</v>
      </c>
      <c r="E87" s="148" t="s">
        <v>447</v>
      </c>
    </row>
    <row r="88" spans="1:5" x14ac:dyDescent="0.2">
      <c r="A88" t="str">
        <f t="shared" si="3"/>
        <v>pozicionér do horného vedenia</v>
      </c>
      <c r="B88" s="7" t="s">
        <v>912</v>
      </c>
      <c r="C88" s="7" t="s">
        <v>913</v>
      </c>
      <c r="D88" t="s">
        <v>914</v>
      </c>
      <c r="E88" s="148" t="s">
        <v>915</v>
      </c>
    </row>
    <row r="89" spans="1:5" x14ac:dyDescent="0.2">
      <c r="A89" t="str">
        <f t="shared" si="3"/>
        <v>dorazový kartáč</v>
      </c>
      <c r="B89" s="7" t="s">
        <v>904</v>
      </c>
      <c r="C89" s="7" t="s">
        <v>907</v>
      </c>
      <c r="D89" t="s">
        <v>905</v>
      </c>
      <c r="E89" s="148" t="s">
        <v>906</v>
      </c>
    </row>
    <row r="90" spans="1:5" x14ac:dyDescent="0.2">
      <c r="A90" t="str">
        <f t="shared" si="3"/>
        <v>protiprachový kartáč</v>
      </c>
      <c r="B90" s="7" t="s">
        <v>908</v>
      </c>
      <c r="C90" s="7" t="s">
        <v>909</v>
      </c>
      <c r="D90" t="s">
        <v>911</v>
      </c>
      <c r="E90" s="148" t="s">
        <v>910</v>
      </c>
    </row>
    <row r="91" spans="1:5" x14ac:dyDescent="0.2">
      <c r="A91" t="str">
        <f t="shared" si="3"/>
        <v>úchytková lišta</v>
      </c>
      <c r="B91" s="7" t="s">
        <v>39</v>
      </c>
      <c r="C91" s="7" t="s">
        <v>139</v>
      </c>
      <c r="D91" t="s">
        <v>39</v>
      </c>
      <c r="E91" s="148" t="s">
        <v>439</v>
      </c>
    </row>
    <row r="92" spans="1:5" x14ac:dyDescent="0.2">
      <c r="A92" t="str">
        <f t="shared" si="3"/>
        <v>spojovacia skrutka</v>
      </c>
      <c r="B92" s="7" t="s">
        <v>12</v>
      </c>
      <c r="C92" s="7" t="s">
        <v>140</v>
      </c>
      <c r="D92" t="s">
        <v>330</v>
      </c>
      <c r="E92" s="148" t="s">
        <v>449</v>
      </c>
    </row>
    <row r="93" spans="1:5" x14ac:dyDescent="0.2">
      <c r="A93" t="str">
        <f t="shared" si="3"/>
        <v>horný profil rámu (vodiaca lišta)</v>
      </c>
      <c r="B93" s="7" t="s">
        <v>230</v>
      </c>
      <c r="C93" s="7" t="s">
        <v>141</v>
      </c>
      <c r="D93" t="s">
        <v>331</v>
      </c>
      <c r="E93" s="148" t="s">
        <v>450</v>
      </c>
    </row>
    <row r="94" spans="1:5" x14ac:dyDescent="0.2">
      <c r="A94" t="str">
        <f t="shared" si="3"/>
        <v>horný profil rámu (vodiaca lišta)</v>
      </c>
      <c r="B94" s="7" t="s">
        <v>230</v>
      </c>
      <c r="C94" s="7" t="s">
        <v>141</v>
      </c>
      <c r="D94" t="s">
        <v>331</v>
      </c>
      <c r="E94" s="148" t="s">
        <v>450</v>
      </c>
    </row>
    <row r="95" spans="1:5" x14ac:dyDescent="0.2">
      <c r="A95" t="str">
        <f t="shared" si="3"/>
        <v>horizontálny spodný profil rámu</v>
      </c>
      <c r="B95" s="7" t="s">
        <v>231</v>
      </c>
      <c r="C95" s="7" t="s">
        <v>142</v>
      </c>
      <c r="D95" t="s">
        <v>332</v>
      </c>
      <c r="E95" s="148" t="s">
        <v>451</v>
      </c>
    </row>
    <row r="96" spans="1:5" x14ac:dyDescent="0.2">
      <c r="A96" t="str">
        <f t="shared" si="3"/>
        <v>horizontálny spodný profil rámu</v>
      </c>
      <c r="B96" s="7" t="s">
        <v>231</v>
      </c>
      <c r="C96" s="7" t="s">
        <v>142</v>
      </c>
      <c r="D96" t="s">
        <v>332</v>
      </c>
      <c r="E96" s="148" t="s">
        <v>451</v>
      </c>
    </row>
    <row r="97" spans="1:5" x14ac:dyDescent="0.2">
      <c r="A97" t="str">
        <f t="shared" si="3"/>
        <v>tlmič dorazu (pár) 25 kg</v>
      </c>
      <c r="B97" s="7" t="s">
        <v>668</v>
      </c>
      <c r="C97" s="7" t="s">
        <v>669</v>
      </c>
      <c r="D97" t="s">
        <v>670</v>
      </c>
      <c r="E97" s="148" t="s">
        <v>671</v>
      </c>
    </row>
    <row r="98" spans="1:5" x14ac:dyDescent="0.2">
      <c r="A98" t="str">
        <f t="shared" si="3"/>
        <v>tlmič dorazu (pár) 50 kg</v>
      </c>
      <c r="B98" s="7" t="s">
        <v>675</v>
      </c>
      <c r="C98" s="7" t="s">
        <v>674</v>
      </c>
      <c r="D98" t="s">
        <v>673</v>
      </c>
      <c r="E98" s="148" t="s">
        <v>672</v>
      </c>
    </row>
    <row r="99" spans="1:5" x14ac:dyDescent="0.2">
      <c r="A99" t="str">
        <f t="shared" si="3"/>
        <v>tlmič dorazu Simple (pár) 40 kg</v>
      </c>
      <c r="B99" s="7" t="s">
        <v>840</v>
      </c>
      <c r="C99" s="7" t="s">
        <v>841</v>
      </c>
      <c r="D99" t="s">
        <v>842</v>
      </c>
      <c r="E99" s="148" t="s">
        <v>843</v>
      </c>
    </row>
    <row r="100" spans="1:5" x14ac:dyDescent="0.2">
      <c r="A100" t="str">
        <f t="shared" si="3"/>
        <v>spojovací profil H10-3metre</v>
      </c>
      <c r="B100" s="7" t="s">
        <v>232</v>
      </c>
      <c r="C100" s="7" t="s">
        <v>143</v>
      </c>
      <c r="D100" t="s">
        <v>333</v>
      </c>
      <c r="E100" s="148" t="s">
        <v>452</v>
      </c>
    </row>
    <row r="101" spans="1:5" x14ac:dyDescent="0.2">
      <c r="A101" t="str">
        <f t="shared" si="3"/>
        <v>spojovací profil H30-3metre</v>
      </c>
      <c r="B101" s="7" t="s">
        <v>233</v>
      </c>
      <c r="C101" s="7" t="s">
        <v>144</v>
      </c>
      <c r="D101" t="s">
        <v>334</v>
      </c>
      <c r="E101" s="148" t="s">
        <v>453</v>
      </c>
    </row>
    <row r="102" spans="1:5" x14ac:dyDescent="0.2">
      <c r="A102" t="str">
        <f t="shared" ref="A102:A133" si="4">IF($G$1=1,B102,IF($G$1=2,D102,IF($G$1=3,E102,IF($G$1=4,C102,"zadat jazyk"))))</f>
        <v>tesnenie na sklo 4mm</v>
      </c>
      <c r="B102" s="7" t="s">
        <v>234</v>
      </c>
      <c r="C102" s="7" t="s">
        <v>148</v>
      </c>
      <c r="D102" t="s">
        <v>335</v>
      </c>
      <c r="E102" s="148" t="s">
        <v>454</v>
      </c>
    </row>
    <row r="103" spans="1:5" x14ac:dyDescent="0.2">
      <c r="A103" t="str">
        <f t="shared" si="4"/>
        <v>tesnenie na sklo 4,5 mm</v>
      </c>
      <c r="B103" s="7" t="s">
        <v>571</v>
      </c>
      <c r="C103" s="7" t="s">
        <v>572</v>
      </c>
      <c r="D103" t="s">
        <v>573</v>
      </c>
      <c r="E103" s="148" t="s">
        <v>574</v>
      </c>
    </row>
    <row r="104" spans="1:5" x14ac:dyDescent="0.2">
      <c r="A104" t="str">
        <f t="shared" si="4"/>
        <v>tesnenie na sklo 6mm</v>
      </c>
      <c r="B104" s="7" t="s">
        <v>235</v>
      </c>
      <c r="C104" s="7" t="s">
        <v>149</v>
      </c>
      <c r="D104" t="s">
        <v>336</v>
      </c>
      <c r="E104" s="148" t="s">
        <v>455</v>
      </c>
    </row>
    <row r="105" spans="1:5" x14ac:dyDescent="0.2">
      <c r="A105" t="str">
        <f t="shared" si="4"/>
        <v>tesnenie na sklo 4mm asymetrické</v>
      </c>
      <c r="B105" s="7" t="s">
        <v>236</v>
      </c>
      <c r="C105" s="7" t="s">
        <v>204</v>
      </c>
      <c r="D105" t="s">
        <v>337</v>
      </c>
      <c r="E105" s="148" t="s">
        <v>456</v>
      </c>
    </row>
    <row r="106" spans="1:5" x14ac:dyDescent="0.2">
      <c r="A106" t="str">
        <f t="shared" si="4"/>
        <v>Horný profil:</v>
      </c>
      <c r="B106" s="7" t="s">
        <v>225</v>
      </c>
      <c r="C106" s="7" t="s">
        <v>133</v>
      </c>
      <c r="D106" t="s">
        <v>326</v>
      </c>
      <c r="E106" s="148" t="s">
        <v>442</v>
      </c>
    </row>
    <row r="107" spans="1:5" x14ac:dyDescent="0.2">
      <c r="A107" t="str">
        <f t="shared" si="4"/>
        <v>spodný profil:</v>
      </c>
      <c r="B107" s="72" t="s">
        <v>226</v>
      </c>
      <c r="C107" s="7" t="s">
        <v>134</v>
      </c>
      <c r="D107" t="s">
        <v>327</v>
      </c>
      <c r="E107" s="148" t="s">
        <v>443</v>
      </c>
    </row>
    <row r="108" spans="1:5" x14ac:dyDescent="0.2">
      <c r="A108" t="str">
        <f t="shared" si="4"/>
        <v>krycí profil = maska:</v>
      </c>
      <c r="B108" s="7" t="s">
        <v>227</v>
      </c>
      <c r="C108" s="7" t="s">
        <v>135</v>
      </c>
      <c r="D108" t="s">
        <v>227</v>
      </c>
      <c r="E108" s="148" t="s">
        <v>444</v>
      </c>
    </row>
    <row r="109" spans="1:5" x14ac:dyDescent="0.2">
      <c r="A109" t="str">
        <f t="shared" si="4"/>
        <v>horný vozík</v>
      </c>
      <c r="B109" s="7" t="s">
        <v>237</v>
      </c>
      <c r="C109" s="7" t="s">
        <v>184</v>
      </c>
      <c r="D109" t="s">
        <v>338</v>
      </c>
      <c r="E109" s="148" t="s">
        <v>445</v>
      </c>
    </row>
    <row r="110" spans="1:5" x14ac:dyDescent="0.2">
      <c r="A110" t="str">
        <f t="shared" si="4"/>
        <v>spodný vozík</v>
      </c>
      <c r="B110" s="7" t="s">
        <v>238</v>
      </c>
      <c r="C110" s="7" t="s">
        <v>185</v>
      </c>
      <c r="D110" t="s">
        <v>339</v>
      </c>
      <c r="E110" s="148" t="s">
        <v>446</v>
      </c>
    </row>
    <row r="111" spans="1:5" x14ac:dyDescent="0.2">
      <c r="A111" t="str">
        <f t="shared" si="4"/>
        <v xml:space="preserve">pozicionér </v>
      </c>
      <c r="B111" s="7" t="s">
        <v>916</v>
      </c>
      <c r="C111" s="7" t="s">
        <v>186</v>
      </c>
      <c r="D111" t="s">
        <v>340</v>
      </c>
      <c r="E111" s="148" t="s">
        <v>447</v>
      </c>
    </row>
    <row r="112" spans="1:5" x14ac:dyDescent="0.2">
      <c r="A112" t="str">
        <f t="shared" si="4"/>
        <v>protiprachový kartáč samolepiaci</v>
      </c>
      <c r="B112" s="7" t="s">
        <v>239</v>
      </c>
      <c r="C112" s="7" t="s">
        <v>138</v>
      </c>
      <c r="D112" t="s">
        <v>341</v>
      </c>
      <c r="E112" s="147" t="s">
        <v>448</v>
      </c>
    </row>
    <row r="113" spans="1:5" x14ac:dyDescent="0.2">
      <c r="A113" t="str">
        <f t="shared" si="4"/>
        <v>úchytková lišta</v>
      </c>
      <c r="B113" s="7" t="s">
        <v>39</v>
      </c>
      <c r="C113" s="7" t="s">
        <v>139</v>
      </c>
      <c r="D113" t="s">
        <v>39</v>
      </c>
      <c r="E113" s="148" t="s">
        <v>439</v>
      </c>
    </row>
    <row r="114" spans="1:5" x14ac:dyDescent="0.2">
      <c r="A114" t="str">
        <f t="shared" si="4"/>
        <v>spojovací profil H18-3metre</v>
      </c>
      <c r="B114" s="7" t="s">
        <v>240</v>
      </c>
      <c r="C114" s="386" t="s">
        <v>187</v>
      </c>
      <c r="D114" t="s">
        <v>342</v>
      </c>
      <c r="E114" s="148" t="s">
        <v>457</v>
      </c>
    </row>
    <row r="115" spans="1:5" x14ac:dyDescent="0.2">
      <c r="A115" t="str">
        <f t="shared" si="4"/>
        <v>spojovací T profil - 3metre /s drážkou/</v>
      </c>
      <c r="B115" s="7" t="s">
        <v>241</v>
      </c>
      <c r="C115" s="386" t="s">
        <v>188</v>
      </c>
      <c r="D115" t="s">
        <v>343</v>
      </c>
      <c r="E115" s="148" t="s">
        <v>458</v>
      </c>
    </row>
    <row r="116" spans="1:5" x14ac:dyDescent="0.2">
      <c r="A116" t="str">
        <f t="shared" si="4"/>
        <v>spojovací T profil - 3metre /s lemom/</v>
      </c>
      <c r="B116" s="7" t="s">
        <v>242</v>
      </c>
      <c r="C116" s="386" t="s">
        <v>189</v>
      </c>
      <c r="D116" t="s">
        <v>344</v>
      </c>
      <c r="E116" s="148" t="s">
        <v>459</v>
      </c>
    </row>
    <row r="117" spans="1:5" x14ac:dyDescent="0.2">
      <c r="A117" t="str">
        <f t="shared" si="4"/>
        <v>"U" profil na DTD 18mm - 3 metre /hladký/</v>
      </c>
      <c r="B117" s="7" t="s">
        <v>243</v>
      </c>
      <c r="C117" s="386" t="s">
        <v>190</v>
      </c>
      <c r="D117" t="s">
        <v>345</v>
      </c>
      <c r="E117" s="148" t="s">
        <v>460</v>
      </c>
    </row>
    <row r="118" spans="1:5" x14ac:dyDescent="0.2">
      <c r="A118" t="str">
        <f t="shared" si="4"/>
        <v>"U" profil na DTD 18mm - 3 metre /lem/</v>
      </c>
      <c r="B118" s="7" t="s">
        <v>244</v>
      </c>
      <c r="C118" s="386" t="s">
        <v>191</v>
      </c>
      <c r="D118" t="s">
        <v>346</v>
      </c>
      <c r="E118" s="148" t="s">
        <v>461</v>
      </c>
    </row>
    <row r="119" spans="1:5" x14ac:dyDescent="0.2">
      <c r="A119" t="str">
        <f t="shared" si="4"/>
        <v>uholník mini 11x17mm - 1,7m</v>
      </c>
      <c r="B119" s="7" t="s">
        <v>245</v>
      </c>
      <c r="C119" s="386" t="s">
        <v>192</v>
      </c>
      <c r="D119" t="s">
        <v>347</v>
      </c>
      <c r="E119" s="148" t="s">
        <v>462</v>
      </c>
    </row>
    <row r="120" spans="1:5" x14ac:dyDescent="0.2">
      <c r="A120" t="str">
        <f t="shared" si="4"/>
        <v>uholník mini 11x17mm - 2,35m</v>
      </c>
      <c r="B120" s="387" t="s">
        <v>246</v>
      </c>
      <c r="C120" s="386" t="s">
        <v>193</v>
      </c>
      <c r="D120" t="s">
        <v>348</v>
      </c>
      <c r="E120" s="148" t="s">
        <v>463</v>
      </c>
    </row>
    <row r="121" spans="1:5" x14ac:dyDescent="0.2">
      <c r="A121" t="str">
        <f t="shared" si="4"/>
        <v>uholník mini 11x17mm - 3m</v>
      </c>
      <c r="B121" s="72" t="s">
        <v>247</v>
      </c>
      <c r="C121" s="386" t="s">
        <v>194</v>
      </c>
      <c r="D121" t="s">
        <v>349</v>
      </c>
      <c r="E121" s="148" t="s">
        <v>464</v>
      </c>
    </row>
    <row r="122" spans="1:5" x14ac:dyDescent="0.2">
      <c r="A122" t="str">
        <f t="shared" si="4"/>
        <v>uholník K2 19x18mm - 1,7m</v>
      </c>
      <c r="B122" s="7" t="s">
        <v>248</v>
      </c>
      <c r="C122" s="386" t="s">
        <v>195</v>
      </c>
      <c r="D122" t="s">
        <v>350</v>
      </c>
      <c r="E122" s="148" t="s">
        <v>465</v>
      </c>
    </row>
    <row r="123" spans="1:5" x14ac:dyDescent="0.2">
      <c r="A123" t="str">
        <f t="shared" si="4"/>
        <v>uholník K2 19x18mm - 2,35m</v>
      </c>
      <c r="B123" s="7" t="s">
        <v>249</v>
      </c>
      <c r="C123" s="386" t="s">
        <v>196</v>
      </c>
      <c r="D123" t="s">
        <v>351</v>
      </c>
      <c r="E123" s="148" t="s">
        <v>466</v>
      </c>
    </row>
    <row r="124" spans="1:5" x14ac:dyDescent="0.2">
      <c r="A124" t="str">
        <f t="shared" si="4"/>
        <v>uholník K2 19x18mm - 3,00m</v>
      </c>
      <c r="B124" s="7" t="s">
        <v>250</v>
      </c>
      <c r="C124" s="386" t="s">
        <v>197</v>
      </c>
      <c r="D124" t="s">
        <v>352</v>
      </c>
      <c r="E124" s="148" t="s">
        <v>467</v>
      </c>
    </row>
    <row r="125" spans="1:5" x14ac:dyDescent="0.2">
      <c r="A125" t="str">
        <f t="shared" si="4"/>
        <v>tlmič dorazu (ks)</v>
      </c>
      <c r="B125" s="7" t="s">
        <v>833</v>
      </c>
      <c r="C125" s="386" t="s">
        <v>836</v>
      </c>
      <c r="D125" t="s">
        <v>834</v>
      </c>
      <c r="E125" s="148" t="s">
        <v>835</v>
      </c>
    </row>
    <row r="126" spans="1:5" x14ac:dyDescent="0.2">
      <c r="A126" t="str">
        <f t="shared" si="4"/>
        <v>DTD</v>
      </c>
      <c r="B126" s="140" t="s">
        <v>251</v>
      </c>
      <c r="C126" s="8" t="s">
        <v>128</v>
      </c>
      <c r="D126" t="s">
        <v>251</v>
      </c>
      <c r="E126" s="147" t="s">
        <v>473</v>
      </c>
    </row>
    <row r="127" spans="1:5" x14ac:dyDescent="0.2">
      <c r="A127" t="str">
        <f t="shared" si="4"/>
        <v>zrkadlo / sklo</v>
      </c>
      <c r="B127" s="140" t="s">
        <v>252</v>
      </c>
      <c r="C127" s="388" t="s">
        <v>129</v>
      </c>
      <c r="D127" t="s">
        <v>353</v>
      </c>
      <c r="E127" s="147" t="s">
        <v>468</v>
      </c>
    </row>
    <row r="128" spans="1:5" ht="15" x14ac:dyDescent="0.25">
      <c r="A128" t="str">
        <f t="shared" si="4"/>
        <v xml:space="preserve">strieborná </v>
      </c>
      <c r="B128" s="270" t="s">
        <v>99</v>
      </c>
      <c r="C128" t="s">
        <v>209</v>
      </c>
      <c r="D128" t="s">
        <v>354</v>
      </c>
      <c r="E128" s="147" t="s">
        <v>469</v>
      </c>
    </row>
    <row r="129" spans="1:8" x14ac:dyDescent="0.2">
      <c r="A129" t="str">
        <f t="shared" si="4"/>
        <v>zlatá</v>
      </c>
      <c r="B129" s="140" t="s">
        <v>24</v>
      </c>
      <c r="C129" t="s">
        <v>210</v>
      </c>
      <c r="D129" t="s">
        <v>24</v>
      </c>
      <c r="E129" s="147" t="s">
        <v>470</v>
      </c>
    </row>
    <row r="130" spans="1:8" ht="15" x14ac:dyDescent="0.25">
      <c r="A130" t="str">
        <f t="shared" si="4"/>
        <v>oliva</v>
      </c>
      <c r="B130" s="140" t="s">
        <v>211</v>
      </c>
      <c r="C130" s="270" t="s">
        <v>211</v>
      </c>
      <c r="D130" t="s">
        <v>211</v>
      </c>
      <c r="E130" s="147" t="s">
        <v>471</v>
      </c>
    </row>
    <row r="131" spans="1:8" x14ac:dyDescent="0.2">
      <c r="A131" t="str">
        <f t="shared" si="4"/>
        <v>oliva kartáčovaná</v>
      </c>
      <c r="B131" s="140" t="s">
        <v>116</v>
      </c>
      <c r="C131" t="s">
        <v>201</v>
      </c>
      <c r="D131" t="s">
        <v>116</v>
      </c>
      <c r="E131" s="147" t="s">
        <v>430</v>
      </c>
    </row>
    <row r="132" spans="1:8" x14ac:dyDescent="0.2">
      <c r="A132" t="str">
        <f t="shared" si="4"/>
        <v>biela lesk</v>
      </c>
      <c r="B132" s="140" t="s">
        <v>965</v>
      </c>
      <c r="C132" t="s">
        <v>962</v>
      </c>
      <c r="D132" t="s">
        <v>963</v>
      </c>
      <c r="E132" s="147" t="s">
        <v>964</v>
      </c>
    </row>
    <row r="133" spans="1:8" ht="15.75" x14ac:dyDescent="0.25">
      <c r="A133" t="str">
        <f t="shared" si="4"/>
        <v>doprodej</v>
      </c>
      <c r="B133" s="140" t="s">
        <v>278</v>
      </c>
      <c r="C133" s="389" t="s">
        <v>277</v>
      </c>
      <c r="D133" t="s">
        <v>278</v>
      </c>
      <c r="E133" s="147" t="s">
        <v>472</v>
      </c>
    </row>
    <row r="134" spans="1:8" ht="15" x14ac:dyDescent="0.25">
      <c r="A134" t="str">
        <f t="shared" ref="A134:A153" si="5">IF($G$1=1,B134,IF($G$1=2,D134,IF($G$1=3,E134,IF($G$1=4,C134,"zadat jazyk"))))</f>
        <v>1. Vyplnte prosím kontatkné údaje, taktiež môžete zadať svoju zákaznícku zľavu.Tieto údaje sa prenesú na jednotlivé listy.</v>
      </c>
      <c r="B134" s="270" t="s">
        <v>254</v>
      </c>
      <c r="C134" s="390" t="s">
        <v>279</v>
      </c>
      <c r="D134" s="270" t="s">
        <v>356</v>
      </c>
      <c r="E134" s="151" t="s">
        <v>380</v>
      </c>
      <c r="F134" s="1"/>
      <c r="G134" s="1"/>
      <c r="H134" s="1"/>
    </row>
    <row r="135" spans="1:8" ht="15" x14ac:dyDescent="0.25">
      <c r="A135" t="str">
        <f t="shared" si="5"/>
        <v>2. Vyberte požadovaný typ úchytného profilu (kliknite na názov profilu pod obrázkom)</v>
      </c>
      <c r="B135" s="270" t="s">
        <v>255</v>
      </c>
      <c r="C135" s="390" t="s">
        <v>280</v>
      </c>
      <c r="D135" s="270" t="s">
        <v>357</v>
      </c>
      <c r="E135" s="151" t="s">
        <v>381</v>
      </c>
      <c r="F135" s="1"/>
      <c r="G135" s="1"/>
      <c r="H135" s="1"/>
    </row>
    <row r="136" spans="1:8" ht="15" x14ac:dyDescent="0.25">
      <c r="A136" t="str">
        <f t="shared" si="5"/>
        <v>3. Na stránke so zostavou profilou vyplnte rozmer otvoru.</v>
      </c>
      <c r="B136" s="270" t="s">
        <v>256</v>
      </c>
      <c r="C136" s="390" t="s">
        <v>281</v>
      </c>
      <c r="D136" s="270" t="s">
        <v>358</v>
      </c>
      <c r="E136" s="151" t="s">
        <v>382</v>
      </c>
      <c r="F136" s="1"/>
      <c r="G136" s="1"/>
      <c r="H136" s="1"/>
    </row>
    <row r="137" spans="1:8" ht="15" x14ac:dyDescent="0.25">
      <c r="A137" t="str">
        <f t="shared" si="5"/>
        <v>4. Vyplnte počet dverí, z ktorých sa bude zostava skladať</v>
      </c>
      <c r="B137" s="270" t="s">
        <v>257</v>
      </c>
      <c r="C137" s="390" t="s">
        <v>282</v>
      </c>
      <c r="D137" s="270" t="s">
        <v>359</v>
      </c>
      <c r="E137" s="151" t="s">
        <v>383</v>
      </c>
      <c r="F137" s="1"/>
      <c r="G137" s="1"/>
      <c r="H137" s="1"/>
    </row>
    <row r="138" spans="1:8" ht="15" x14ac:dyDescent="0.25">
      <c r="A138" t="str">
        <f t="shared" si="5"/>
        <v>5. Vyberte požadovanú farbu profilu (kliknite na okienko so šipkou - rozbalí sa zoznam, tu vyberte farbu)</v>
      </c>
      <c r="B138" s="270" t="s">
        <v>258</v>
      </c>
      <c r="C138" s="390" t="s">
        <v>283</v>
      </c>
      <c r="D138" s="270" t="s">
        <v>360</v>
      </c>
      <c r="E138" s="151" t="s">
        <v>384</v>
      </c>
      <c r="F138" s="1"/>
      <c r="G138" s="1"/>
      <c r="H138" s="1"/>
    </row>
    <row r="139" spans="1:8" ht="15" x14ac:dyDescent="0.25">
      <c r="A139" t="str">
        <f t="shared" si="5"/>
        <v>6. V prípade, že chcete dvere rozdeliť deliacími profilmi, doplnte v spodnej časti formuláru potrebný počet líšt</v>
      </c>
      <c r="B139" s="270" t="s">
        <v>259</v>
      </c>
      <c r="C139" s="390" t="s">
        <v>284</v>
      </c>
      <c r="D139" s="270" t="s">
        <v>361</v>
      </c>
      <c r="E139" s="151" t="s">
        <v>385</v>
      </c>
      <c r="F139" s="1"/>
      <c r="G139" s="1"/>
      <c r="H139" s="1"/>
    </row>
    <row r="140" spans="1:8" ht="15" x14ac:dyDescent="0.25">
      <c r="A140" t="str">
        <f t="shared" si="5"/>
        <v>7. Pri použití skla alebo zrkadla je nutné použiť tesniaci profil. Vzhľadom k možnej kombinácií skla s doskami</v>
      </c>
      <c r="B140" s="270" t="s">
        <v>260</v>
      </c>
      <c r="C140" s="270" t="s">
        <v>285</v>
      </c>
      <c r="D140" s="270" t="s">
        <v>362</v>
      </c>
      <c r="E140" s="151" t="s">
        <v>386</v>
      </c>
      <c r="F140" s="1"/>
      <c r="G140" s="1"/>
      <c r="H140" s="1"/>
    </row>
    <row r="141" spans="1:8" ht="15" x14ac:dyDescent="0.25">
      <c r="A141" t="str">
        <f t="shared" si="5"/>
        <v xml:space="preserve">    nie je možné určiť dĺžku tesnenia predom. V zostave je vypočítaná dĺžka tesnenia na jedno krídlo.</v>
      </c>
      <c r="B141" s="270" t="s">
        <v>261</v>
      </c>
      <c r="C141" s="270" t="s">
        <v>286</v>
      </c>
      <c r="D141" s="270" t="s">
        <v>363</v>
      </c>
      <c r="E141" s="151" t="s">
        <v>387</v>
      </c>
      <c r="F141" s="1"/>
      <c r="G141" s="1"/>
      <c r="H141" s="1"/>
    </row>
    <row r="142" spans="1:8" ht="15" x14ac:dyDescent="0.25">
      <c r="A142" t="str">
        <f t="shared" si="5"/>
        <v xml:space="preserve">    Ďalej je spočítaná dĺžka v prípade, že celá zostava je zo skla / zrkadla</v>
      </c>
      <c r="B142" s="270" t="s">
        <v>262</v>
      </c>
      <c r="C142" t="s">
        <v>287</v>
      </c>
      <c r="D142" s="270" t="s">
        <v>364</v>
      </c>
      <c r="E142" s="151" t="s">
        <v>388</v>
      </c>
      <c r="F142" s="1"/>
      <c r="G142" s="1"/>
      <c r="H142" s="1"/>
    </row>
    <row r="143" spans="1:8" ht="15" x14ac:dyDescent="0.25">
      <c r="A143" t="str">
        <f t="shared" si="5"/>
        <v>8. V prípade delenia úchytového profilu je kalkulovaná šírka rezu 5mm.</v>
      </c>
      <c r="B143" s="270" t="s">
        <v>940</v>
      </c>
      <c r="C143" s="270" t="s">
        <v>941</v>
      </c>
      <c r="D143" s="270" t="s">
        <v>942</v>
      </c>
      <c r="E143" s="151" t="s">
        <v>943</v>
      </c>
      <c r="F143" s="1"/>
      <c r="G143" s="1"/>
      <c r="H143" s="1"/>
    </row>
    <row r="144" spans="1:8" ht="15" x14ac:dyDescent="0.25">
      <c r="A144" t="str">
        <f t="shared" si="5"/>
        <v>Návod na použitie:</v>
      </c>
      <c r="B144" s="391" t="s">
        <v>253</v>
      </c>
      <c r="C144" s="391" t="s">
        <v>288</v>
      </c>
      <c r="D144" s="392" t="s">
        <v>355</v>
      </c>
      <c r="E144" s="151" t="s">
        <v>379</v>
      </c>
    </row>
    <row r="145" spans="1:5" x14ac:dyDescent="0.2">
      <c r="A145" t="str">
        <f t="shared" si="5"/>
        <v>Vzorkovník fólií</v>
      </c>
      <c r="B145" s="140" t="s">
        <v>365</v>
      </c>
      <c r="C145" t="s">
        <v>198</v>
      </c>
      <c r="D145" t="s">
        <v>365</v>
      </c>
      <c r="E145" s="147" t="s">
        <v>389</v>
      </c>
    </row>
    <row r="146" spans="1:5" x14ac:dyDescent="0.2">
      <c r="A146" t="str">
        <f t="shared" si="5"/>
        <v>okrem zelene označených dekorov sú fólie na objednávku</v>
      </c>
      <c r="B146" t="s">
        <v>923</v>
      </c>
      <c r="C146" t="s">
        <v>924</v>
      </c>
      <c r="D146" t="s">
        <v>494</v>
      </c>
      <c r="E146" s="147" t="s">
        <v>390</v>
      </c>
    </row>
    <row r="147" spans="1:5" ht="15" x14ac:dyDescent="0.25">
      <c r="A147" t="str">
        <f t="shared" si="5"/>
        <v>Zobrazenie farieb a dekorov je orientačné a môže byť skreslené vplyvom nastavenia a farebného podania monitora apod.</v>
      </c>
      <c r="B147" t="s">
        <v>366</v>
      </c>
      <c r="C147" s="385" t="s">
        <v>200</v>
      </c>
      <c r="D147" t="s">
        <v>370</v>
      </c>
      <c r="E147" s="147" t="s">
        <v>391</v>
      </c>
    </row>
    <row r="148" spans="1:5" ht="15" x14ac:dyDescent="0.25">
      <c r="A148" t="str">
        <f t="shared" si="5"/>
        <v>Na vyžiadanie môžeme zaslať fyzický vzorkovník 179111.</v>
      </c>
      <c r="B148" t="s">
        <v>632</v>
      </c>
      <c r="C148" s="385" t="s">
        <v>633</v>
      </c>
      <c r="D148" s="392" t="s">
        <v>634</v>
      </c>
      <c r="E148" s="147" t="s">
        <v>635</v>
      </c>
    </row>
    <row r="149" spans="1:5" x14ac:dyDescent="0.2">
      <c r="A149" t="str">
        <f t="shared" si="5"/>
        <v>skladom</v>
      </c>
      <c r="B149" s="140" t="s">
        <v>367</v>
      </c>
      <c r="C149" s="393" t="s">
        <v>199</v>
      </c>
      <c r="D149" t="s">
        <v>368</v>
      </c>
      <c r="E149" s="147" t="s">
        <v>369</v>
      </c>
    </row>
    <row r="150" spans="1:5" x14ac:dyDescent="0.2">
      <c r="A150" t="str">
        <f t="shared" si="5"/>
        <v>k tejto farbe nieje potrebný</v>
      </c>
      <c r="B150" s="140" t="s">
        <v>490</v>
      </c>
      <c r="C150" t="s">
        <v>492</v>
      </c>
      <c r="D150" t="s">
        <v>493</v>
      </c>
      <c r="E150" s="147" t="s">
        <v>491</v>
      </c>
    </row>
    <row r="151" spans="1:5" x14ac:dyDescent="0.2">
      <c r="A151" t="str">
        <f t="shared" si="5"/>
        <v>NOVINKA</v>
      </c>
      <c r="B151" s="140" t="s">
        <v>497</v>
      </c>
      <c r="C151" t="s">
        <v>496</v>
      </c>
      <c r="D151" t="s">
        <v>497</v>
      </c>
      <c r="E151" s="147" t="s">
        <v>500</v>
      </c>
    </row>
    <row r="152" spans="1:5" x14ac:dyDescent="0.2">
      <c r="A152" t="str">
        <f t="shared" si="5"/>
        <v>NOVINKA, len na objednávku</v>
      </c>
      <c r="B152" s="140" t="s">
        <v>498</v>
      </c>
      <c r="C152" t="s">
        <v>495</v>
      </c>
      <c r="D152" s="140" t="s">
        <v>499</v>
      </c>
      <c r="E152" s="147" t="s">
        <v>501</v>
      </c>
    </row>
    <row r="153" spans="1:5" ht="15" x14ac:dyDescent="0.2">
      <c r="A153" t="str">
        <f t="shared" si="5"/>
        <v>Spracované na základe údajov dodaných výrobcom, chyby vyhradené, zvlášť v prípade hromadnej výroby odporúčame najprv výrobu skúšobného prototypu</v>
      </c>
      <c r="B153" s="140" t="s">
        <v>505</v>
      </c>
      <c r="C153" s="394" t="s">
        <v>650</v>
      </c>
      <c r="D153" t="s">
        <v>506</v>
      </c>
      <c r="E153" s="147" t="s">
        <v>507</v>
      </c>
    </row>
    <row r="154" spans="1:5" x14ac:dyDescent="0.2">
      <c r="A154" t="s">
        <v>371</v>
      </c>
    </row>
    <row r="155" spans="1:5" ht="15" x14ac:dyDescent="0.25">
      <c r="B155" s="140" t="s">
        <v>372</v>
      </c>
      <c r="C155" t="s">
        <v>376</v>
      </c>
      <c r="D155" t="s">
        <v>502</v>
      </c>
      <c r="E155" s="385" t="s">
        <v>474</v>
      </c>
    </row>
    <row r="156" spans="1:5" ht="15" x14ac:dyDescent="0.25">
      <c r="B156" s="140" t="s">
        <v>374</v>
      </c>
      <c r="C156" t="s">
        <v>373</v>
      </c>
      <c r="D156" t="s">
        <v>503</v>
      </c>
      <c r="E156" s="385" t="s">
        <v>475</v>
      </c>
    </row>
    <row r="157" spans="1:5" ht="15" x14ac:dyDescent="0.25">
      <c r="B157" s="140" t="s">
        <v>378</v>
      </c>
      <c r="C157" t="s">
        <v>377</v>
      </c>
      <c r="D157" t="s">
        <v>504</v>
      </c>
      <c r="E157" s="385" t="s">
        <v>476</v>
      </c>
    </row>
    <row r="159" spans="1:5" ht="15.75" x14ac:dyDescent="0.25">
      <c r="A159" t="str">
        <f t="shared" ref="A159:A190" si="6">IF($G$1=1,B159,IF($G$1=2,D159,IF($G$1=3,E159,IF($G$1=4,C159,"zadat jazyk"))))</f>
        <v>dopredaj</v>
      </c>
      <c r="B159" s="140" t="s">
        <v>375</v>
      </c>
      <c r="C159" s="389" t="s">
        <v>277</v>
      </c>
      <c r="D159" s="395" t="s">
        <v>769</v>
      </c>
      <c r="E159" s="385" t="s">
        <v>472</v>
      </c>
    </row>
    <row r="160" spans="1:5" x14ac:dyDescent="0.2">
      <c r="A160">
        <f t="shared" si="6"/>
        <v>100</v>
      </c>
      <c r="B160" s="140">
        <v>2500</v>
      </c>
      <c r="C160">
        <v>25000</v>
      </c>
      <c r="D160">
        <v>100</v>
      </c>
      <c r="E160" s="147">
        <v>2500</v>
      </c>
    </row>
    <row r="161" spans="1:5" ht="15.75" x14ac:dyDescent="0.25">
      <c r="A161" t="str">
        <f t="shared" si="6"/>
        <v xml:space="preserve">Ak navýšite objednávku o </v>
      </c>
      <c r="B161" s="140" t="s">
        <v>508</v>
      </c>
      <c r="C161" s="385" t="s">
        <v>512</v>
      </c>
      <c r="D161" t="s">
        <v>598</v>
      </c>
      <c r="E161" s="396" t="s">
        <v>510</v>
      </c>
    </row>
    <row r="162" spans="1:5" ht="15.75" x14ac:dyDescent="0.25">
      <c r="A162" t="str">
        <f t="shared" si="6"/>
        <v xml:space="preserve"> dostanete</v>
      </c>
      <c r="B162" s="140" t="s">
        <v>509</v>
      </c>
      <c r="C162" s="385" t="s">
        <v>513</v>
      </c>
      <c r="D162" t="s">
        <v>599</v>
      </c>
      <c r="E162" s="396" t="s">
        <v>511</v>
      </c>
    </row>
    <row r="163" spans="1:5" ht="15.75" x14ac:dyDescent="0.25">
      <c r="A163" t="str">
        <f t="shared" si="6"/>
        <v>tlmič zadarmo</v>
      </c>
      <c r="B163" s="140" t="s">
        <v>515</v>
      </c>
      <c r="C163" s="385" t="s">
        <v>514</v>
      </c>
      <c r="D163" t="s">
        <v>517</v>
      </c>
      <c r="E163" s="396" t="s">
        <v>516</v>
      </c>
    </row>
    <row r="164" spans="1:5" ht="15" x14ac:dyDescent="0.2">
      <c r="A164" t="str">
        <f t="shared" si="6"/>
        <v>skladom sety pre 2 a 3 krídla pre dĺžky 1,8 m (2kř.), 2,5 m (3 kr.) a 2,7 m (2 kr.)</v>
      </c>
      <c r="B164" s="394" t="s">
        <v>518</v>
      </c>
      <c r="C164" s="397" t="s">
        <v>528</v>
      </c>
      <c r="D164" s="395" t="s">
        <v>768</v>
      </c>
      <c r="E164" t="s">
        <v>519</v>
      </c>
    </row>
    <row r="165" spans="1:5" ht="15" x14ac:dyDescent="0.25">
      <c r="A165" t="str">
        <f t="shared" si="6"/>
        <v>inovovaný profil</v>
      </c>
      <c r="B165" s="385" t="s">
        <v>520</v>
      </c>
      <c r="C165" s="385" t="s">
        <v>529</v>
      </c>
      <c r="D165" t="s">
        <v>520</v>
      </c>
      <c r="E165" t="s">
        <v>524</v>
      </c>
    </row>
    <row r="166" spans="1:5" ht="15" x14ac:dyDescent="0.25">
      <c r="A166" t="str">
        <f t="shared" si="6"/>
        <v>nasúvacia kefka</v>
      </c>
      <c r="B166" s="385" t="s">
        <v>521</v>
      </c>
      <c r="C166" s="385" t="s">
        <v>530</v>
      </c>
      <c r="D166" t="s">
        <v>533</v>
      </c>
      <c r="E166" s="398" t="s">
        <v>525</v>
      </c>
    </row>
    <row r="167" spans="1:5" ht="15" x14ac:dyDescent="0.25">
      <c r="A167" t="str">
        <f t="shared" si="6"/>
        <v>novo skladom</v>
      </c>
      <c r="B167" s="385" t="s">
        <v>522</v>
      </c>
      <c r="C167" s="385" t="s">
        <v>531</v>
      </c>
      <c r="D167" t="s">
        <v>534</v>
      </c>
      <c r="E167" s="398" t="s">
        <v>526</v>
      </c>
    </row>
    <row r="168" spans="1:5" ht="15" x14ac:dyDescent="0.25">
      <c r="A168" t="str">
        <f t="shared" si="6"/>
        <v>niekroté položky možu byť na objednávku</v>
      </c>
      <c r="B168" s="385" t="s">
        <v>523</v>
      </c>
      <c r="C168" s="385" t="s">
        <v>532</v>
      </c>
      <c r="D168" t="s">
        <v>638</v>
      </c>
      <c r="E168" s="385" t="s">
        <v>527</v>
      </c>
    </row>
    <row r="169" spans="1:5" x14ac:dyDescent="0.2">
      <c r="A169" t="str">
        <f t="shared" si="6"/>
        <v>spojovací profil H18 MAXIM 1,8m</v>
      </c>
      <c r="B169" s="7" t="s">
        <v>535</v>
      </c>
      <c r="C169" s="386" t="s">
        <v>536</v>
      </c>
      <c r="D169" t="s">
        <v>537</v>
      </c>
      <c r="E169" s="148" t="s">
        <v>538</v>
      </c>
    </row>
    <row r="170" spans="1:5" x14ac:dyDescent="0.2">
      <c r="A170" t="str">
        <f t="shared" si="6"/>
        <v>spojovací profil H18 MAXIM 2,5m</v>
      </c>
      <c r="B170" s="7" t="s">
        <v>539</v>
      </c>
      <c r="C170" s="386" t="s">
        <v>540</v>
      </c>
      <c r="D170" t="s">
        <v>541</v>
      </c>
      <c r="E170" s="148" t="s">
        <v>542</v>
      </c>
    </row>
    <row r="171" spans="1:5" x14ac:dyDescent="0.2">
      <c r="A171" t="str">
        <f t="shared" si="6"/>
        <v>spojovací profil H25 MAXIM 1,8m</v>
      </c>
      <c r="B171" s="7" t="s">
        <v>543</v>
      </c>
      <c r="C171" s="386" t="s">
        <v>544</v>
      </c>
      <c r="D171" t="s">
        <v>545</v>
      </c>
      <c r="E171" s="148" t="s">
        <v>546</v>
      </c>
    </row>
    <row r="172" spans="1:5" x14ac:dyDescent="0.2">
      <c r="A172" t="str">
        <f t="shared" si="6"/>
        <v>spojovací profil H25 MAXIM 2,5m</v>
      </c>
      <c r="B172" s="7" t="s">
        <v>547</v>
      </c>
      <c r="C172" s="386" t="s">
        <v>548</v>
      </c>
      <c r="D172" t="s">
        <v>549</v>
      </c>
      <c r="E172" s="148" t="s">
        <v>550</v>
      </c>
    </row>
    <row r="173" spans="1:5" x14ac:dyDescent="0.2">
      <c r="A173" t="str">
        <f t="shared" si="6"/>
        <v> Doporučujeme dokúpiť ešte</v>
      </c>
      <c r="B173" s="140" t="s">
        <v>583</v>
      </c>
      <c r="C173" s="386" t="s">
        <v>877</v>
      </c>
      <c r="D173" t="s">
        <v>925</v>
      </c>
      <c r="E173" s="398" t="s">
        <v>892</v>
      </c>
    </row>
    <row r="174" spans="1:5" x14ac:dyDescent="0.2">
      <c r="A174" t="str">
        <f t="shared" si="6"/>
        <v> ks tlmiče, aby bola zostava kompletná</v>
      </c>
      <c r="B174" s="140" t="s">
        <v>584</v>
      </c>
      <c r="C174" s="386" t="s">
        <v>878</v>
      </c>
      <c r="D174" t="s">
        <v>926</v>
      </c>
      <c r="E174" s="398" t="s">
        <v>893</v>
      </c>
    </row>
    <row r="175" spans="1:5" x14ac:dyDescent="0.2">
      <c r="A175" t="str">
        <f t="shared" si="6"/>
        <v>TLMIČ POSUVNÝCH DV. SEVROLL - AKCIA (11027)</v>
      </c>
      <c r="B175" s="140" t="s">
        <v>591</v>
      </c>
      <c r="C175" s="386" t="s">
        <v>592</v>
      </c>
      <c r="D175" t="s">
        <v>590</v>
      </c>
      <c r="E175" s="147" t="s">
        <v>593</v>
      </c>
    </row>
    <row r="176" spans="1:5" ht="15" x14ac:dyDescent="0.2">
      <c r="A176" t="str">
        <f t="shared" si="6"/>
        <v>Odpočet výšky pri montaži tlmiča 11027</v>
      </c>
      <c r="B176" s="140" t="s">
        <v>594</v>
      </c>
      <c r="C176" s="394" t="s">
        <v>644</v>
      </c>
      <c r="D176" s="140" t="s">
        <v>595</v>
      </c>
    </row>
    <row r="177" spans="1:5" ht="15" x14ac:dyDescent="0.2">
      <c r="A177" t="str">
        <f t="shared" si="6"/>
        <v>(pre všetky parametry)</v>
      </c>
      <c r="B177" s="140" t="s">
        <v>596</v>
      </c>
      <c r="C177" s="394" t="s">
        <v>645</v>
      </c>
      <c r="D177" t="s">
        <v>597</v>
      </c>
    </row>
    <row r="178" spans="1:5" ht="15" x14ac:dyDescent="0.2">
      <c r="A178" t="str">
        <f t="shared" si="6"/>
        <v>Maximálna dlžka vedenia je 3,6 m</v>
      </c>
      <c r="B178" s="140" t="s">
        <v>602</v>
      </c>
      <c r="C178" s="394" t="s">
        <v>646</v>
      </c>
      <c r="D178" s="140" t="s">
        <v>603</v>
      </c>
    </row>
    <row r="179" spans="1:5" ht="15" x14ac:dyDescent="0.2">
      <c r="A179" t="str">
        <f t="shared" si="6"/>
        <v>skrutka k spodnémi vedeniu</v>
      </c>
      <c r="B179" s="140" t="s">
        <v>610</v>
      </c>
      <c r="C179" s="394" t="s">
        <v>647</v>
      </c>
      <c r="D179" t="s">
        <v>611</v>
      </c>
      <c r="E179" s="147" t="s">
        <v>770</v>
      </c>
    </row>
    <row r="180" spans="1:5" x14ac:dyDescent="0.2">
      <c r="A180" t="str">
        <f t="shared" si="6"/>
        <v>uholník  11x17mm - 1,7m</v>
      </c>
      <c r="B180" s="7" t="s">
        <v>804</v>
      </c>
      <c r="C180" s="386" t="s">
        <v>807</v>
      </c>
      <c r="D180" t="s">
        <v>810</v>
      </c>
      <c r="E180" s="148" t="s">
        <v>813</v>
      </c>
    </row>
    <row r="181" spans="1:5" x14ac:dyDescent="0.2">
      <c r="A181" t="str">
        <f t="shared" si="6"/>
        <v>uholník  11x17mm - 2,35m</v>
      </c>
      <c r="B181" s="387" t="s">
        <v>805</v>
      </c>
      <c r="C181" s="386" t="s">
        <v>808</v>
      </c>
      <c r="D181" t="s">
        <v>811</v>
      </c>
      <c r="E181" s="148" t="s">
        <v>814</v>
      </c>
    </row>
    <row r="182" spans="1:5" x14ac:dyDescent="0.2">
      <c r="A182" t="str">
        <f t="shared" si="6"/>
        <v>uholník  11x17mm - 3,0m</v>
      </c>
      <c r="B182" s="72" t="s">
        <v>806</v>
      </c>
      <c r="C182" s="386" t="s">
        <v>809</v>
      </c>
      <c r="D182" t="s">
        <v>812</v>
      </c>
      <c r="E182" s="148" t="s">
        <v>815</v>
      </c>
    </row>
    <row r="183" spans="1:5" x14ac:dyDescent="0.2">
      <c r="A183" t="str">
        <f t="shared" si="6"/>
        <v>uholník  20x26mm - 1,8m</v>
      </c>
      <c r="B183" s="7" t="s">
        <v>792</v>
      </c>
      <c r="C183" s="386" t="s">
        <v>795</v>
      </c>
      <c r="D183" t="s">
        <v>798</v>
      </c>
      <c r="E183" s="148" t="s">
        <v>801</v>
      </c>
    </row>
    <row r="184" spans="1:5" x14ac:dyDescent="0.2">
      <c r="A184" t="str">
        <f t="shared" si="6"/>
        <v>uholník  20x26mm - 2,7m</v>
      </c>
      <c r="B184" s="387" t="s">
        <v>793</v>
      </c>
      <c r="C184" s="386" t="s">
        <v>796</v>
      </c>
      <c r="D184" t="s">
        <v>799</v>
      </c>
      <c r="E184" s="148" t="s">
        <v>802</v>
      </c>
    </row>
    <row r="185" spans="1:5" x14ac:dyDescent="0.2">
      <c r="A185" t="str">
        <f t="shared" si="6"/>
        <v>uholník  20x26mm - 3,6m</v>
      </c>
      <c r="B185" s="72" t="s">
        <v>794</v>
      </c>
      <c r="C185" s="386" t="s">
        <v>797</v>
      </c>
      <c r="D185" t="s">
        <v>800</v>
      </c>
      <c r="E185" s="148" t="s">
        <v>803</v>
      </c>
    </row>
    <row r="186" spans="1:5" x14ac:dyDescent="0.2">
      <c r="A186" t="str">
        <f t="shared" si="6"/>
        <v>spojovací profil H - 3metre</v>
      </c>
      <c r="B186" s="7" t="s">
        <v>612</v>
      </c>
      <c r="C186" s="386" t="s">
        <v>613</v>
      </c>
      <c r="D186" t="s">
        <v>614</v>
      </c>
      <c r="E186" s="148" t="s">
        <v>615</v>
      </c>
    </row>
    <row r="187" spans="1:5" x14ac:dyDescent="0.2">
      <c r="A187" t="str">
        <f t="shared" si="6"/>
        <v>kart. čierna</v>
      </c>
      <c r="B187" s="140" t="s">
        <v>616</v>
      </c>
      <c r="C187" t="s">
        <v>619</v>
      </c>
      <c r="D187" t="s">
        <v>620</v>
      </c>
      <c r="E187" s="147" t="s">
        <v>618</v>
      </c>
    </row>
    <row r="188" spans="1:5" x14ac:dyDescent="0.2">
      <c r="A188" t="str">
        <f t="shared" si="6"/>
        <v>kart. tm. oliva</v>
      </c>
      <c r="B188" s="140" t="s">
        <v>617</v>
      </c>
      <c r="C188" t="s">
        <v>623</v>
      </c>
      <c r="D188" t="s">
        <v>621</v>
      </c>
      <c r="E188" s="147" t="s">
        <v>622</v>
      </c>
    </row>
    <row r="189" spans="1:5" x14ac:dyDescent="0.2">
      <c r="A189" t="str">
        <f t="shared" si="6"/>
        <v>spojovací profil H25 2,7m</v>
      </c>
      <c r="B189" s="7" t="s">
        <v>624</v>
      </c>
      <c r="C189" s="386" t="s">
        <v>625</v>
      </c>
      <c r="D189" t="s">
        <v>627</v>
      </c>
      <c r="E189" s="148" t="s">
        <v>626</v>
      </c>
    </row>
    <row r="190" spans="1:5" ht="15" x14ac:dyDescent="0.2">
      <c r="A190" t="str">
        <f t="shared" si="6"/>
        <v>Ďalšie príslušenstvo</v>
      </c>
      <c r="B190" s="140" t="s">
        <v>637</v>
      </c>
      <c r="C190" s="394" t="s">
        <v>837</v>
      </c>
      <c r="D190" t="s">
        <v>636</v>
      </c>
      <c r="E190" s="147" t="s">
        <v>631</v>
      </c>
    </row>
    <row r="191" spans="1:5" ht="15" x14ac:dyDescent="0.2">
      <c r="A191" t="str">
        <f t="shared" ref="A191:A222" si="7">IF($G$1=1,B191,IF($G$1=2,D191,IF($G$1=3,E191,IF($G$1=4,C191,"zadat jazyk"))))</f>
        <v>Akcia - tlmič zdarma</v>
      </c>
      <c r="B191" s="140" t="s">
        <v>639</v>
      </c>
      <c r="C191" s="394" t="s">
        <v>648</v>
      </c>
      <c r="D191" t="s">
        <v>640</v>
      </c>
    </row>
    <row r="192" spans="1:5" ht="15" x14ac:dyDescent="0.2">
      <c r="A192" t="str">
        <f t="shared" si="7"/>
        <v>1 ks pre lamino 18mm, týká se úch. profilov  Alfa, Tytan, Oaza, Victoria, Factor, Focus, Universal, Ergo, tlmič kód 11027,akcia platí do vypredania zásob</v>
      </c>
      <c r="B192" s="140" t="s">
        <v>641</v>
      </c>
      <c r="C192" s="394" t="s">
        <v>649</v>
      </c>
      <c r="D192" t="s">
        <v>642</v>
      </c>
    </row>
    <row r="193" spans="1:5" ht="15" x14ac:dyDescent="0.2">
      <c r="A193" t="str">
        <f t="shared" si="7"/>
        <v>Späť na úvodnú stránku</v>
      </c>
      <c r="B193" s="140" t="s">
        <v>630</v>
      </c>
      <c r="C193" t="s">
        <v>764</v>
      </c>
      <c r="D193" t="s">
        <v>643</v>
      </c>
      <c r="E193" s="395" t="s">
        <v>771</v>
      </c>
    </row>
    <row r="194" spans="1:5" ht="15" x14ac:dyDescent="0.2">
      <c r="A194" t="str">
        <f t="shared" si="7"/>
        <v>Max. veľkosť krídla so zrkadlom je 2400x700mm</v>
      </c>
      <c r="B194" s="140" t="s">
        <v>651</v>
      </c>
      <c r="C194" s="394" t="s">
        <v>654</v>
      </c>
      <c r="D194" t="s">
        <v>652</v>
      </c>
      <c r="E194" s="147" t="s">
        <v>653</v>
      </c>
    </row>
    <row r="195" spans="1:5" x14ac:dyDescent="0.2">
      <c r="A195" t="str">
        <f t="shared" si="7"/>
        <v>Jednoduché vedenie pre systémy:</v>
      </c>
      <c r="B195" s="140" t="s">
        <v>656</v>
      </c>
      <c r="C195" t="s">
        <v>657</v>
      </c>
      <c r="D195" t="s">
        <v>659</v>
      </c>
      <c r="E195" s="147" t="s">
        <v>658</v>
      </c>
    </row>
    <row r="196" spans="1:5" x14ac:dyDescent="0.2">
      <c r="A196" t="str">
        <f t="shared" si="7"/>
        <v>Spona dorazovej kefky</v>
      </c>
      <c r="B196" s="140" t="s">
        <v>660</v>
      </c>
      <c r="C196" t="s">
        <v>661</v>
      </c>
      <c r="D196" t="s">
        <v>662</v>
      </c>
      <c r="E196" s="147" t="s">
        <v>663</v>
      </c>
    </row>
    <row r="197" spans="1:5" ht="15" x14ac:dyDescent="0.2">
      <c r="A197" t="str">
        <f t="shared" si="7"/>
        <v>Možnosť dodania kompletných sád profilov + kovania:</v>
      </c>
      <c r="B197" s="140" t="s">
        <v>664</v>
      </c>
      <c r="C197" s="394" t="s">
        <v>731</v>
      </c>
      <c r="D197" t="s">
        <v>767</v>
      </c>
      <c r="E197" s="147" t="s">
        <v>765</v>
      </c>
    </row>
    <row r="198" spans="1:5" ht="15" x14ac:dyDescent="0.2">
      <c r="A198" t="str">
        <f t="shared" si="7"/>
        <v>sada 2 krídla, šírka 1,8m (profily 182716 + kovanie 98054)</v>
      </c>
      <c r="B198" s="140" t="s">
        <v>665</v>
      </c>
      <c r="C198" s="394" t="s">
        <v>732</v>
      </c>
      <c r="D198" t="s">
        <v>760</v>
      </c>
      <c r="E198" s="147" t="s">
        <v>762</v>
      </c>
    </row>
    <row r="199" spans="1:5" ht="15" x14ac:dyDescent="0.2">
      <c r="A199" t="str">
        <f t="shared" si="7"/>
        <v>sada 3 krídla, šírka 2,5m (profily 188479 + kovanie 100968)</v>
      </c>
      <c r="B199" s="140" t="s">
        <v>666</v>
      </c>
      <c r="C199" s="394" t="s">
        <v>733</v>
      </c>
      <c r="D199" t="s">
        <v>761</v>
      </c>
      <c r="E199" s="147" t="s">
        <v>763</v>
      </c>
    </row>
    <row r="200" spans="1:5" ht="15" x14ac:dyDescent="0.2">
      <c r="A200" t="str">
        <f t="shared" si="7"/>
        <v xml:space="preserve">Objednané položky sád nie sú rovnaké odpovedajúce
</v>
      </c>
      <c r="B200" s="140" t="s">
        <v>667</v>
      </c>
      <c r="C200" s="394" t="s">
        <v>879</v>
      </c>
      <c r="D200" t="s">
        <v>874</v>
      </c>
      <c r="E200" t="s">
        <v>894</v>
      </c>
    </row>
    <row r="201" spans="1:5" ht="15" x14ac:dyDescent="0.2">
      <c r="A201" t="str">
        <f t="shared" si="7"/>
        <v>kart. čierna</v>
      </c>
      <c r="B201" s="140" t="s">
        <v>676</v>
      </c>
      <c r="C201" s="394" t="s">
        <v>619</v>
      </c>
      <c r="D201" t="s">
        <v>620</v>
      </c>
      <c r="E201" s="147" t="s">
        <v>618</v>
      </c>
    </row>
    <row r="202" spans="1:5" x14ac:dyDescent="0.2">
      <c r="A202" t="str">
        <f t="shared" si="7"/>
        <v>kart. tm. oliva</v>
      </c>
      <c r="B202" s="140" t="s">
        <v>617</v>
      </c>
      <c r="C202" t="s">
        <v>623</v>
      </c>
      <c r="D202" t="s">
        <v>621</v>
      </c>
      <c r="E202" s="147" t="s">
        <v>622</v>
      </c>
    </row>
    <row r="203" spans="1:5" x14ac:dyDescent="0.2">
      <c r="A203" t="str">
        <f t="shared" si="7"/>
        <v>spojovací H profil Simple 10</v>
      </c>
      <c r="B203" s="7" t="s">
        <v>717</v>
      </c>
      <c r="C203" s="386" t="s">
        <v>718</v>
      </c>
      <c r="D203" t="s">
        <v>717</v>
      </c>
      <c r="E203" s="148" t="s">
        <v>719</v>
      </c>
    </row>
    <row r="204" spans="1:5" x14ac:dyDescent="0.2">
      <c r="A204" t="str">
        <f t="shared" si="7"/>
        <v>spojovací H21 profil Simple (18mm)</v>
      </c>
      <c r="B204" s="7" t="s">
        <v>3514</v>
      </c>
      <c r="C204" s="386" t="s">
        <v>3517</v>
      </c>
      <c r="D204" t="s">
        <v>3514</v>
      </c>
      <c r="E204" s="148" t="s">
        <v>3518</v>
      </c>
    </row>
    <row r="205" spans="1:5" x14ac:dyDescent="0.2">
      <c r="A205" t="str">
        <f t="shared" si="7"/>
        <v>spojovací H28 profil Simple (18mm)</v>
      </c>
      <c r="B205" s="7" t="s">
        <v>3515</v>
      </c>
      <c r="C205" t="s">
        <v>3516</v>
      </c>
      <c r="D205" t="s">
        <v>3515</v>
      </c>
      <c r="E205" s="148" t="s">
        <v>3519</v>
      </c>
    </row>
    <row r="206" spans="1:5" x14ac:dyDescent="0.2">
      <c r="A206" t="str">
        <f t="shared" si="7"/>
        <v xml:space="preserve">Upevňovacie kliny Blue 40ks (sklo 4 mm) </v>
      </c>
      <c r="B206" s="140" t="s">
        <v>1023</v>
      </c>
      <c r="C206" t="s">
        <v>1024</v>
      </c>
      <c r="D206" t="s">
        <v>1025</v>
      </c>
      <c r="E206" s="147" t="s">
        <v>939</v>
      </c>
    </row>
    <row r="207" spans="1:5" x14ac:dyDescent="0.2">
      <c r="A207" t="str">
        <f t="shared" si="7"/>
        <v>Systém Blue</v>
      </c>
      <c r="B207" s="140" t="s">
        <v>937</v>
      </c>
      <c r="C207" t="s">
        <v>939</v>
      </c>
      <c r="D207" t="s">
        <v>937</v>
      </c>
      <c r="E207" t="s">
        <v>938</v>
      </c>
    </row>
    <row r="208" spans="1:5" x14ac:dyDescent="0.2">
      <c r="A208" t="str">
        <f t="shared" si="7"/>
        <v>10. Do poľa poznámka môžete doplniť prípadné zmeny, pripomienky apod.</v>
      </c>
      <c r="B208" s="140" t="s">
        <v>711</v>
      </c>
      <c r="C208" t="s">
        <v>766</v>
      </c>
      <c r="D208" t="s">
        <v>712</v>
      </c>
      <c r="E208" s="147" t="s">
        <v>713</v>
      </c>
    </row>
    <row r="209" spans="1:5" x14ac:dyDescent="0.2">
      <c r="A209" t="str">
        <f t="shared" si="7"/>
        <v xml:space="preserve"> zásuvný protiprachový kartáč</v>
      </c>
      <c r="B209" s="140" t="s">
        <v>724</v>
      </c>
      <c r="C209" t="s">
        <v>723</v>
      </c>
      <c r="D209" t="s">
        <v>725</v>
      </c>
      <c r="E209" s="148" t="s">
        <v>726</v>
      </c>
    </row>
    <row r="210" spans="1:5" ht="15" x14ac:dyDescent="0.2">
      <c r="A210" t="str">
        <f t="shared" si="7"/>
        <v>záslepko spodného vedenia</v>
      </c>
      <c r="B210" s="140" t="s">
        <v>727</v>
      </c>
      <c r="C210" s="394" t="s">
        <v>729</v>
      </c>
      <c r="D210" t="s">
        <v>730</v>
      </c>
      <c r="E210" s="147" t="s">
        <v>728</v>
      </c>
    </row>
    <row r="211" spans="1:5" ht="15" x14ac:dyDescent="0.25">
      <c r="A211" t="str">
        <f t="shared" si="7"/>
        <v>Pri dvoch prekrytiach môžete pre výpočet rozmerov krídel využiť zadanie polovičnej šírky a 2 krídel</v>
      </c>
      <c r="B211" s="140" t="s">
        <v>739</v>
      </c>
      <c r="C211" s="385" t="s">
        <v>756</v>
      </c>
      <c r="D211" t="s">
        <v>741</v>
      </c>
      <c r="E211" s="394" t="s">
        <v>758</v>
      </c>
    </row>
    <row r="212" spans="1:5" ht="15" x14ac:dyDescent="0.2">
      <c r="A212" t="str">
        <f t="shared" si="7"/>
        <v>Krídla pri zvolenej konfigurácií sú úzke a vysoké, zvlášť pri použití tlmiča môže dochádzať k nadskakovaniu krídla.</v>
      </c>
      <c r="B212" s="140" t="s">
        <v>738</v>
      </c>
      <c r="C212" s="394" t="s">
        <v>757</v>
      </c>
      <c r="D212" t="s">
        <v>740</v>
      </c>
      <c r="E212" s="394" t="s">
        <v>759</v>
      </c>
    </row>
    <row r="213" spans="1:5" x14ac:dyDescent="0.2">
      <c r="A213" t="str">
        <f t="shared" si="7"/>
        <v>OCHRANNÉ FÓLIE NA SKLENENÉ VÝPLNE</v>
      </c>
      <c r="B213" s="140" t="s">
        <v>752</v>
      </c>
      <c r="C213" t="s">
        <v>755</v>
      </c>
      <c r="D213" t="s">
        <v>753</v>
      </c>
      <c r="E213" s="147" t="s">
        <v>754</v>
      </c>
    </row>
    <row r="214" spans="1:5" ht="15" x14ac:dyDescent="0.2">
      <c r="A214" t="str">
        <f t="shared" si="7"/>
        <v>některé položky sú na objednávku, počítajte prosím s dodaciou  lehotou  do 5 týždnov</v>
      </c>
      <c r="B214" s="140" t="s">
        <v>1001</v>
      </c>
      <c r="C214" s="395" t="s">
        <v>1002</v>
      </c>
      <c r="D214" t="s">
        <v>1003</v>
      </c>
      <c r="E214" s="147" t="s">
        <v>1004</v>
      </c>
    </row>
    <row r="215" spans="1:5" ht="15" x14ac:dyDescent="0.2">
      <c r="A215">
        <f t="shared" si="7"/>
        <v>0</v>
      </c>
      <c r="B215" t="s">
        <v>873</v>
      </c>
      <c r="C215" s="395"/>
    </row>
    <row r="216" spans="1:5" x14ac:dyDescent="0.2">
      <c r="A216" t="str">
        <f t="shared" si="7"/>
        <v>LAKOVANIE PROFILOV</v>
      </c>
      <c r="B216" s="140" t="s">
        <v>776</v>
      </c>
      <c r="C216" t="s">
        <v>778</v>
      </c>
      <c r="D216" t="s">
        <v>777</v>
      </c>
      <c r="E216" s="147" t="s">
        <v>779</v>
      </c>
    </row>
    <row r="217" spans="1:5" x14ac:dyDescent="0.2">
      <c r="A217" t="str">
        <f t="shared" si="7"/>
        <v>možnosť nalakovať do akéhokoľvek odtieňa RAL</v>
      </c>
      <c r="B217" s="140" t="s">
        <v>780</v>
      </c>
      <c r="C217" t="s">
        <v>783</v>
      </c>
      <c r="D217" t="s">
        <v>786</v>
      </c>
      <c r="E217" s="147" t="s">
        <v>789</v>
      </c>
    </row>
    <row r="218" spans="1:5" x14ac:dyDescent="0.2">
      <c r="A218" t="str">
        <f t="shared" si="7"/>
        <v> voľba lesk / mat (pri objednávke je nutná špecifikácia)</v>
      </c>
      <c r="B218" s="140" t="s">
        <v>781</v>
      </c>
      <c r="C218" t="s">
        <v>784</v>
      </c>
      <c r="D218" t="s">
        <v>787</v>
      </c>
      <c r="E218" s="147" t="s">
        <v>790</v>
      </c>
    </row>
    <row r="219" spans="1:5" x14ac:dyDescent="0.2">
      <c r="A219" t="str">
        <f t="shared" si="7"/>
        <v>obmedzenie na max dĺžku 3,85m</v>
      </c>
      <c r="B219" s="140" t="s">
        <v>782</v>
      </c>
      <c r="C219" t="s">
        <v>785</v>
      </c>
      <c r="D219" t="s">
        <v>788</v>
      </c>
      <c r="E219" s="147" t="s">
        <v>791</v>
      </c>
    </row>
    <row r="220" spans="1:5" ht="15" x14ac:dyDescent="0.25">
      <c r="A220" t="str">
        <f t="shared" si="7"/>
        <v>Blue 18 mm (bezrámovo)</v>
      </c>
      <c r="B220" s="140" t="s">
        <v>945</v>
      </c>
      <c r="C220" t="s">
        <v>947</v>
      </c>
      <c r="D220" t="s">
        <v>949</v>
      </c>
      <c r="E220" s="385" t="s">
        <v>950</v>
      </c>
    </row>
    <row r="221" spans="1:5" x14ac:dyDescent="0.2">
      <c r="A221" t="str">
        <f t="shared" si="7"/>
        <v>Blue 18 mm (rámový)</v>
      </c>
      <c r="B221" s="140" t="s">
        <v>946</v>
      </c>
      <c r="C221" t="s">
        <v>948</v>
      </c>
      <c r="D221" t="s">
        <v>946</v>
      </c>
      <c r="E221" s="398" t="s">
        <v>951</v>
      </c>
    </row>
    <row r="222" spans="1:5" x14ac:dyDescent="0.2">
      <c r="A222" t="str">
        <f t="shared" si="7"/>
        <v> Systém Comfort</v>
      </c>
      <c r="B222" s="140" t="s">
        <v>866</v>
      </c>
      <c r="C222" t="s">
        <v>880</v>
      </c>
      <c r="D222" t="s">
        <v>927</v>
      </c>
      <c r="E222" s="398" t="s">
        <v>895</v>
      </c>
    </row>
    <row r="223" spans="1:5" ht="15" x14ac:dyDescent="0.2">
      <c r="A223" t="str">
        <f t="shared" ref="A223:A246" si="8">IF($G$1=1,B223,IF($G$1=2,D223,IF($G$1=3,E223,IF($G$1=4,C223,"zadat jazyk"))))</f>
        <v>Montážne inštrukcie</v>
      </c>
      <c r="B223" s="140" t="s">
        <v>817</v>
      </c>
      <c r="C223" t="s">
        <v>820</v>
      </c>
      <c r="D223" t="s">
        <v>818</v>
      </c>
      <c r="E223" s="395" t="s">
        <v>819</v>
      </c>
    </row>
    <row r="224" spans="1:5" x14ac:dyDescent="0.2">
      <c r="A224" t="str">
        <f t="shared" si="8"/>
        <v>http://www.demos24plus.com/_Catalogs/sk/Kovani2014/index.html#488</v>
      </c>
      <c r="B224" s="140" t="s">
        <v>821</v>
      </c>
      <c r="C224" s="399" t="s">
        <v>822</v>
      </c>
      <c r="D224" s="399" t="s">
        <v>823</v>
      </c>
      <c r="E224" s="376" t="s">
        <v>824</v>
      </c>
    </row>
    <row r="225" spans="1:5" x14ac:dyDescent="0.2">
      <c r="A225" t="str">
        <f t="shared" si="8"/>
        <v>http://www.demos24plus.com/_Catalogs/sk/Kovani2014/index.html#484</v>
      </c>
      <c r="B225" s="140" t="s">
        <v>825</v>
      </c>
      <c r="C225" s="399" t="s">
        <v>826</v>
      </c>
      <c r="D225" s="399" t="s">
        <v>827</v>
      </c>
      <c r="E225" s="376" t="s">
        <v>828</v>
      </c>
    </row>
    <row r="226" spans="1:5" x14ac:dyDescent="0.2">
      <c r="A226" t="str">
        <f t="shared" si="8"/>
        <v>http://www.demos24plus.com/_Catalogs/sk/Kovani2014/index.html#472</v>
      </c>
      <c r="B226" s="400" t="s">
        <v>829</v>
      </c>
      <c r="C226" s="399" t="s">
        <v>830</v>
      </c>
      <c r="D226" s="399" t="s">
        <v>831</v>
      </c>
      <c r="E226" s="376" t="s">
        <v>832</v>
      </c>
    </row>
    <row r="227" spans="1:5" x14ac:dyDescent="0.2">
      <c r="A227" t="str">
        <f t="shared" si="8"/>
        <v> Zvolili ste 4 krídla, zvoľte počet preložení (2 alebo 3)</v>
      </c>
      <c r="B227" s="140" t="s">
        <v>846</v>
      </c>
      <c r="C227" t="s">
        <v>889</v>
      </c>
      <c r="D227" t="s">
        <v>928</v>
      </c>
      <c r="E227" s="398" t="s">
        <v>896</v>
      </c>
    </row>
    <row r="228" spans="1:5" x14ac:dyDescent="0.2">
      <c r="A228" t="str">
        <f>IF($G$1=1,B228,IF($G$1=2,D228,IF($G$1=3,E228,IF($G$1=4,C228,"zadat jazyk"))))</f>
        <v> Tlmič dorazu MINI do 25 kg (pár)</v>
      </c>
      <c r="B228" s="140" t="s">
        <v>919</v>
      </c>
      <c r="C228" t="s">
        <v>920</v>
      </c>
      <c r="D228" t="s">
        <v>921</v>
      </c>
      <c r="E228" s="398" t="s">
        <v>955</v>
      </c>
    </row>
    <row r="229" spans="1:5" x14ac:dyDescent="0.2">
      <c r="A229" t="str">
        <f t="shared" si="8"/>
        <v> Tlmič dorazu MINI do 40 kg (pár)</v>
      </c>
      <c r="B229" s="140" t="s">
        <v>847</v>
      </c>
      <c r="C229" t="s">
        <v>881</v>
      </c>
      <c r="D229" t="s">
        <v>929</v>
      </c>
      <c r="E229" s="398" t="s">
        <v>957</v>
      </c>
    </row>
    <row r="230" spans="1:5" x14ac:dyDescent="0.2">
      <c r="A230" t="str">
        <f>IF($G$1=1,B230,IF($G$1=2,D230,IF($G$1=3,E230,IF($G$1=4,C230,"zadat jazyk"))))</f>
        <v> Tlmič dorazu MINI do 60 kg (pár)</v>
      </c>
      <c r="B230" s="140" t="s">
        <v>952</v>
      </c>
      <c r="C230" t="s">
        <v>953</v>
      </c>
      <c r="D230" t="s">
        <v>954</v>
      </c>
      <c r="E230" s="398" t="s">
        <v>956</v>
      </c>
    </row>
    <row r="231" spans="1:5" x14ac:dyDescent="0.2">
      <c r="A231" t="str">
        <f>IF($G$1=1,B231,IF($G$1=2,D231,IF($G$1=3,E231,IF($G$1=4,C231,"zadat jazyk"))))</f>
        <v> Tlmič pre stredné krídlo do 25 kg</v>
      </c>
      <c r="B231" s="140" t="s">
        <v>958</v>
      </c>
      <c r="C231" t="s">
        <v>959</v>
      </c>
      <c r="D231" t="s">
        <v>960</v>
      </c>
      <c r="E231" s="398" t="s">
        <v>961</v>
      </c>
    </row>
    <row r="232" spans="1:5" x14ac:dyDescent="0.2">
      <c r="A232" t="str">
        <f t="shared" si="8"/>
        <v> Tlmič pre stredné krídlo do 40 kg</v>
      </c>
      <c r="B232" s="140" t="s">
        <v>848</v>
      </c>
      <c r="C232" t="s">
        <v>882</v>
      </c>
      <c r="D232" t="s">
        <v>930</v>
      </c>
      <c r="E232" s="398" t="s">
        <v>897</v>
      </c>
    </row>
    <row r="233" spans="1:5" x14ac:dyDescent="0.2">
      <c r="A233" t="str">
        <f t="shared" si="8"/>
        <v> Výstuha – profil 3m</v>
      </c>
      <c r="B233" s="140" t="s">
        <v>859</v>
      </c>
      <c r="C233" t="s">
        <v>883</v>
      </c>
      <c r="D233" t="s">
        <v>931</v>
      </c>
      <c r="E233" s="398" t="s">
        <v>898</v>
      </c>
    </row>
    <row r="234" spans="1:5" x14ac:dyDescent="0.2">
      <c r="A234" t="str">
        <f t="shared" si="8"/>
        <v> záslepka otvorov (4 ks)</v>
      </c>
      <c r="B234" s="140" t="s">
        <v>860</v>
      </c>
      <c r="C234" t="s">
        <v>884</v>
      </c>
      <c r="D234" t="s">
        <v>932</v>
      </c>
      <c r="E234" s="398" t="s">
        <v>899</v>
      </c>
    </row>
    <row r="235" spans="1:5" x14ac:dyDescent="0.2">
      <c r="A235" t="str">
        <f t="shared" si="8"/>
        <v> Maximálna šírka krídla môže byť 1 100 mm !!!</v>
      </c>
      <c r="B235" s="140" t="s">
        <v>861</v>
      </c>
      <c r="C235" t="s">
        <v>885</v>
      </c>
      <c r="D235" t="s">
        <v>933</v>
      </c>
      <c r="E235" s="398" t="s">
        <v>900</v>
      </c>
    </row>
    <row r="236" spans="1:5" x14ac:dyDescent="0.2">
      <c r="A236" t="str">
        <f t="shared" si="8"/>
        <v> nalepovacia úchytka, biela lesk</v>
      </c>
      <c r="B236" s="140" t="s">
        <v>977</v>
      </c>
      <c r="C236" t="s">
        <v>978</v>
      </c>
      <c r="D236" t="s">
        <v>979</v>
      </c>
      <c r="E236" s="398" t="s">
        <v>980</v>
      </c>
    </row>
    <row r="237" spans="1:5" x14ac:dyDescent="0.2">
      <c r="A237" t="str">
        <f t="shared" si="8"/>
        <v> nalepovacia úchytka, strieborná</v>
      </c>
      <c r="B237" s="140" t="s">
        <v>862</v>
      </c>
      <c r="C237" t="s">
        <v>886</v>
      </c>
      <c r="D237" t="s">
        <v>934</v>
      </c>
      <c r="E237" s="398" t="s">
        <v>901</v>
      </c>
    </row>
    <row r="238" spans="1:5" x14ac:dyDescent="0.2">
      <c r="A238" t="str">
        <f t="shared" si="8"/>
        <v> Ozdobné nalepovacie lišty</v>
      </c>
      <c r="B238" s="140" t="s">
        <v>864</v>
      </c>
      <c r="C238" t="s">
        <v>887</v>
      </c>
      <c r="D238" t="s">
        <v>935</v>
      </c>
      <c r="E238" s="398" t="s">
        <v>902</v>
      </c>
    </row>
    <row r="239" spans="1:5" x14ac:dyDescent="0.2">
      <c r="A239" t="str">
        <f t="shared" si="8"/>
        <v> v tejto farbe a dĺžke sa daný profil nevyrába</v>
      </c>
      <c r="B239" s="140" t="s">
        <v>865</v>
      </c>
      <c r="C239" t="s">
        <v>888</v>
      </c>
      <c r="D239" t="s">
        <v>936</v>
      </c>
      <c r="E239" s="398" t="s">
        <v>903</v>
      </c>
    </row>
    <row r="240" spans="1:5" x14ac:dyDescent="0.2">
      <c r="A240" t="str">
        <f t="shared" si="8"/>
        <v>zámok posuvných dverí</v>
      </c>
      <c r="B240" s="140" t="s">
        <v>995</v>
      </c>
      <c r="C240" t="s">
        <v>1053</v>
      </c>
      <c r="D240" t="s">
        <v>1057</v>
      </c>
      <c r="E240" t="s">
        <v>1058</v>
      </c>
    </row>
    <row r="241" spans="1:5" x14ac:dyDescent="0.2">
      <c r="A241" t="str">
        <f t="shared" si="8"/>
        <v>klínok pre dilatáciu výplne 16mm</v>
      </c>
      <c r="B241" s="140" t="s">
        <v>999</v>
      </c>
      <c r="C241" t="s">
        <v>1054</v>
      </c>
      <c r="D241" t="s">
        <v>1055</v>
      </c>
      <c r="E241" t="s">
        <v>1059</v>
      </c>
    </row>
    <row r="242" spans="1:5" x14ac:dyDescent="0.2">
      <c r="A242" t="str">
        <f t="shared" si="8"/>
        <v>dilatácia 4 mm</v>
      </c>
      <c r="B242" s="140" t="s">
        <v>1010</v>
      </c>
      <c r="C242" t="s">
        <v>1065</v>
      </c>
      <c r="D242" t="s">
        <v>1066</v>
      </c>
      <c r="E242" t="s">
        <v>1060</v>
      </c>
    </row>
    <row r="243" spans="1:5" x14ac:dyDescent="0.2">
      <c r="A243" t="str">
        <f t="shared" si="8"/>
        <v>katalóg kovania 2018 str.</v>
      </c>
      <c r="B243" s="140" t="s">
        <v>1027</v>
      </c>
      <c r="C243" t="s">
        <v>1043</v>
      </c>
      <c r="D243" t="s">
        <v>1056</v>
      </c>
      <c r="E243" t="s">
        <v>1061</v>
      </c>
    </row>
    <row r="244" spans="1:5" x14ac:dyDescent="0.2">
      <c r="A244" t="str">
        <f t="shared" si="8"/>
        <v>Technický nákres tohoto systému</v>
      </c>
      <c r="B244" s="140" t="s">
        <v>1028</v>
      </c>
      <c r="C244" t="s">
        <v>1044</v>
      </c>
      <c r="D244" t="s">
        <v>1028</v>
      </c>
      <c r="E244" t="s">
        <v>1062</v>
      </c>
    </row>
    <row r="245" spans="1:5" x14ac:dyDescent="0.2">
      <c r="A245" t="str">
        <f t="shared" si="8"/>
        <v>!!! V prípade použitia centrálneho tlmiča musíte znížiť výšku krídla (len toho, kde je centrálny tlmič umiestnený) o ďalšie 2 mm !!!</v>
      </c>
      <c r="B245" s="140" t="s">
        <v>1029</v>
      </c>
      <c r="C245" t="s">
        <v>1045</v>
      </c>
      <c r="D245" t="s">
        <v>1063</v>
      </c>
      <c r="E245" t="s">
        <v>1046</v>
      </c>
    </row>
    <row r="246" spans="1:5" x14ac:dyDescent="0.2">
      <c r="A246" t="str">
        <f t="shared" si="8"/>
        <v>!!! V prípade použitia centrálneho tlmiča musíte znížiť výšku krídla (len toho, kde je centrálny tlmič umiestnený) o ďalšie 4 mm !!!</v>
      </c>
      <c r="B246" s="140" t="s">
        <v>1030</v>
      </c>
      <c r="C246" t="s">
        <v>1047</v>
      </c>
      <c r="D246" t="s">
        <v>1067</v>
      </c>
      <c r="E246" t="s">
        <v>1048</v>
      </c>
    </row>
    <row r="247" spans="1:5" x14ac:dyDescent="0.2">
      <c r="A247" t="str">
        <f t="shared" ref="A247:A248" si="9">IF($G$1=1,B247,IF($G$1=2,D247,IF($G$1=3,E247,IF($G$1=4,C247,"zadat jazyk"))))</f>
        <v>!!! V prípade použitia tlmiča MINI SV musíte znížiť výšku krídla o ďalšie 4 mm !!!</v>
      </c>
      <c r="B247" s="140" t="s">
        <v>1031</v>
      </c>
      <c r="C247" t="s">
        <v>1049</v>
      </c>
      <c r="D247" t="s">
        <v>1064</v>
      </c>
      <c r="E247" t="s">
        <v>1050</v>
      </c>
    </row>
    <row r="248" spans="1:5" x14ac:dyDescent="0.2">
      <c r="A248" t="str">
        <f t="shared" si="9"/>
        <v>!!! V prípade použitia centrálneho tlmiča musíte znížiť výšku krídla (len toho, kde je centrálny tlmič umiestnený) o ďalších 9 mm !!!</v>
      </c>
      <c r="B248" s="140" t="s">
        <v>1032</v>
      </c>
      <c r="C248" t="s">
        <v>1051</v>
      </c>
      <c r="D248" t="s">
        <v>1068</v>
      </c>
      <c r="E248" t="s">
        <v>1052</v>
      </c>
    </row>
    <row r="249" spans="1:5" x14ac:dyDescent="0.2">
      <c r="A249" t="str">
        <f t="shared" ref="A249:A252" si="10">IF($G$1=1,B249,IF($G$1=2,D249,IF($G$1=3,E249,IF($G$1=4,C249,"zadat jazyk"))))</f>
        <v>!!! V prípade použitia centrálneho tlmiča musíte znížiť výšku krídla (len toho, kde je centrálny tlmič umiestnený) o ďalší 4 mm !!!</v>
      </c>
      <c r="B249" s="140" t="s">
        <v>1029</v>
      </c>
      <c r="C249" t="s">
        <v>1047</v>
      </c>
      <c r="D249" t="s">
        <v>1287</v>
      </c>
      <c r="E249" t="s">
        <v>1048</v>
      </c>
    </row>
    <row r="250" spans="1:5" x14ac:dyDescent="0.2">
      <c r="A250" t="str">
        <f t="shared" si="10"/>
        <v>Na objednávku</v>
      </c>
      <c r="B250" s="140" t="s">
        <v>2646</v>
      </c>
      <c r="C250" t="s">
        <v>2648</v>
      </c>
      <c r="D250" t="s">
        <v>2646</v>
      </c>
      <c r="E250" s="147" t="s">
        <v>2647</v>
      </c>
    </row>
    <row r="251" spans="1:5" x14ac:dyDescent="0.2">
      <c r="A251" t="str">
        <f t="shared" si="10"/>
        <v>spojovací profil H18-3metre</v>
      </c>
      <c r="B251" s="140" t="s">
        <v>240</v>
      </c>
      <c r="C251" t="s">
        <v>3572</v>
      </c>
      <c r="D251" t="s">
        <v>342</v>
      </c>
      <c r="E251" s="147" t="s">
        <v>457</v>
      </c>
    </row>
    <row r="252" spans="1:5" x14ac:dyDescent="0.2">
      <c r="A252" t="str">
        <f t="shared" si="10"/>
        <v>spojovací profil H25-3metre</v>
      </c>
      <c r="B252" s="140" t="s">
        <v>3573</v>
      </c>
      <c r="C252" t="s">
        <v>3574</v>
      </c>
      <c r="D252" t="s">
        <v>3575</v>
      </c>
      <c r="E252" s="147" t="s">
        <v>3576</v>
      </c>
    </row>
  </sheetData>
  <autoFilter ref="A1:L213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N3717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A3" sqref="A3"/>
    </sheetView>
  </sheetViews>
  <sheetFormatPr defaultColWidth="8.7109375" defaultRowHeight="12.75" x14ac:dyDescent="0.2"/>
  <cols>
    <col min="1" max="1" width="12.7109375" customWidth="1"/>
    <col min="2" max="2" width="51" customWidth="1"/>
    <col min="3" max="3" width="9.140625" style="90" bestFit="1" customWidth="1"/>
    <col min="4" max="4" width="42.140625" customWidth="1"/>
    <col min="5" max="5" width="15.5703125" customWidth="1"/>
    <col min="6" max="6" width="15.42578125" customWidth="1"/>
    <col min="7" max="7" width="20.28515625" customWidth="1"/>
    <col min="8" max="8" width="18.140625" style="202" customWidth="1"/>
    <col min="9" max="9" width="17.42578125" style="199" bestFit="1" customWidth="1"/>
    <col min="10" max="10" width="17.42578125" style="90" bestFit="1" customWidth="1"/>
    <col min="11" max="11" width="18.7109375" style="90" bestFit="1" customWidth="1"/>
    <col min="12" max="12" width="18.7109375" bestFit="1" customWidth="1"/>
    <col min="13" max="13" width="9.140625" customWidth="1"/>
    <col min="14" max="14" width="18.7109375" bestFit="1" customWidth="1"/>
    <col min="15" max="15" width="11.140625" bestFit="1" customWidth="1"/>
    <col min="16" max="16" width="10.7109375" customWidth="1"/>
    <col min="17" max="17" width="10.42578125" customWidth="1"/>
    <col min="18" max="18" width="13.28515625" customWidth="1"/>
    <col min="19" max="19" width="11" customWidth="1"/>
    <col min="20" max="20" width="18.7109375" bestFit="1" customWidth="1"/>
  </cols>
  <sheetData>
    <row r="1" spans="1:14" s="87" customFormat="1" ht="41.25" customHeight="1" x14ac:dyDescent="0.2">
      <c r="A1" s="87" t="s">
        <v>105</v>
      </c>
      <c r="B1" s="87" t="s">
        <v>15</v>
      </c>
      <c r="C1" s="89" t="s">
        <v>113</v>
      </c>
      <c r="D1" s="206" t="s">
        <v>115</v>
      </c>
      <c r="E1" s="193" t="s">
        <v>703</v>
      </c>
      <c r="F1" s="193" t="s">
        <v>704</v>
      </c>
      <c r="G1" s="193" t="s">
        <v>705</v>
      </c>
      <c r="H1" s="565" t="s">
        <v>46</v>
      </c>
      <c r="I1" s="194" t="s">
        <v>706</v>
      </c>
      <c r="J1" s="194" t="s">
        <v>707</v>
      </c>
      <c r="K1" s="194" t="s">
        <v>708</v>
      </c>
      <c r="L1" s="203" t="s">
        <v>709</v>
      </c>
      <c r="M1" s="203" t="s">
        <v>677</v>
      </c>
      <c r="N1" s="194" t="s">
        <v>1288</v>
      </c>
    </row>
    <row r="2" spans="1:14" x14ac:dyDescent="0.2">
      <c r="A2" s="195">
        <v>2</v>
      </c>
      <c r="B2" s="196" t="str">
        <f>IF(A2=1,"Kč",IF(A2=2,"EUR",IF(A2=3,"zł",IF(A2=4,"Ft","chyba"))))</f>
        <v>EUR</v>
      </c>
      <c r="D2" s="196"/>
      <c r="E2" s="197"/>
      <c r="F2" s="197"/>
      <c r="G2" s="197"/>
      <c r="H2" s="201"/>
      <c r="I2" s="198"/>
      <c r="J2" s="198"/>
      <c r="K2" s="198"/>
      <c r="L2" s="196"/>
      <c r="M2" s="196"/>
      <c r="N2" s="197"/>
    </row>
    <row r="3" spans="1:14" ht="15" x14ac:dyDescent="0.25">
      <c r="A3" s="410">
        <v>98019</v>
      </c>
      <c r="B3" t="str">
        <f t="shared" ref="B3:B34" si="0">IF($A$2=1,D3,IF($A$2=2,F3,IF($A$2=3,G3,IF($A$2=4,E3,"zadat jazyk"))))</f>
        <v>SEVROLL 20041 skrutka 2,5x18mm polguľatá hlava zinok biely</v>
      </c>
      <c r="C3" s="198">
        <f t="shared" ref="C3:C66" si="1">IF($A$2=1,H3,IF($A$2=2,I3,IF($A$2=3,J3,IF($A$2=4,K3,"zadat jazyk"))))</f>
        <v>2.9159999999999998E-2</v>
      </c>
      <c r="D3" s="526" t="s">
        <v>2745</v>
      </c>
      <c r="E3" s="526" t="s">
        <v>6177</v>
      </c>
      <c r="F3" s="526" t="s">
        <v>6178</v>
      </c>
      <c r="G3" s="526" t="s">
        <v>6179</v>
      </c>
      <c r="H3" s="412">
        <v>0.85399000000000003</v>
      </c>
      <c r="I3" s="411">
        <v>2.9159999999999998E-2</v>
      </c>
      <c r="J3" s="411">
        <v>0.10996</v>
      </c>
      <c r="K3" s="411">
        <v>11.32615</v>
      </c>
      <c r="L3" s="526" t="s">
        <v>553</v>
      </c>
      <c r="M3" s="409" t="s">
        <v>586</v>
      </c>
      <c r="N3" s="195">
        <v>0.60757000000000005</v>
      </c>
    </row>
    <row r="4" spans="1:14" ht="15" x14ac:dyDescent="0.25">
      <c r="A4" s="410">
        <v>223569</v>
      </c>
      <c r="B4" t="str">
        <f t="shared" si="0"/>
        <v>SEVROLL 20223 spona dorazovej kefky</v>
      </c>
      <c r="C4" s="198">
        <f t="shared" si="1"/>
        <v>7.1209999999999996E-2</v>
      </c>
      <c r="D4" s="526" t="s">
        <v>3104</v>
      </c>
      <c r="E4" s="526" t="s">
        <v>6218</v>
      </c>
      <c r="F4" s="526" t="s">
        <v>6219</v>
      </c>
      <c r="G4" s="526" t="s">
        <v>6220</v>
      </c>
      <c r="H4" s="412">
        <v>2.2744499999999999</v>
      </c>
      <c r="I4" s="411">
        <v>7.1209999999999996E-2</v>
      </c>
      <c r="J4" s="411">
        <v>0.23857999999999999</v>
      </c>
      <c r="K4" s="411">
        <v>27.66348</v>
      </c>
      <c r="L4" s="526" t="s">
        <v>710</v>
      </c>
      <c r="M4" s="409" t="s">
        <v>586</v>
      </c>
      <c r="N4" s="195">
        <v>1.6920500000000001</v>
      </c>
    </row>
    <row r="5" spans="1:14" ht="15" x14ac:dyDescent="0.25">
      <c r="A5" s="410">
        <v>346726</v>
      </c>
      <c r="B5" t="str">
        <f t="shared" si="0"/>
        <v>SEVROLL 20371 skrutkovrut Blue 6,3x45</v>
      </c>
      <c r="C5" s="198">
        <f t="shared" si="1"/>
        <v>0.15482000000000001</v>
      </c>
      <c r="D5" s="526" t="s">
        <v>3404</v>
      </c>
      <c r="E5" s="526" t="s">
        <v>6236</v>
      </c>
      <c r="F5" s="526" t="s">
        <v>6237</v>
      </c>
      <c r="G5" s="526" t="s">
        <v>6238</v>
      </c>
      <c r="H5" s="412">
        <v>4.5488999999999997</v>
      </c>
      <c r="I5" s="411">
        <v>0.15482000000000001</v>
      </c>
      <c r="J5" s="411">
        <v>0.52376999999999996</v>
      </c>
      <c r="K5" s="411">
        <v>60.138080000000002</v>
      </c>
      <c r="L5" s="526" t="s">
        <v>710</v>
      </c>
      <c r="M5" s="409" t="s">
        <v>586</v>
      </c>
      <c r="N5" s="195">
        <v>3.0024000000000002</v>
      </c>
    </row>
    <row r="6" spans="1:14" ht="15" x14ac:dyDescent="0.25">
      <c r="A6" s="410">
        <v>89244</v>
      </c>
      <c r="B6" t="str">
        <f t="shared" si="0"/>
        <v>SEVROLL 20001 skrutkovrut 6,3x32 SEVROLL a Simple</v>
      </c>
      <c r="C6" s="198">
        <f t="shared" si="1"/>
        <v>0.15482000000000001</v>
      </c>
      <c r="D6" s="526" t="s">
        <v>2698</v>
      </c>
      <c r="E6" s="526" t="s">
        <v>6174</v>
      </c>
      <c r="F6" s="526" t="s">
        <v>6175</v>
      </c>
      <c r="G6" s="526" t="s">
        <v>6176</v>
      </c>
      <c r="H6" s="412">
        <v>4.5488999999999997</v>
      </c>
      <c r="I6" s="411">
        <v>0.15482000000000001</v>
      </c>
      <c r="J6" s="411">
        <v>0.52500000000000002</v>
      </c>
      <c r="K6" s="411">
        <v>60.138080000000002</v>
      </c>
      <c r="L6" s="526" t="s">
        <v>553</v>
      </c>
      <c r="M6" s="409" t="s">
        <v>586</v>
      </c>
      <c r="N6" s="195">
        <v>3.2665000000000002</v>
      </c>
    </row>
    <row r="7" spans="1:14" ht="15" x14ac:dyDescent="0.25">
      <c r="A7" s="410">
        <v>89063</v>
      </c>
      <c r="B7" t="str">
        <f t="shared" si="0"/>
        <v>SEVROLL 20080 pozicionér spodného vozíka HI-TEC</v>
      </c>
      <c r="C7" s="198">
        <f t="shared" si="1"/>
        <v>0.30964000000000003</v>
      </c>
      <c r="D7" s="526" t="s">
        <v>2775</v>
      </c>
      <c r="E7" s="526" t="s">
        <v>6180</v>
      </c>
      <c r="F7" s="526" t="s">
        <v>6181</v>
      </c>
      <c r="G7" s="526" t="s">
        <v>6182</v>
      </c>
      <c r="H7" s="412">
        <v>9.0977999999999994</v>
      </c>
      <c r="I7" s="411">
        <v>0.30964000000000003</v>
      </c>
      <c r="J7" s="411">
        <v>1.071</v>
      </c>
      <c r="K7" s="411">
        <v>120.27615</v>
      </c>
      <c r="L7" s="526" t="s">
        <v>710</v>
      </c>
      <c r="M7" s="409" t="s">
        <v>586</v>
      </c>
      <c r="N7" s="195">
        <v>6.5330000000000004</v>
      </c>
    </row>
    <row r="8" spans="1:14" ht="15" x14ac:dyDescent="0.25">
      <c r="A8" s="410">
        <v>252641</v>
      </c>
      <c r="B8" t="str">
        <f t="shared" si="0"/>
        <v>SEVROLL unášač k tlmiču 11027</v>
      </c>
      <c r="C8" s="198">
        <f t="shared" si="1"/>
        <v>0.25484000000000001</v>
      </c>
      <c r="D8" s="526" t="s">
        <v>1094</v>
      </c>
      <c r="E8" s="526" t="s">
        <v>6227</v>
      </c>
      <c r="F8" s="526" t="s">
        <v>1095</v>
      </c>
      <c r="G8" s="526" t="s">
        <v>6228</v>
      </c>
      <c r="H8" s="412" t="e">
        <v>#N/A</v>
      </c>
      <c r="I8" s="411">
        <v>0.25484000000000001</v>
      </c>
      <c r="J8" s="411">
        <v>0.99158000000000002</v>
      </c>
      <c r="K8" s="411">
        <v>99.791560000000004</v>
      </c>
      <c r="L8" s="526" t="e">
        <v>#N/A</v>
      </c>
      <c r="M8" s="409" t="s">
        <v>586</v>
      </c>
      <c r="N8" s="195">
        <v>6.5330000000000004</v>
      </c>
    </row>
    <row r="9" spans="1:14" ht="15" x14ac:dyDescent="0.25">
      <c r="A9" s="410">
        <v>213767</v>
      </c>
      <c r="B9" t="str">
        <f t="shared" si="0"/>
        <v>SEVROLL dorazový kartáč samolepiaci 6,7x4mm šedý</v>
      </c>
      <c r="C9" s="198">
        <f t="shared" si="1"/>
        <v>0.26705000000000001</v>
      </c>
      <c r="D9" s="526" t="s">
        <v>3027</v>
      </c>
      <c r="E9" s="526" t="s">
        <v>5148</v>
      </c>
      <c r="F9" s="526" t="s">
        <v>6211</v>
      </c>
      <c r="G9" s="526" t="s">
        <v>6212</v>
      </c>
      <c r="H9" s="412">
        <v>7.8468499999999999</v>
      </c>
      <c r="I9" s="411">
        <v>0.26705000000000001</v>
      </c>
      <c r="J9" s="411">
        <v>1.1577</v>
      </c>
      <c r="K9" s="411">
        <v>103.73808</v>
      </c>
      <c r="L9" s="526" t="s">
        <v>554</v>
      </c>
      <c r="M9" s="409" t="s">
        <v>585</v>
      </c>
      <c r="N9" s="195">
        <v>7.5456200000000004</v>
      </c>
    </row>
    <row r="10" spans="1:14" ht="15" x14ac:dyDescent="0.25">
      <c r="A10" s="410">
        <v>229681</v>
      </c>
      <c r="B10" t="str">
        <f t="shared" si="0"/>
        <v>SEVROLL 10163 Simple/Blue pozicionér pre spodný vozík</v>
      </c>
      <c r="C10" s="198">
        <f t="shared" si="1"/>
        <v>0.36124000000000001</v>
      </c>
      <c r="D10" s="526" t="s">
        <v>3186</v>
      </c>
      <c r="E10" s="526" t="s">
        <v>6224</v>
      </c>
      <c r="F10" s="526" t="s">
        <v>6225</v>
      </c>
      <c r="G10" s="526" t="s">
        <v>6226</v>
      </c>
      <c r="H10" s="412">
        <v>10.614100000000001</v>
      </c>
      <c r="I10" s="411">
        <v>0.36124000000000001</v>
      </c>
      <c r="J10" s="411">
        <v>1.2257</v>
      </c>
      <c r="K10" s="411">
        <v>140.32193000000001</v>
      </c>
      <c r="L10" s="526" t="s">
        <v>553</v>
      </c>
      <c r="M10" s="409" t="s">
        <v>586</v>
      </c>
      <c r="N10" s="195">
        <v>8.2566000000000006</v>
      </c>
    </row>
    <row r="11" spans="1:14" ht="15" x14ac:dyDescent="0.25">
      <c r="A11" s="410">
        <v>224214</v>
      </c>
      <c r="B11" t="str">
        <f t="shared" si="0"/>
        <v>SEVROLL 20240 Simple/Blue pozícionér pre horný vozík</v>
      </c>
      <c r="C11" s="198">
        <f t="shared" si="1"/>
        <v>0.46961999999999998</v>
      </c>
      <c r="D11" s="526" t="s">
        <v>3151</v>
      </c>
      <c r="E11" s="526" t="s">
        <v>6221</v>
      </c>
      <c r="F11" s="526" t="s">
        <v>6222</v>
      </c>
      <c r="G11" s="526" t="s">
        <v>6223</v>
      </c>
      <c r="H11" s="412">
        <v>13.79833</v>
      </c>
      <c r="I11" s="411">
        <v>0.46961999999999998</v>
      </c>
      <c r="J11" s="411">
        <v>1.5743100000000001</v>
      </c>
      <c r="K11" s="411">
        <v>182.41847999999999</v>
      </c>
      <c r="L11" s="526" t="s">
        <v>554</v>
      </c>
      <c r="M11" s="409" t="s">
        <v>586</v>
      </c>
      <c r="N11" s="195">
        <v>10.71857</v>
      </c>
    </row>
    <row r="12" spans="1:14" ht="15" x14ac:dyDescent="0.25">
      <c r="A12" s="410">
        <v>341987</v>
      </c>
      <c r="B12" t="str">
        <f t="shared" si="0"/>
        <v>SEVROLL 10231 Micra brzda (2ks v balení)</v>
      </c>
      <c r="C12" s="198">
        <f t="shared" si="1"/>
        <v>0.59347000000000005</v>
      </c>
      <c r="D12" s="526" t="s">
        <v>3372</v>
      </c>
      <c r="E12" s="526" t="s">
        <v>6234</v>
      </c>
      <c r="F12" s="526" t="s">
        <v>3372</v>
      </c>
      <c r="G12" s="526" t="s">
        <v>6235</v>
      </c>
      <c r="H12" s="412">
        <v>16.432580000000002</v>
      </c>
      <c r="I12" s="411">
        <v>0.59347000000000005</v>
      </c>
      <c r="J12" s="411">
        <v>2.1215999999999999</v>
      </c>
      <c r="K12" s="411">
        <v>225.91827000000001</v>
      </c>
      <c r="L12" s="526" t="s">
        <v>553</v>
      </c>
      <c r="M12" s="409" t="s">
        <v>587</v>
      </c>
      <c r="N12" s="195">
        <v>12.412699999999999</v>
      </c>
    </row>
    <row r="13" spans="1:14" ht="15" x14ac:dyDescent="0.25">
      <c r="A13" s="410">
        <v>204142</v>
      </c>
      <c r="B13" t="e">
        <f t="shared" si="0"/>
        <v>#N/A</v>
      </c>
      <c r="C13" s="198" t="e">
        <f t="shared" si="1"/>
        <v>#N/A</v>
      </c>
      <c r="D13" s="526" t="e">
        <v>#N/A</v>
      </c>
      <c r="E13" s="526" t="e">
        <v>#N/A</v>
      </c>
      <c r="F13" s="526" t="e">
        <v>#N/A</v>
      </c>
      <c r="G13" s="526" t="e">
        <v>#N/A</v>
      </c>
      <c r="H13" s="412" t="e">
        <v>#N/A</v>
      </c>
      <c r="I13" s="411" t="e">
        <v>#N/A</v>
      </c>
      <c r="J13" s="411" t="e">
        <v>#N/A</v>
      </c>
      <c r="K13" s="411" t="e">
        <v>#N/A</v>
      </c>
      <c r="L13" s="526" t="e">
        <v>#N/A</v>
      </c>
      <c r="M13" s="409" t="s">
        <v>585</v>
      </c>
      <c r="N13" s="195">
        <v>14.382</v>
      </c>
    </row>
    <row r="14" spans="1:14" ht="15" x14ac:dyDescent="0.25">
      <c r="A14" s="410">
        <v>212616</v>
      </c>
      <c r="B14" t="str">
        <f t="shared" si="0"/>
        <v>SEVROLL 20208 brzda k lište Hide N a M</v>
      </c>
      <c r="C14" s="198">
        <f t="shared" si="1"/>
        <v>2.6835100000000001</v>
      </c>
      <c r="D14" s="526" t="s">
        <v>3015</v>
      </c>
      <c r="E14" s="526" t="s">
        <v>6208</v>
      </c>
      <c r="F14" s="526" t="s">
        <v>6209</v>
      </c>
      <c r="G14" s="526" t="s">
        <v>6210</v>
      </c>
      <c r="H14" s="412">
        <v>74.303839999999994</v>
      </c>
      <c r="I14" s="411">
        <v>2.6835100000000001</v>
      </c>
      <c r="J14" s="411">
        <v>12.1584</v>
      </c>
      <c r="K14" s="411">
        <v>1021.54409</v>
      </c>
      <c r="L14" s="526" t="s">
        <v>553</v>
      </c>
      <c r="M14" s="409" t="s">
        <v>589</v>
      </c>
      <c r="N14" s="195">
        <v>15.0259</v>
      </c>
    </row>
    <row r="15" spans="1:14" ht="15" x14ac:dyDescent="0.25">
      <c r="A15" s="415">
        <v>221063</v>
      </c>
      <c r="B15" t="str">
        <f t="shared" si="0"/>
        <v>SEVROLL vodiaci tŕň</v>
      </c>
      <c r="C15" s="198">
        <f t="shared" si="1"/>
        <v>0.74829000000000001</v>
      </c>
      <c r="D15" s="526" t="s">
        <v>3052</v>
      </c>
      <c r="E15" s="526" t="s">
        <v>6216</v>
      </c>
      <c r="F15" s="526" t="s">
        <v>1102</v>
      </c>
      <c r="G15" s="526" t="s">
        <v>6217</v>
      </c>
      <c r="H15" s="412">
        <v>19.750450000000001</v>
      </c>
      <c r="I15" s="411">
        <v>0.74829000000000001</v>
      </c>
      <c r="J15" s="411">
        <v>2.5746799999999999</v>
      </c>
      <c r="K15" s="411">
        <v>275.55577</v>
      </c>
      <c r="L15" s="526" t="s">
        <v>554</v>
      </c>
      <c r="M15" s="416" t="s">
        <v>586</v>
      </c>
      <c r="N15" s="195">
        <v>15.7765</v>
      </c>
    </row>
    <row r="16" spans="1:14" ht="15" x14ac:dyDescent="0.25">
      <c r="A16" s="410">
        <v>276941</v>
      </c>
      <c r="B16" t="e">
        <f t="shared" si="0"/>
        <v>#N/A</v>
      </c>
      <c r="C16" s="198" t="e">
        <f t="shared" si="1"/>
        <v>#N/A</v>
      </c>
      <c r="D16" s="526" t="e">
        <v>#N/A</v>
      </c>
      <c r="E16" s="526" t="e">
        <v>#N/A</v>
      </c>
      <c r="F16" s="526" t="e">
        <v>#N/A</v>
      </c>
      <c r="G16" s="526" t="e">
        <v>#N/A</v>
      </c>
      <c r="H16" s="412" t="e">
        <v>#N/A</v>
      </c>
      <c r="I16" s="411" t="e">
        <v>#N/A</v>
      </c>
      <c r="J16" s="411" t="e">
        <v>#N/A</v>
      </c>
      <c r="K16" s="411" t="e">
        <v>#N/A</v>
      </c>
      <c r="L16" s="526" t="e">
        <v>#N/A</v>
      </c>
      <c r="M16" s="409" t="s">
        <v>585</v>
      </c>
      <c r="N16" s="195">
        <v>16.708500000000001</v>
      </c>
    </row>
    <row r="17" spans="1:14" ht="15" x14ac:dyDescent="0.25">
      <c r="A17" s="410">
        <v>212607</v>
      </c>
      <c r="B17" t="str">
        <f t="shared" si="0"/>
        <v>SEVROLL tesnenie na sklo 10/6,4mm</v>
      </c>
      <c r="C17" s="198">
        <f t="shared" si="1"/>
        <v>0.79988999999999999</v>
      </c>
      <c r="D17" s="526" t="s">
        <v>3013</v>
      </c>
      <c r="E17" s="526" t="s">
        <v>6206</v>
      </c>
      <c r="F17" s="526" t="s">
        <v>1120</v>
      </c>
      <c r="G17" s="526" t="s">
        <v>6207</v>
      </c>
      <c r="H17" s="412">
        <v>23.502649999999999</v>
      </c>
      <c r="I17" s="411">
        <v>0.79988999999999999</v>
      </c>
      <c r="J17" s="411">
        <v>2.7501000000000002</v>
      </c>
      <c r="K17" s="411">
        <v>310.71307999999999</v>
      </c>
      <c r="L17" s="526" t="s">
        <v>553</v>
      </c>
      <c r="M17" s="409" t="s">
        <v>585</v>
      </c>
      <c r="N17" s="195">
        <v>17.639099999999999</v>
      </c>
    </row>
    <row r="18" spans="1:14" ht="15" x14ac:dyDescent="0.25">
      <c r="A18" s="410">
        <v>132953</v>
      </c>
      <c r="B18" t="str">
        <f t="shared" si="0"/>
        <v>SEVROLL 20171 tesnenie na sklo 10,1/8mm</v>
      </c>
      <c r="C18" s="198">
        <f t="shared" si="1"/>
        <v>0.79988999999999999</v>
      </c>
      <c r="D18" s="526" t="s">
        <v>2862</v>
      </c>
      <c r="E18" s="526" t="s">
        <v>6197</v>
      </c>
      <c r="F18" s="526" t="s">
        <v>6198</v>
      </c>
      <c r="G18" s="526" t="s">
        <v>6199</v>
      </c>
      <c r="H18" s="412">
        <v>23.502649999999999</v>
      </c>
      <c r="I18" s="411">
        <v>0.79988999999999999</v>
      </c>
      <c r="J18" s="411">
        <v>2.7501000000000002</v>
      </c>
      <c r="K18" s="411">
        <v>310.71307999999999</v>
      </c>
      <c r="L18" s="526" t="s">
        <v>553</v>
      </c>
      <c r="M18" s="409" t="s">
        <v>585</v>
      </c>
      <c r="N18" s="195">
        <v>18.292400000000001</v>
      </c>
    </row>
    <row r="19" spans="1:14" ht="15" x14ac:dyDescent="0.25">
      <c r="A19" s="415">
        <v>98036</v>
      </c>
      <c r="B19" t="str">
        <f t="shared" si="0"/>
        <v>SEVROLL 20019 Exclusive brzda guľatá spodná</v>
      </c>
      <c r="C19" s="198">
        <f t="shared" si="1"/>
        <v>1.1611400000000001</v>
      </c>
      <c r="D19" s="526" t="s">
        <v>2785</v>
      </c>
      <c r="E19" s="526" t="s">
        <v>6189</v>
      </c>
      <c r="F19" s="526" t="s">
        <v>6190</v>
      </c>
      <c r="G19" s="526" t="s">
        <v>6191</v>
      </c>
      <c r="H19" s="412">
        <v>30.64725</v>
      </c>
      <c r="I19" s="411">
        <v>1.1611400000000001</v>
      </c>
      <c r="J19" s="411">
        <v>3.99519</v>
      </c>
      <c r="K19" s="411">
        <v>427.58654000000001</v>
      </c>
      <c r="L19" s="526" t="s">
        <v>554</v>
      </c>
      <c r="M19" s="416" t="s">
        <v>586</v>
      </c>
      <c r="N19" s="195">
        <v>18.300740000000001</v>
      </c>
    </row>
    <row r="20" spans="1:14" ht="15" x14ac:dyDescent="0.25">
      <c r="A20" s="410">
        <v>216362</v>
      </c>
      <c r="B20" t="str">
        <f t="shared" si="0"/>
        <v>SEVROLL 20233 záslepka spodného vedenia Simple/Blue priesvitná, guma</v>
      </c>
      <c r="C20" s="198">
        <f t="shared" si="1"/>
        <v>1.0063200000000001</v>
      </c>
      <c r="D20" s="526" t="s">
        <v>3042</v>
      </c>
      <c r="E20" s="526" t="s">
        <v>6213</v>
      </c>
      <c r="F20" s="526" t="s">
        <v>6214</v>
      </c>
      <c r="G20" s="526" t="s">
        <v>6215</v>
      </c>
      <c r="H20" s="412">
        <v>29.56785</v>
      </c>
      <c r="I20" s="411">
        <v>1.0063200000000001</v>
      </c>
      <c r="J20" s="411">
        <v>3.4045299999999998</v>
      </c>
      <c r="K20" s="411">
        <v>390.89693</v>
      </c>
      <c r="L20" s="526" t="s">
        <v>710</v>
      </c>
      <c r="M20" s="409" t="s">
        <v>680</v>
      </c>
      <c r="N20" s="195">
        <v>24.7698</v>
      </c>
    </row>
    <row r="21" spans="1:14" ht="15" x14ac:dyDescent="0.25">
      <c r="A21" s="410">
        <v>298035</v>
      </c>
      <c r="B21" t="str">
        <f t="shared" si="0"/>
        <v>SEVROLL 20326 Fix pozicionér pre horný vozík transparentný</v>
      </c>
      <c r="C21" s="198">
        <f t="shared" si="1"/>
        <v>1.0837300000000001</v>
      </c>
      <c r="D21" s="526" t="s">
        <v>3304</v>
      </c>
      <c r="E21" s="526" t="s">
        <v>6231</v>
      </c>
      <c r="F21" s="526" t="s">
        <v>6232</v>
      </c>
      <c r="G21" s="526" t="s">
        <v>6233</v>
      </c>
      <c r="H21" s="412">
        <v>31.842300000000002</v>
      </c>
      <c r="I21" s="411">
        <v>1.0837300000000001</v>
      </c>
      <c r="J21" s="411">
        <v>3.6623999999999999</v>
      </c>
      <c r="K21" s="411">
        <v>420.96615000000003</v>
      </c>
      <c r="L21" s="526" t="s">
        <v>710</v>
      </c>
      <c r="M21" s="409" t="s">
        <v>586</v>
      </c>
      <c r="N21" s="195">
        <v>24.825399999999998</v>
      </c>
    </row>
    <row r="22" spans="1:14" ht="15" x14ac:dyDescent="0.25">
      <c r="A22" s="410">
        <v>213808</v>
      </c>
      <c r="B22" t="e">
        <f t="shared" si="0"/>
        <v>#N/A</v>
      </c>
      <c r="C22" s="198" t="e">
        <f t="shared" si="1"/>
        <v>#N/A</v>
      </c>
      <c r="D22" s="526" t="e">
        <v>#N/A</v>
      </c>
      <c r="E22" s="526" t="e">
        <v>#N/A</v>
      </c>
      <c r="F22" s="526" t="e">
        <v>#N/A</v>
      </c>
      <c r="G22" s="526" t="e">
        <v>#N/A</v>
      </c>
      <c r="H22" s="412" t="e">
        <v>#N/A</v>
      </c>
      <c r="I22" s="411" t="e">
        <v>#N/A</v>
      </c>
      <c r="J22" s="411" t="e">
        <v>#N/A</v>
      </c>
      <c r="K22" s="411" t="e">
        <v>#N/A</v>
      </c>
      <c r="L22" s="526" t="e">
        <v>#N/A</v>
      </c>
      <c r="M22" s="409" t="s">
        <v>586</v>
      </c>
      <c r="N22" s="195">
        <v>42.464500000000001</v>
      </c>
    </row>
    <row r="23" spans="1:14" ht="15" x14ac:dyDescent="0.25">
      <c r="A23" s="413">
        <v>98022</v>
      </c>
      <c r="B23" t="str">
        <f t="shared" si="0"/>
        <v>Sevroll Smart horný vozík</v>
      </c>
      <c r="C23" s="198">
        <f t="shared" si="1"/>
        <v>1.5739799999999999</v>
      </c>
      <c r="D23" s="526" t="s">
        <v>2776</v>
      </c>
      <c r="E23" s="526" t="s">
        <v>6183</v>
      </c>
      <c r="F23" s="526" t="s">
        <v>6184</v>
      </c>
      <c r="G23" s="526" t="s">
        <v>6185</v>
      </c>
      <c r="H23" s="412">
        <v>46.247149999999998</v>
      </c>
      <c r="I23" s="411">
        <v>1.5739799999999999</v>
      </c>
      <c r="J23" s="411">
        <v>6.7144500000000003</v>
      </c>
      <c r="K23" s="411">
        <v>611.40308000000005</v>
      </c>
      <c r="L23" s="526" t="s">
        <v>678</v>
      </c>
      <c r="M23" s="414" t="s">
        <v>586</v>
      </c>
      <c r="N23" s="195">
        <v>43.479199999999999</v>
      </c>
    </row>
    <row r="24" spans="1:14" ht="15" x14ac:dyDescent="0.25">
      <c r="A24" s="413">
        <v>98023</v>
      </c>
      <c r="B24" t="str">
        <f t="shared" si="0"/>
        <v>Sevroll Smart spodný vozík</v>
      </c>
      <c r="C24" s="198">
        <f t="shared" si="1"/>
        <v>1.5739799999999999</v>
      </c>
      <c r="D24" s="526" t="s">
        <v>2777</v>
      </c>
      <c r="E24" s="526" t="s">
        <v>6186</v>
      </c>
      <c r="F24" s="526" t="s">
        <v>6187</v>
      </c>
      <c r="G24" s="526" t="s">
        <v>6188</v>
      </c>
      <c r="H24" s="412">
        <v>46.247149999999998</v>
      </c>
      <c r="I24" s="411">
        <v>1.5739799999999999</v>
      </c>
      <c r="J24" s="411">
        <v>6.7144500000000003</v>
      </c>
      <c r="K24" s="411">
        <v>611.40308000000005</v>
      </c>
      <c r="L24" s="526" t="s">
        <v>554</v>
      </c>
      <c r="M24" s="414" t="s">
        <v>586</v>
      </c>
      <c r="N24" s="195">
        <v>43.479199999999999</v>
      </c>
    </row>
    <row r="25" spans="1:14" ht="15" x14ac:dyDescent="0.25">
      <c r="A25" s="410">
        <v>284601</v>
      </c>
      <c r="B25" t="str">
        <f t="shared" si="0"/>
        <v>SEVROLL horný vozík Simple(18mm)symetr.(L+P)</v>
      </c>
      <c r="C25" s="198">
        <f t="shared" si="1"/>
        <v>2.16614</v>
      </c>
      <c r="D25" s="526" t="s">
        <v>3286</v>
      </c>
      <c r="E25" s="526" t="s">
        <v>6229</v>
      </c>
      <c r="F25" s="526" t="s">
        <v>1262</v>
      </c>
      <c r="G25" s="526" t="s">
        <v>6230</v>
      </c>
      <c r="H25" s="412">
        <v>60.943179999999998</v>
      </c>
      <c r="I25" s="411">
        <v>2.16614</v>
      </c>
      <c r="J25" s="411">
        <v>7.5828699999999998</v>
      </c>
      <c r="K25" s="411">
        <v>626.67796999999996</v>
      </c>
      <c r="L25" s="526" t="s">
        <v>555</v>
      </c>
      <c r="M25" s="409" t="s">
        <v>589</v>
      </c>
      <c r="N25" s="195">
        <v>44.285400000000003</v>
      </c>
    </row>
    <row r="26" spans="1:14" ht="15" x14ac:dyDescent="0.25">
      <c r="A26" s="410">
        <v>89156</v>
      </c>
      <c r="B26" t="str">
        <f t="shared" si="0"/>
        <v>SEVROLL 50233 Micra horné/spodné vedenie 1,7m surová</v>
      </c>
      <c r="C26" s="198">
        <f t="shared" si="1"/>
        <v>2.5802999999999998</v>
      </c>
      <c r="D26" s="526" t="s">
        <v>2677</v>
      </c>
      <c r="E26" s="526" t="s">
        <v>6171</v>
      </c>
      <c r="F26" s="526" t="s">
        <v>6172</v>
      </c>
      <c r="G26" s="526" t="s">
        <v>6173</v>
      </c>
      <c r="H26" s="412">
        <v>71.445999999999998</v>
      </c>
      <c r="I26" s="411">
        <v>2.5802999999999998</v>
      </c>
      <c r="J26" s="411">
        <v>8.7555999999999994</v>
      </c>
      <c r="K26" s="411">
        <v>982.25400000000002</v>
      </c>
      <c r="L26" s="526" t="s">
        <v>553</v>
      </c>
      <c r="M26" s="409" t="s">
        <v>586</v>
      </c>
      <c r="N26" s="195">
        <v>47.037599999999998</v>
      </c>
    </row>
    <row r="27" spans="1:14" ht="15" x14ac:dyDescent="0.25">
      <c r="A27" s="410">
        <v>89134</v>
      </c>
      <c r="B27" t="str">
        <f t="shared" si="0"/>
        <v>SEVROLL 00102 úhelník Mini 17x11mm 1,7m strieborný</v>
      </c>
      <c r="C27" s="198">
        <f t="shared" si="1"/>
        <v>2.42659</v>
      </c>
      <c r="D27" s="526" t="s">
        <v>6168</v>
      </c>
      <c r="E27" s="526" t="s">
        <v>6169</v>
      </c>
      <c r="F27" s="526" t="s">
        <v>6170</v>
      </c>
      <c r="G27" s="526" t="s">
        <v>2672</v>
      </c>
      <c r="H27" s="412">
        <v>67.159239999999997</v>
      </c>
      <c r="I27" s="411">
        <v>2.42659</v>
      </c>
      <c r="J27" s="411">
        <v>8.7942400000000003</v>
      </c>
      <c r="K27" s="411">
        <v>923.74121000000002</v>
      </c>
      <c r="L27" s="526" t="s">
        <v>553</v>
      </c>
      <c r="M27" s="409" t="s">
        <v>586</v>
      </c>
      <c r="N27" s="195">
        <v>48.344200000000001</v>
      </c>
    </row>
    <row r="28" spans="1:14" ht="15" x14ac:dyDescent="0.25">
      <c r="A28" s="410">
        <v>190764</v>
      </c>
      <c r="B28" t="str">
        <f t="shared" si="0"/>
        <v>SEVROLL 20102 tesnenie na sklo 18/4mm symetrické</v>
      </c>
      <c r="C28" s="198">
        <f t="shared" si="1"/>
        <v>2.2861500000000001</v>
      </c>
      <c r="D28" s="526" t="s">
        <v>2953</v>
      </c>
      <c r="E28" s="526" t="s">
        <v>6200</v>
      </c>
      <c r="F28" s="526" t="s">
        <v>6201</v>
      </c>
      <c r="G28" s="526" t="s">
        <v>6202</v>
      </c>
      <c r="H28" s="412">
        <v>67.475350000000006</v>
      </c>
      <c r="I28" s="411">
        <v>2.2861500000000001</v>
      </c>
      <c r="J28" s="411">
        <v>7.6425999999999998</v>
      </c>
      <c r="K28" s="411">
        <v>888.03769999999997</v>
      </c>
      <c r="L28" s="526" t="s">
        <v>554</v>
      </c>
      <c r="M28" s="409" t="s">
        <v>585</v>
      </c>
      <c r="N28" s="195">
        <v>51.689100000000003</v>
      </c>
    </row>
    <row r="29" spans="1:14" ht="15" x14ac:dyDescent="0.25">
      <c r="A29" s="410">
        <v>190765</v>
      </c>
      <c r="B29" t="str">
        <f t="shared" si="0"/>
        <v>SEVROLL 20145 tesnenie na sklo 18/8mm symetrické</v>
      </c>
      <c r="C29" s="198">
        <f t="shared" si="1"/>
        <v>2.2861500000000001</v>
      </c>
      <c r="D29" s="526" t="s">
        <v>2954</v>
      </c>
      <c r="E29" s="526" t="s">
        <v>6203</v>
      </c>
      <c r="F29" s="526" t="s">
        <v>6204</v>
      </c>
      <c r="G29" s="526" t="s">
        <v>6205</v>
      </c>
      <c r="H29" s="412">
        <v>67.475350000000006</v>
      </c>
      <c r="I29" s="411">
        <v>2.2861500000000001</v>
      </c>
      <c r="J29" s="411">
        <v>7.6425999999999998</v>
      </c>
      <c r="K29" s="411">
        <v>888.03769999999997</v>
      </c>
      <c r="L29" s="526" t="s">
        <v>554</v>
      </c>
      <c r="M29" s="409" t="s">
        <v>585</v>
      </c>
      <c r="N29" s="195">
        <v>51.689100000000003</v>
      </c>
    </row>
    <row r="30" spans="1:14" ht="15" x14ac:dyDescent="0.25">
      <c r="A30" s="410">
        <v>349733</v>
      </c>
      <c r="B30" t="str">
        <f t="shared" si="0"/>
        <v>SEVROLL 10221 spodný vozík Blue C rámový systém - 2ks</v>
      </c>
      <c r="C30" s="198">
        <f t="shared" si="1"/>
        <v>2.91574</v>
      </c>
      <c r="D30" s="526" t="s">
        <v>3410</v>
      </c>
      <c r="E30" s="526" t="s">
        <v>6239</v>
      </c>
      <c r="F30" s="526" t="s">
        <v>6240</v>
      </c>
      <c r="G30" s="526" t="s">
        <v>6241</v>
      </c>
      <c r="H30" s="412">
        <v>85.670950000000005</v>
      </c>
      <c r="I30" s="411">
        <v>2.91574</v>
      </c>
      <c r="J30" s="411">
        <v>15.66916</v>
      </c>
      <c r="K30" s="411">
        <v>1132.5988500000001</v>
      </c>
      <c r="L30" s="526" t="s">
        <v>554</v>
      </c>
      <c r="M30" s="409" t="s">
        <v>589</v>
      </c>
      <c r="N30" s="195">
        <v>54.043199999999999</v>
      </c>
    </row>
    <row r="31" spans="1:14" ht="15" x14ac:dyDescent="0.25">
      <c r="A31" s="409" t="s">
        <v>70</v>
      </c>
      <c r="B31" t="str">
        <f t="shared" si="0"/>
        <v>SEVROLL 20106 tesnenie na sklo 18/4-4,5mm asymetrické</v>
      </c>
      <c r="C31" s="198">
        <f t="shared" si="1"/>
        <v>2.2861500000000001</v>
      </c>
      <c r="D31" s="526" t="s">
        <v>2788</v>
      </c>
      <c r="E31" s="526" t="s">
        <v>6192</v>
      </c>
      <c r="F31" s="526" t="s">
        <v>6193</v>
      </c>
      <c r="G31" s="526" t="s">
        <v>6194</v>
      </c>
      <c r="H31" s="412">
        <v>66.958039999999997</v>
      </c>
      <c r="I31" s="411">
        <v>2.2861500000000001</v>
      </c>
      <c r="J31" s="411">
        <v>7.6425999999999998</v>
      </c>
      <c r="K31" s="411">
        <v>888.03769999999997</v>
      </c>
      <c r="L31" s="526" t="s">
        <v>553</v>
      </c>
      <c r="M31" s="409" t="s">
        <v>585</v>
      </c>
      <c r="N31" s="195">
        <v>54.276159999999997</v>
      </c>
    </row>
    <row r="32" spans="1:14" ht="15" x14ac:dyDescent="0.25">
      <c r="A32" s="410">
        <v>98060</v>
      </c>
      <c r="B32" t="str">
        <f t="shared" si="0"/>
        <v>SEVROLL spodný vozík WD 18C HI-TEC</v>
      </c>
      <c r="C32" s="198">
        <f t="shared" si="1"/>
        <v>0</v>
      </c>
      <c r="D32" s="526" t="s">
        <v>2795</v>
      </c>
      <c r="E32" s="526" t="s">
        <v>6195</v>
      </c>
      <c r="F32" s="526" t="s">
        <v>1128</v>
      </c>
      <c r="G32" s="526" t="s">
        <v>6196</v>
      </c>
      <c r="H32" s="412">
        <v>0</v>
      </c>
      <c r="I32" s="411">
        <v>0</v>
      </c>
      <c r="J32" s="411">
        <v>0</v>
      </c>
      <c r="K32" s="411">
        <v>0</v>
      </c>
      <c r="L32" s="526" t="s">
        <v>555</v>
      </c>
      <c r="M32" s="409" t="s">
        <v>586</v>
      </c>
      <c r="N32" s="195">
        <v>56.8371</v>
      </c>
    </row>
    <row r="33" spans="1:14" ht="15" x14ac:dyDescent="0.25">
      <c r="A33" s="410">
        <v>318812</v>
      </c>
      <c r="B33" t="str">
        <f t="shared" si="0"/>
        <v>SEVROLL spodný vozík DTD 18mm-2ks+pozicionér</v>
      </c>
      <c r="C33" s="198" t="e">
        <f t="shared" si="1"/>
        <v>#N/A</v>
      </c>
      <c r="D33" s="526" t="s">
        <v>6553</v>
      </c>
      <c r="E33" s="526" t="s">
        <v>6554</v>
      </c>
      <c r="F33" s="526" t="s">
        <v>6555</v>
      </c>
      <c r="G33" s="526" t="s">
        <v>6556</v>
      </c>
      <c r="H33" s="412" t="e">
        <v>#N/A</v>
      </c>
      <c r="I33" s="411" t="e">
        <v>#N/A</v>
      </c>
      <c r="J33" s="411" t="e">
        <v>#N/A</v>
      </c>
      <c r="K33" s="411" t="e">
        <v>#N/A</v>
      </c>
      <c r="L33" s="526" t="e">
        <v>#N/A</v>
      </c>
      <c r="M33" s="409" t="s">
        <v>587</v>
      </c>
      <c r="N33" s="195">
        <v>58.143700000000003</v>
      </c>
    </row>
    <row r="34" spans="1:14" ht="15" x14ac:dyDescent="0.25">
      <c r="A34" s="410">
        <v>89132</v>
      </c>
      <c r="B34" t="str">
        <f t="shared" si="0"/>
        <v>SEVROLL uholník Mini 17x11mm 1,7m zlatá</v>
      </c>
      <c r="C34" s="198">
        <f t="shared" si="1"/>
        <v>3.03322</v>
      </c>
      <c r="D34" s="526" t="s">
        <v>3603</v>
      </c>
      <c r="E34" s="526" t="s">
        <v>3604</v>
      </c>
      <c r="F34" s="526" t="s">
        <v>3605</v>
      </c>
      <c r="G34" s="526" t="s">
        <v>3606</v>
      </c>
      <c r="H34" s="412">
        <v>84.306280000000001</v>
      </c>
      <c r="I34" s="411">
        <v>3.03322</v>
      </c>
      <c r="J34" s="411">
        <v>10.26183</v>
      </c>
      <c r="K34" s="411">
        <v>1154.6691699999999</v>
      </c>
      <c r="L34" s="526" t="s">
        <v>554</v>
      </c>
      <c r="M34" s="409" t="s">
        <v>586</v>
      </c>
      <c r="N34" s="195">
        <v>58.143700000000003</v>
      </c>
    </row>
    <row r="35" spans="1:14" ht="15" x14ac:dyDescent="0.25">
      <c r="A35" s="410">
        <v>349732</v>
      </c>
      <c r="B35" t="str">
        <f t="shared" ref="B35:B58" si="2">IF($A$2=1,D35,IF($A$2=2,F35,IF($A$2=3,G35,IF($A$2=4,E35,"zadat jazyk"))))</f>
        <v>SEVROLL 10218 horný vozík Blue (pro lamino 18mm) rámový L+P</v>
      </c>
      <c r="C35" s="198">
        <f t="shared" si="1"/>
        <v>3.6124200000000002</v>
      </c>
      <c r="D35" s="526" t="s">
        <v>3409</v>
      </c>
      <c r="E35" s="526" t="s">
        <v>3607</v>
      </c>
      <c r="F35" s="526" t="s">
        <v>3608</v>
      </c>
      <c r="G35" s="526" t="s">
        <v>3609</v>
      </c>
      <c r="H35" s="412">
        <v>106.14100000000001</v>
      </c>
      <c r="I35" s="411">
        <v>3.6124200000000002</v>
      </c>
      <c r="J35" s="411">
        <v>15.244389999999999</v>
      </c>
      <c r="K35" s="411">
        <v>1403.22</v>
      </c>
      <c r="L35" s="526" t="s">
        <v>710</v>
      </c>
      <c r="M35" s="409" t="s">
        <v>589</v>
      </c>
      <c r="N35" s="195">
        <v>60.048000000000002</v>
      </c>
    </row>
    <row r="36" spans="1:14" ht="15" x14ac:dyDescent="0.25">
      <c r="A36" s="410">
        <v>89133</v>
      </c>
      <c r="B36" t="str">
        <f t="shared" si="2"/>
        <v>SEVROLL 00903 uholník Mini 17x11mm 1,7m oliva</v>
      </c>
      <c r="C36" s="198">
        <f t="shared" si="1"/>
        <v>3.03322</v>
      </c>
      <c r="D36" s="526" t="s">
        <v>3610</v>
      </c>
      <c r="E36" s="526" t="s">
        <v>3611</v>
      </c>
      <c r="F36" s="526" t="s">
        <v>3612</v>
      </c>
      <c r="G36" s="526" t="s">
        <v>2671</v>
      </c>
      <c r="H36" s="412">
        <v>84.306280000000001</v>
      </c>
      <c r="I36" s="411">
        <v>3.03322</v>
      </c>
      <c r="J36" s="411">
        <v>10.26183</v>
      </c>
      <c r="K36" s="411">
        <v>1154.6691699999999</v>
      </c>
      <c r="L36" s="526" t="s">
        <v>553</v>
      </c>
      <c r="M36" s="409" t="s">
        <v>586</v>
      </c>
      <c r="N36" s="195">
        <v>60.756900000000002</v>
      </c>
    </row>
    <row r="37" spans="1:14" ht="15" x14ac:dyDescent="0.25">
      <c r="A37" s="410">
        <v>89157</v>
      </c>
      <c r="B37" t="str">
        <f t="shared" si="2"/>
        <v>SEVROLL 50235 Micra horné/spodné vedenie 2,35m surová</v>
      </c>
      <c r="C37" s="198">
        <f t="shared" si="1"/>
        <v>3.5866199999999999</v>
      </c>
      <c r="D37" s="526" t="s">
        <v>2678</v>
      </c>
      <c r="E37" s="526" t="s">
        <v>3613</v>
      </c>
      <c r="F37" s="526" t="s">
        <v>3614</v>
      </c>
      <c r="G37" s="526" t="s">
        <v>3615</v>
      </c>
      <c r="H37" s="412">
        <v>99.309939999999997</v>
      </c>
      <c r="I37" s="411">
        <v>3.5866199999999999</v>
      </c>
      <c r="J37" s="411">
        <v>12.084</v>
      </c>
      <c r="K37" s="411">
        <v>1365.3329900000001</v>
      </c>
      <c r="L37" s="526" t="s">
        <v>553</v>
      </c>
      <c r="M37" s="409" t="s">
        <v>586</v>
      </c>
      <c r="N37" s="195">
        <v>65.33</v>
      </c>
    </row>
    <row r="38" spans="1:14" ht="15" x14ac:dyDescent="0.25">
      <c r="A38" s="410">
        <v>179772</v>
      </c>
      <c r="B38" t="str">
        <f t="shared" si="2"/>
        <v>SEVROLL 02557 profil "U" pro lamino 10mm 2m strieborná</v>
      </c>
      <c r="C38" s="198" t="e">
        <f t="shared" si="1"/>
        <v>#N/A</v>
      </c>
      <c r="D38" s="526" t="s">
        <v>2934</v>
      </c>
      <c r="E38" s="526" t="s">
        <v>3616</v>
      </c>
      <c r="F38" s="526" t="s">
        <v>3617</v>
      </c>
      <c r="G38" s="526" t="s">
        <v>3618</v>
      </c>
      <c r="H38" s="412" t="e">
        <v>#N/A</v>
      </c>
      <c r="I38" s="411" t="e">
        <v>#N/A</v>
      </c>
      <c r="J38" s="411" t="e">
        <v>#N/A</v>
      </c>
      <c r="K38" s="411" t="e">
        <v>#N/A</v>
      </c>
      <c r="L38" s="526" t="e">
        <v>#N/A</v>
      </c>
      <c r="M38" s="409" t="s">
        <v>586</v>
      </c>
      <c r="N38" s="195">
        <v>67.943200000000004</v>
      </c>
    </row>
    <row r="39" spans="1:14" ht="15" x14ac:dyDescent="0.25">
      <c r="A39" s="410">
        <v>89137</v>
      </c>
      <c r="B39" t="str">
        <f t="shared" si="2"/>
        <v>SEVROLL 00103 úhelník Mini 17x11mm 2,35m strieborný</v>
      </c>
      <c r="C39" s="198">
        <f t="shared" si="1"/>
        <v>3.35439</v>
      </c>
      <c r="D39" s="526" t="s">
        <v>3619</v>
      </c>
      <c r="E39" s="526" t="s">
        <v>3620</v>
      </c>
      <c r="F39" s="526" t="s">
        <v>3621</v>
      </c>
      <c r="G39" s="526" t="s">
        <v>3622</v>
      </c>
      <c r="H39" s="412">
        <v>92.879800000000003</v>
      </c>
      <c r="I39" s="411">
        <v>3.35439</v>
      </c>
      <c r="J39" s="411">
        <v>12.129440000000001</v>
      </c>
      <c r="K39" s="411">
        <v>1276.9302</v>
      </c>
      <c r="L39" s="526" t="s">
        <v>553</v>
      </c>
      <c r="M39" s="409" t="s">
        <v>586</v>
      </c>
      <c r="N39" s="195">
        <v>67.943200000000004</v>
      </c>
    </row>
    <row r="40" spans="1:14" ht="15" x14ac:dyDescent="0.25">
      <c r="A40" s="410">
        <v>349942</v>
      </c>
      <c r="B40" t="str">
        <f t="shared" si="2"/>
        <v>SEVROLL 10239 horný vozík Blue 10mm asymetrický L+P</v>
      </c>
      <c r="C40" s="198">
        <f t="shared" si="1"/>
        <v>3.6124200000000002</v>
      </c>
      <c r="D40" s="526" t="s">
        <v>3449</v>
      </c>
      <c r="E40" s="526" t="s">
        <v>3623</v>
      </c>
      <c r="F40" s="526" t="s">
        <v>3624</v>
      </c>
      <c r="G40" s="526" t="s">
        <v>3625</v>
      </c>
      <c r="H40" s="412">
        <v>106.14100000000001</v>
      </c>
      <c r="I40" s="411">
        <v>3.6124200000000002</v>
      </c>
      <c r="J40" s="411">
        <v>15.244389999999999</v>
      </c>
      <c r="K40" s="411">
        <v>1403.22</v>
      </c>
      <c r="L40" s="526" t="s">
        <v>553</v>
      </c>
      <c r="M40" s="409" t="s">
        <v>589</v>
      </c>
      <c r="N40" s="195">
        <v>69.055199999999999</v>
      </c>
    </row>
    <row r="41" spans="1:14" ht="15" x14ac:dyDescent="0.25">
      <c r="A41" s="410">
        <v>349734</v>
      </c>
      <c r="B41" t="str">
        <f t="shared" si="2"/>
        <v>SEVROLL 10217 horný vozík Blue (pro lamino 18mm) bezrámový L+P</v>
      </c>
      <c r="C41" s="198">
        <f t="shared" si="1"/>
        <v>3.6124200000000002</v>
      </c>
      <c r="D41" s="526" t="s">
        <v>3411</v>
      </c>
      <c r="E41" s="526" t="s">
        <v>3626</v>
      </c>
      <c r="F41" s="526" t="s">
        <v>3627</v>
      </c>
      <c r="G41" s="526" t="s">
        <v>3628</v>
      </c>
      <c r="H41" s="412">
        <v>106.14100000000001</v>
      </c>
      <c r="I41" s="411">
        <v>3.6124200000000002</v>
      </c>
      <c r="J41" s="411">
        <v>12.22138</v>
      </c>
      <c r="K41" s="411">
        <v>1403.22</v>
      </c>
      <c r="L41" s="526" t="s">
        <v>710</v>
      </c>
      <c r="M41" s="409" t="s">
        <v>589</v>
      </c>
      <c r="N41" s="195">
        <v>69.055199999999999</v>
      </c>
    </row>
    <row r="42" spans="1:14" ht="15" x14ac:dyDescent="0.25">
      <c r="A42" s="410">
        <v>276735</v>
      </c>
      <c r="B42" t="str">
        <f t="shared" si="2"/>
        <v>SEVROLL 04053 uholník Mini 17x11mm 1,7m biela lesk</v>
      </c>
      <c r="C42" s="198">
        <f t="shared" si="1"/>
        <v>3.1479699999999999</v>
      </c>
      <c r="D42" s="526" t="s">
        <v>3629</v>
      </c>
      <c r="E42" s="526" t="s">
        <v>3630</v>
      </c>
      <c r="F42" s="526" t="s">
        <v>3631</v>
      </c>
      <c r="G42" s="526" t="s">
        <v>3632</v>
      </c>
      <c r="H42" s="412">
        <v>87.164119999999997</v>
      </c>
      <c r="I42" s="411">
        <v>3.1479699999999999</v>
      </c>
      <c r="J42" s="411">
        <v>12.2094</v>
      </c>
      <c r="K42" s="411">
        <v>1198.3500300000001</v>
      </c>
      <c r="L42" s="526" t="s">
        <v>553</v>
      </c>
      <c r="M42" s="409" t="s">
        <v>586</v>
      </c>
      <c r="N42" s="195">
        <v>69.903099999999995</v>
      </c>
    </row>
    <row r="43" spans="1:14" ht="15" x14ac:dyDescent="0.25">
      <c r="A43" s="413">
        <v>340612</v>
      </c>
      <c r="B43" t="e">
        <f t="shared" si="2"/>
        <v>#N/A</v>
      </c>
      <c r="C43" s="198" t="e">
        <f t="shared" si="1"/>
        <v>#N/A</v>
      </c>
      <c r="D43" s="526" t="e">
        <v>#N/A</v>
      </c>
      <c r="E43" s="526" t="e">
        <v>#N/A</v>
      </c>
      <c r="F43" s="526" t="e">
        <v>#N/A</v>
      </c>
      <c r="G43" s="526" t="e">
        <v>#N/A</v>
      </c>
      <c r="H43" s="412" t="e">
        <v>#N/A</v>
      </c>
      <c r="I43" s="411" t="e">
        <v>#N/A</v>
      </c>
      <c r="J43" s="411" t="e">
        <v>#N/A</v>
      </c>
      <c r="K43" s="411" t="e">
        <v>#N/A</v>
      </c>
      <c r="L43" s="526" t="e">
        <v>#N/A</v>
      </c>
      <c r="M43" s="414" t="s">
        <v>587</v>
      </c>
      <c r="N43" s="195">
        <v>70.334000000000003</v>
      </c>
    </row>
    <row r="44" spans="1:14" ht="15" x14ac:dyDescent="0.25">
      <c r="A44" s="410">
        <v>213721</v>
      </c>
      <c r="B44" t="str">
        <f t="shared" si="2"/>
        <v>SEVROLL profil "U" Mini na DTD 18mm 3m strieborná</v>
      </c>
      <c r="C44" s="198">
        <f t="shared" si="1"/>
        <v>3.6898300000000002</v>
      </c>
      <c r="D44" s="526" t="s">
        <v>3026</v>
      </c>
      <c r="E44" s="526" t="s">
        <v>3633</v>
      </c>
      <c r="F44" s="526" t="s">
        <v>3634</v>
      </c>
      <c r="G44" s="526" t="s">
        <v>3635</v>
      </c>
      <c r="H44" s="412">
        <v>102.16777999999999</v>
      </c>
      <c r="I44" s="411">
        <v>3.6898300000000002</v>
      </c>
      <c r="J44" s="411">
        <v>12.442399999999999</v>
      </c>
      <c r="K44" s="411">
        <v>1404.6230700000001</v>
      </c>
      <c r="L44" s="526" t="s">
        <v>554</v>
      </c>
      <c r="M44" s="409" t="s">
        <v>586</v>
      </c>
      <c r="N44" s="195">
        <v>71.863</v>
      </c>
    </row>
    <row r="45" spans="1:14" ht="15" x14ac:dyDescent="0.25">
      <c r="A45" s="410">
        <v>89052</v>
      </c>
      <c r="B45" t="str">
        <f t="shared" si="2"/>
        <v>SEVROLL 278 UHOLNÍK K2 1,70M OLIVOVÁ</v>
      </c>
      <c r="C45" s="198">
        <f t="shared" si="1"/>
        <v>4.2575000000000003</v>
      </c>
      <c r="D45" s="526" t="s">
        <v>2719</v>
      </c>
      <c r="E45" s="526" t="s">
        <v>3636</v>
      </c>
      <c r="F45" s="526" t="s">
        <v>3637</v>
      </c>
      <c r="G45" s="526" t="s">
        <v>3638</v>
      </c>
      <c r="H45" s="412">
        <v>117.88590000000001</v>
      </c>
      <c r="I45" s="411">
        <v>4.2575000000000003</v>
      </c>
      <c r="J45" s="411">
        <v>14.4054</v>
      </c>
      <c r="K45" s="411">
        <v>1620.7191</v>
      </c>
      <c r="L45" s="526" t="s">
        <v>554</v>
      </c>
      <c r="M45" s="409" t="s">
        <v>586</v>
      </c>
      <c r="N45" s="195">
        <v>75.129499999999993</v>
      </c>
    </row>
    <row r="46" spans="1:14" ht="15" x14ac:dyDescent="0.25">
      <c r="A46" s="410">
        <v>318656</v>
      </c>
      <c r="B46" t="str">
        <f t="shared" si="2"/>
        <v>SEVROLL 04313 maska Elegant II 1,7m biela lesk</v>
      </c>
      <c r="C46" s="198">
        <f t="shared" si="1"/>
        <v>3.3074400000000002</v>
      </c>
      <c r="D46" s="526" t="s">
        <v>3358</v>
      </c>
      <c r="E46" s="526" t="s">
        <v>3639</v>
      </c>
      <c r="F46" s="526" t="s">
        <v>3640</v>
      </c>
      <c r="G46" s="526" t="s">
        <v>3641</v>
      </c>
      <c r="H46" s="412">
        <v>91.450879999999998</v>
      </c>
      <c r="I46" s="411">
        <v>3.3074400000000002</v>
      </c>
      <c r="J46" s="411">
        <v>12.199199999999999</v>
      </c>
      <c r="K46" s="411">
        <v>1259.0531100000001</v>
      </c>
      <c r="L46" s="526" t="s">
        <v>553</v>
      </c>
      <c r="M46" s="409" t="s">
        <v>586</v>
      </c>
      <c r="N46" s="195">
        <v>75.782799999999995</v>
      </c>
    </row>
    <row r="47" spans="1:14" ht="15" x14ac:dyDescent="0.25">
      <c r="A47" s="410">
        <v>191011</v>
      </c>
      <c r="B47" t="str">
        <f t="shared" si="2"/>
        <v>SEVROLL 01114 Micra horné/spodné vedenie 1,7m oliva</v>
      </c>
      <c r="C47" s="198">
        <f t="shared" si="1"/>
        <v>3.9736600000000002</v>
      </c>
      <c r="D47" s="526" t="s">
        <v>2955</v>
      </c>
      <c r="E47" s="526" t="s">
        <v>3642</v>
      </c>
      <c r="F47" s="526" t="s">
        <v>3643</v>
      </c>
      <c r="G47" s="526" t="s">
        <v>3644</v>
      </c>
      <c r="H47" s="412">
        <v>110.02684000000001</v>
      </c>
      <c r="I47" s="411">
        <v>3.9736600000000002</v>
      </c>
      <c r="J47" s="411">
        <v>13.4724</v>
      </c>
      <c r="K47" s="411">
        <v>1512.67109</v>
      </c>
      <c r="L47" s="526" t="s">
        <v>554</v>
      </c>
      <c r="M47" s="409" t="s">
        <v>586</v>
      </c>
      <c r="N47" s="195">
        <v>75.782799999999995</v>
      </c>
    </row>
    <row r="48" spans="1:14" ht="15" x14ac:dyDescent="0.25">
      <c r="A48" s="410">
        <v>343615</v>
      </c>
      <c r="B48" t="str">
        <f t="shared" si="2"/>
        <v>SEVROLL 04319 PAX dištančný profil 04 3m strieborná</v>
      </c>
      <c r="C48" s="198">
        <f t="shared" si="1"/>
        <v>3.56081</v>
      </c>
      <c r="D48" s="526" t="s">
        <v>3376</v>
      </c>
      <c r="E48" s="526" t="s">
        <v>3645</v>
      </c>
      <c r="F48" s="526" t="s">
        <v>3646</v>
      </c>
      <c r="G48" s="526" t="s">
        <v>71</v>
      </c>
      <c r="H48" s="412">
        <v>98.595479999999995</v>
      </c>
      <c r="I48" s="411">
        <v>3.56081</v>
      </c>
      <c r="J48" s="411">
        <v>12.5154</v>
      </c>
      <c r="K48" s="411">
        <v>1355.51037</v>
      </c>
      <c r="L48" s="526" t="s">
        <v>554</v>
      </c>
      <c r="M48" s="409" t="s">
        <v>586</v>
      </c>
      <c r="N48" s="195">
        <v>77.089399999999998</v>
      </c>
    </row>
    <row r="49" spans="1:14" ht="15" x14ac:dyDescent="0.25">
      <c r="A49" s="410">
        <v>84192</v>
      </c>
      <c r="B49" t="str">
        <f t="shared" si="2"/>
        <v>SEVROLL SMART SPODNÉ VEDENIE 1,7M STRIE.</v>
      </c>
      <c r="C49" s="198">
        <f t="shared" si="1"/>
        <v>3.8704499999999999</v>
      </c>
      <c r="D49" s="526" t="s">
        <v>2757</v>
      </c>
      <c r="E49" s="526" t="s">
        <v>3647</v>
      </c>
      <c r="F49" s="526" t="s">
        <v>3648</v>
      </c>
      <c r="G49" s="526" t="s">
        <v>3649</v>
      </c>
      <c r="H49" s="412">
        <v>107.169</v>
      </c>
      <c r="I49" s="411">
        <v>3.8704499999999999</v>
      </c>
      <c r="J49" s="411">
        <v>14.2188</v>
      </c>
      <c r="K49" s="411">
        <v>1473.3810000000001</v>
      </c>
      <c r="L49" s="526" t="s">
        <v>553</v>
      </c>
      <c r="M49" s="409" t="s">
        <v>586</v>
      </c>
      <c r="N49" s="195">
        <v>77.089399999999998</v>
      </c>
    </row>
    <row r="50" spans="1:14" ht="15" x14ac:dyDescent="0.25">
      <c r="A50" s="410">
        <v>135156</v>
      </c>
      <c r="B50" t="str">
        <f t="shared" si="2"/>
        <v>SEVROLL okrasná lišta S10 3m strieborná</v>
      </c>
      <c r="C50" s="198">
        <f t="shared" si="1"/>
        <v>3.3801899999999998</v>
      </c>
      <c r="D50" s="526" t="s">
        <v>2877</v>
      </c>
      <c r="E50" s="526" t="s">
        <v>3650</v>
      </c>
      <c r="F50" s="526" t="s">
        <v>1244</v>
      </c>
      <c r="G50" s="526" t="s">
        <v>3651</v>
      </c>
      <c r="H50" s="412">
        <v>93.594260000000006</v>
      </c>
      <c r="I50" s="411">
        <v>3.3801899999999998</v>
      </c>
      <c r="J50" s="411">
        <v>12.0054</v>
      </c>
      <c r="K50" s="411">
        <v>1286.75281</v>
      </c>
      <c r="L50" s="526" t="s">
        <v>553</v>
      </c>
      <c r="M50" s="409" t="s">
        <v>586</v>
      </c>
      <c r="N50" s="195">
        <v>79.049300000000002</v>
      </c>
    </row>
    <row r="51" spans="1:14" ht="15" x14ac:dyDescent="0.25">
      <c r="A51" s="410">
        <v>89050</v>
      </c>
      <c r="B51" t="str">
        <f t="shared" si="2"/>
        <v>SEVROLL 278 UHOLNÍK K2 1,70M STRIEBORNÁ</v>
      </c>
      <c r="C51" s="198">
        <f t="shared" si="1"/>
        <v>3.4060000000000001</v>
      </c>
      <c r="D51" s="526" t="s">
        <v>2718</v>
      </c>
      <c r="E51" s="526" t="s">
        <v>3652</v>
      </c>
      <c r="F51" s="526" t="s">
        <v>3653</v>
      </c>
      <c r="G51" s="526" t="s">
        <v>2718</v>
      </c>
      <c r="H51" s="412">
        <v>94.308719999999994</v>
      </c>
      <c r="I51" s="411">
        <v>3.4060000000000001</v>
      </c>
      <c r="J51" s="411">
        <v>12.046200000000001</v>
      </c>
      <c r="K51" s="411">
        <v>1296.5754300000001</v>
      </c>
      <c r="L51" s="526" t="s">
        <v>553</v>
      </c>
      <c r="M51" s="409" t="s">
        <v>586</v>
      </c>
      <c r="N51" s="195">
        <v>79.049300000000002</v>
      </c>
    </row>
    <row r="52" spans="1:14" ht="15" x14ac:dyDescent="0.25">
      <c r="A52" s="410">
        <v>89150</v>
      </c>
      <c r="B52" t="str">
        <f t="shared" si="2"/>
        <v>SEVROLL Micra horn/spod.vedenie 1,7m str.elo</v>
      </c>
      <c r="C52" s="198">
        <f t="shared" si="1"/>
        <v>3.3285900000000002</v>
      </c>
      <c r="D52" s="526" t="s">
        <v>2674</v>
      </c>
      <c r="E52" s="526" t="s">
        <v>3654</v>
      </c>
      <c r="F52" s="526" t="s">
        <v>1251</v>
      </c>
      <c r="G52" s="526" t="s">
        <v>3655</v>
      </c>
      <c r="H52" s="412">
        <v>92.16534</v>
      </c>
      <c r="I52" s="411">
        <v>3.3285900000000002</v>
      </c>
      <c r="J52" s="411">
        <v>11.699400000000001</v>
      </c>
      <c r="K52" s="411">
        <v>1267.1075900000001</v>
      </c>
      <c r="L52" s="526" t="s">
        <v>553</v>
      </c>
      <c r="M52" s="409" t="s">
        <v>586</v>
      </c>
      <c r="N52" s="195">
        <v>79.702600000000004</v>
      </c>
    </row>
    <row r="53" spans="1:14" ht="15" x14ac:dyDescent="0.25">
      <c r="A53" s="410">
        <v>229447</v>
      </c>
      <c r="B53" t="str">
        <f t="shared" si="2"/>
        <v>SEVROLL 05197 spodný vozík Simple (bezrámový 18mm) - 2ks</v>
      </c>
      <c r="C53" s="198">
        <f t="shared" si="1"/>
        <v>4.1026800000000003</v>
      </c>
      <c r="D53" s="526" t="s">
        <v>3185</v>
      </c>
      <c r="E53" s="526" t="s">
        <v>3656</v>
      </c>
      <c r="F53" s="526" t="s">
        <v>3657</v>
      </c>
      <c r="G53" s="526" t="s">
        <v>3658</v>
      </c>
      <c r="H53" s="412">
        <v>120.54585</v>
      </c>
      <c r="I53" s="411">
        <v>4.1026800000000003</v>
      </c>
      <c r="J53" s="411">
        <v>13.88</v>
      </c>
      <c r="K53" s="411">
        <v>1593.6569300000001</v>
      </c>
      <c r="L53" s="526" t="s">
        <v>553</v>
      </c>
      <c r="M53" s="409" t="s">
        <v>589</v>
      </c>
      <c r="N53" s="195">
        <v>82.566000000000003</v>
      </c>
    </row>
    <row r="54" spans="1:14" ht="15" x14ac:dyDescent="0.25">
      <c r="A54" s="410">
        <v>89158</v>
      </c>
      <c r="B54" t="str">
        <f t="shared" si="2"/>
        <v>SEVROLL 50236 Micra horné/spodné vedenie 3m surová</v>
      </c>
      <c r="C54" s="198">
        <f t="shared" si="1"/>
        <v>4.5671299999999997</v>
      </c>
      <c r="D54" s="526" t="s">
        <v>2679</v>
      </c>
      <c r="E54" s="526" t="s">
        <v>3659</v>
      </c>
      <c r="F54" s="526" t="s">
        <v>3660</v>
      </c>
      <c r="G54" s="526" t="s">
        <v>3661</v>
      </c>
      <c r="H54" s="412">
        <v>126.45941999999999</v>
      </c>
      <c r="I54" s="411">
        <v>4.5671299999999997</v>
      </c>
      <c r="J54" s="411">
        <v>15.4442</v>
      </c>
      <c r="K54" s="411">
        <v>1738.5897299999999</v>
      </c>
      <c r="L54" s="526" t="s">
        <v>553</v>
      </c>
      <c r="M54" s="409" t="s">
        <v>586</v>
      </c>
      <c r="N54" s="195">
        <v>82.969099999999997</v>
      </c>
    </row>
    <row r="55" spans="1:14" ht="15" x14ac:dyDescent="0.25">
      <c r="A55" s="410">
        <v>89136</v>
      </c>
      <c r="B55" t="str">
        <f t="shared" si="2"/>
        <v>SEVROLL 00904 uholník Mini 17x11mm 2,35m oliva</v>
      </c>
      <c r="C55" s="198">
        <f t="shared" si="1"/>
        <v>4.19299</v>
      </c>
      <c r="D55" s="526" t="s">
        <v>3662</v>
      </c>
      <c r="E55" s="526" t="s">
        <v>3663</v>
      </c>
      <c r="F55" s="526" t="s">
        <v>3664</v>
      </c>
      <c r="G55" s="526" t="s">
        <v>2673</v>
      </c>
      <c r="H55" s="412">
        <v>116.09975</v>
      </c>
      <c r="I55" s="411">
        <v>4.19299</v>
      </c>
      <c r="J55" s="411">
        <v>14.18553</v>
      </c>
      <c r="K55" s="411">
        <v>1596.1629499999999</v>
      </c>
      <c r="L55" s="526" t="s">
        <v>553</v>
      </c>
      <c r="M55" s="409" t="s">
        <v>586</v>
      </c>
      <c r="N55" s="195">
        <v>84.275700000000001</v>
      </c>
    </row>
    <row r="56" spans="1:14" ht="15" x14ac:dyDescent="0.25">
      <c r="A56" s="410">
        <v>89135</v>
      </c>
      <c r="B56" t="str">
        <f t="shared" si="2"/>
        <v>SEVROLL uholník Mini 17x11mm 2,35m zlatá</v>
      </c>
      <c r="C56" s="198">
        <f t="shared" si="1"/>
        <v>4.19299</v>
      </c>
      <c r="D56" s="526" t="s">
        <v>3665</v>
      </c>
      <c r="E56" s="526" t="s">
        <v>3666</v>
      </c>
      <c r="F56" s="526" t="s">
        <v>3667</v>
      </c>
      <c r="G56" s="526" t="s">
        <v>3668</v>
      </c>
      <c r="H56" s="412">
        <v>116.09975</v>
      </c>
      <c r="I56" s="411">
        <v>4.19299</v>
      </c>
      <c r="J56" s="411">
        <v>14.18553</v>
      </c>
      <c r="K56" s="411">
        <v>1596.1629499999999</v>
      </c>
      <c r="L56" s="526" t="s">
        <v>554</v>
      </c>
      <c r="M56" s="409" t="s">
        <v>586</v>
      </c>
      <c r="N56" s="195">
        <v>84.275700000000001</v>
      </c>
    </row>
    <row r="57" spans="1:14" ht="15" x14ac:dyDescent="0.25">
      <c r="A57" s="410">
        <v>89140</v>
      </c>
      <c r="B57" t="str">
        <f t="shared" si="2"/>
        <v>SEVROLL 00104 úhelník Mini 17x11mm 3m strieborný</v>
      </c>
      <c r="C57" s="198">
        <f t="shared" si="1"/>
        <v>4.2821899999999999</v>
      </c>
      <c r="D57" s="526" t="s">
        <v>3669</v>
      </c>
      <c r="E57" s="526" t="s">
        <v>3670</v>
      </c>
      <c r="F57" s="526" t="s">
        <v>3671</v>
      </c>
      <c r="G57" s="526" t="s">
        <v>3672</v>
      </c>
      <c r="H57" s="412">
        <v>118.60035999999999</v>
      </c>
      <c r="I57" s="411">
        <v>4.2821899999999999</v>
      </c>
      <c r="J57" s="411">
        <v>15.49611</v>
      </c>
      <c r="K57" s="411">
        <v>1630.1191899999999</v>
      </c>
      <c r="L57" s="526" t="s">
        <v>553</v>
      </c>
      <c r="M57" s="409" t="s">
        <v>586</v>
      </c>
      <c r="N57" s="195">
        <v>85.582300000000004</v>
      </c>
    </row>
    <row r="58" spans="1:14" ht="15" x14ac:dyDescent="0.25">
      <c r="A58" s="410">
        <v>308595</v>
      </c>
      <c r="B58" t="str">
        <f t="shared" si="2"/>
        <v>SEVROLL profil "U" Mini na DTD 18mm oliva 3m</v>
      </c>
      <c r="C58" s="198">
        <f t="shared" si="1"/>
        <v>4.6123000000000003</v>
      </c>
      <c r="D58" s="526" t="s">
        <v>3321</v>
      </c>
      <c r="E58" s="526" t="s">
        <v>3673</v>
      </c>
      <c r="F58" s="526" t="s">
        <v>1134</v>
      </c>
      <c r="G58" s="526" t="s">
        <v>3674</v>
      </c>
      <c r="H58" s="412">
        <v>127.88834</v>
      </c>
      <c r="I58" s="411">
        <v>4.6123000000000003</v>
      </c>
      <c r="J58" s="411">
        <v>15.571400000000001</v>
      </c>
      <c r="K58" s="411">
        <v>1755.7793200000001</v>
      </c>
      <c r="L58" s="526" t="s">
        <v>554</v>
      </c>
      <c r="M58" s="409" t="s">
        <v>586</v>
      </c>
      <c r="N58" s="195">
        <v>87.542199999999994</v>
      </c>
    </row>
    <row r="59" spans="1:14" ht="15" x14ac:dyDescent="0.25">
      <c r="A59" s="410">
        <v>345403</v>
      </c>
      <c r="B59" t="str">
        <f>IF($A$2=1,D59,IF($A$2=2,F62,IF($A$2=3,G59,IF($A$2=4,E59,"zadat jazyk"))))</f>
        <v>SEVROLL uholník K2 1,7m čierna kartáčovaná</v>
      </c>
      <c r="C59" s="198">
        <f t="shared" si="1"/>
        <v>4.6187399999999998</v>
      </c>
      <c r="D59" s="526" t="s">
        <v>3380</v>
      </c>
      <c r="E59" s="526" t="s">
        <v>3675</v>
      </c>
      <c r="F59" s="526" t="s">
        <v>3676</v>
      </c>
      <c r="G59" s="526" t="s">
        <v>3677</v>
      </c>
      <c r="H59" s="412">
        <v>127.88834</v>
      </c>
      <c r="I59" s="411">
        <v>4.6187399999999998</v>
      </c>
      <c r="J59" s="411">
        <v>15.6312</v>
      </c>
      <c r="K59" s="411">
        <v>1758.23459</v>
      </c>
      <c r="L59" s="526" t="s">
        <v>553</v>
      </c>
      <c r="M59" s="409" t="s">
        <v>586</v>
      </c>
      <c r="N59" s="195">
        <v>90.1554</v>
      </c>
    </row>
    <row r="60" spans="1:14" ht="15" x14ac:dyDescent="0.25">
      <c r="A60" s="410">
        <v>345401</v>
      </c>
      <c r="B60" t="str">
        <f>IF($A$2=1,D60,IF($A$2=2,F60,IF($A$2=3,#REF!,IF($A$2=4,E60,"zadat jazyk"))))</f>
        <v>SEVROLL 04348-Y maska Elegant II 1,7m oliva kartáčovaná</v>
      </c>
      <c r="C60" s="198">
        <f t="shared" si="1"/>
        <v>4.6187399999999998</v>
      </c>
      <c r="D60" s="526" t="s">
        <v>3378</v>
      </c>
      <c r="E60" s="526" t="s">
        <v>3678</v>
      </c>
      <c r="F60" s="526" t="s">
        <v>3378</v>
      </c>
      <c r="G60" s="526" t="s">
        <v>3679</v>
      </c>
      <c r="H60" s="412">
        <v>127.88834</v>
      </c>
      <c r="I60" s="411">
        <v>4.6187399999999998</v>
      </c>
      <c r="J60" s="411">
        <v>15.6312</v>
      </c>
      <c r="K60" s="411">
        <v>1758.23459</v>
      </c>
      <c r="L60" s="526" t="s">
        <v>553</v>
      </c>
      <c r="M60" s="409" t="s">
        <v>586</v>
      </c>
      <c r="N60" s="195">
        <v>90.1554</v>
      </c>
    </row>
    <row r="61" spans="1:14" ht="15" x14ac:dyDescent="0.25">
      <c r="A61" s="410">
        <v>345402</v>
      </c>
      <c r="B61" t="e">
        <f>IF($A$2=1,D61,IF($A$2=2,#REF!,IF($A$2=3,#REF!,IF($A$2=4,E61,"zadat jazyk"))))</f>
        <v>#REF!</v>
      </c>
      <c r="C61" s="198">
        <f t="shared" si="1"/>
        <v>4.6187399999999998</v>
      </c>
      <c r="D61" s="526" t="s">
        <v>3379</v>
      </c>
      <c r="E61" s="526" t="s">
        <v>3680</v>
      </c>
      <c r="F61" s="526" t="s">
        <v>3379</v>
      </c>
      <c r="G61" s="526" t="s">
        <v>3681</v>
      </c>
      <c r="H61" s="412">
        <v>127.88834</v>
      </c>
      <c r="I61" s="411">
        <v>4.6187399999999998</v>
      </c>
      <c r="J61" s="411">
        <v>15.6312</v>
      </c>
      <c r="K61" s="411">
        <v>1758.23459</v>
      </c>
      <c r="L61" s="526" t="s">
        <v>554</v>
      </c>
      <c r="M61" s="409" t="s">
        <v>586</v>
      </c>
      <c r="N61" s="195">
        <v>90.1554</v>
      </c>
    </row>
    <row r="62" spans="1:14" ht="15" x14ac:dyDescent="0.25">
      <c r="A62" s="410">
        <v>223392</v>
      </c>
      <c r="B62" t="str">
        <f t="shared" ref="B62:B97" si="3">IF($A$2=1,D62,IF($A$2=2,F62,IF($A$2=3,G62,IF($A$2=4,E62,"zadat jazyk"))))</f>
        <v>SEVROLL uholník K2 1,7m čierna kartáčovaná</v>
      </c>
      <c r="C62" s="198">
        <f t="shared" si="1"/>
        <v>4.8509599999999997</v>
      </c>
      <c r="D62" s="526" t="s">
        <v>3070</v>
      </c>
      <c r="E62" s="526" t="s">
        <v>3682</v>
      </c>
      <c r="F62" s="526" t="s">
        <v>3683</v>
      </c>
      <c r="G62" s="526" t="s">
        <v>3684</v>
      </c>
      <c r="H62" s="412">
        <v>134.31847999999999</v>
      </c>
      <c r="I62" s="411">
        <v>4.8509599999999997</v>
      </c>
      <c r="J62" s="411">
        <v>16.4285</v>
      </c>
      <c r="K62" s="411">
        <v>1846.6373699999999</v>
      </c>
      <c r="L62" s="526" t="s">
        <v>554</v>
      </c>
      <c r="M62" s="409" t="s">
        <v>586</v>
      </c>
      <c r="N62" s="195">
        <v>94.075199999999995</v>
      </c>
    </row>
    <row r="63" spans="1:14" ht="15" x14ac:dyDescent="0.25">
      <c r="A63" s="410">
        <v>349736</v>
      </c>
      <c r="B63" t="str">
        <f t="shared" si="3"/>
        <v>SEVROLL 10220 spodný vozík Blue C bezrámový pre 18mm - 2ks</v>
      </c>
      <c r="C63" s="198">
        <f t="shared" si="1"/>
        <v>4.7800200000000004</v>
      </c>
      <c r="D63" s="526" t="s">
        <v>3413</v>
      </c>
      <c r="E63" s="526" t="s">
        <v>3685</v>
      </c>
      <c r="F63" s="526" t="s">
        <v>3686</v>
      </c>
      <c r="G63" s="526" t="s">
        <v>3687</v>
      </c>
      <c r="H63" s="412">
        <v>140.25774999999999</v>
      </c>
      <c r="I63" s="411">
        <v>4.7800200000000004</v>
      </c>
      <c r="J63" s="411">
        <v>16.911989999999999</v>
      </c>
      <c r="K63" s="411">
        <v>1856.7607800000001</v>
      </c>
      <c r="L63" s="526" t="s">
        <v>554</v>
      </c>
      <c r="M63" s="409" t="s">
        <v>589</v>
      </c>
      <c r="N63" s="195">
        <v>94.575599999999994</v>
      </c>
    </row>
    <row r="64" spans="1:14" ht="15" x14ac:dyDescent="0.25">
      <c r="A64" s="415">
        <v>98035</v>
      </c>
      <c r="B64" t="str">
        <f t="shared" si="3"/>
        <v>SEVROLL 20337 Exclusive brzda gumová horná</v>
      </c>
      <c r="C64" s="198">
        <f t="shared" si="1"/>
        <v>3.9220600000000001</v>
      </c>
      <c r="D64" s="526" t="s">
        <v>2784</v>
      </c>
      <c r="E64" s="526" t="s">
        <v>3688</v>
      </c>
      <c r="F64" s="526" t="s">
        <v>3689</v>
      </c>
      <c r="G64" s="526" t="s">
        <v>3690</v>
      </c>
      <c r="H64" s="412">
        <v>103.5196</v>
      </c>
      <c r="I64" s="411">
        <v>3.9220600000000001</v>
      </c>
      <c r="J64" s="411">
        <v>13.49484</v>
      </c>
      <c r="K64" s="411">
        <v>1444.2923000000001</v>
      </c>
      <c r="L64" s="526" t="s">
        <v>554</v>
      </c>
      <c r="M64" s="416" t="s">
        <v>586</v>
      </c>
      <c r="N64" s="195">
        <v>95.921120000000002</v>
      </c>
    </row>
    <row r="65" spans="1:14" ht="15" x14ac:dyDescent="0.25">
      <c r="A65" s="410">
        <v>135157</v>
      </c>
      <c r="B65" t="str">
        <f t="shared" si="3"/>
        <v>SEVROLL okrasná lišta S10 3m oliva</v>
      </c>
      <c r="C65" s="198">
        <f t="shared" si="1"/>
        <v>4.22525</v>
      </c>
      <c r="D65" s="526" t="s">
        <v>2878</v>
      </c>
      <c r="E65" s="526" t="s">
        <v>3691</v>
      </c>
      <c r="F65" s="526" t="s">
        <v>1245</v>
      </c>
      <c r="G65" s="526" t="s">
        <v>3692</v>
      </c>
      <c r="H65" s="412">
        <v>117.17144</v>
      </c>
      <c r="I65" s="411">
        <v>4.22525</v>
      </c>
      <c r="J65" s="411">
        <v>14.555400000000001</v>
      </c>
      <c r="K65" s="411">
        <v>1608.4412199999999</v>
      </c>
      <c r="L65" s="526" t="s">
        <v>553</v>
      </c>
      <c r="M65" s="409" t="s">
        <v>586</v>
      </c>
      <c r="N65" s="195">
        <v>96.0351</v>
      </c>
    </row>
    <row r="66" spans="1:14" ht="15" x14ac:dyDescent="0.25">
      <c r="A66" s="410">
        <v>270114</v>
      </c>
      <c r="B66" t="str">
        <f t="shared" si="3"/>
        <v>SEVROLL uholník 10x10mm 3m strieborná</v>
      </c>
      <c r="C66" s="198">
        <f t="shared" si="1"/>
        <v>4.1284799999999997</v>
      </c>
      <c r="D66" s="526" t="s">
        <v>3234</v>
      </c>
      <c r="E66" s="526" t="s">
        <v>3693</v>
      </c>
      <c r="F66" s="526" t="s">
        <v>3694</v>
      </c>
      <c r="G66" s="526" t="s">
        <v>3695</v>
      </c>
      <c r="H66" s="412">
        <v>114.31359999999999</v>
      </c>
      <c r="I66" s="411">
        <v>4.1284799999999997</v>
      </c>
      <c r="J66" s="411">
        <v>15.2898</v>
      </c>
      <c r="K66" s="411">
        <v>1571.6063999999999</v>
      </c>
      <c r="L66" s="526" t="s">
        <v>554</v>
      </c>
      <c r="M66" s="409" t="s">
        <v>586</v>
      </c>
      <c r="N66" s="195">
        <v>96.688400000000001</v>
      </c>
    </row>
    <row r="67" spans="1:14" ht="15" x14ac:dyDescent="0.25">
      <c r="A67" s="410">
        <v>276732</v>
      </c>
      <c r="B67" t="str">
        <f t="shared" si="3"/>
        <v>SEVROLL 04054 uholník Mini 17x11mm 2,35m biela lesk</v>
      </c>
      <c r="C67" s="198">
        <f t="shared" ref="C67:C130" si="4">IF($A$2=1,H67,IF($A$2=2,I67,IF($A$2=3,J67,IF($A$2=4,K67,"zadat jazyk"))))</f>
        <v>4.3607100000000001</v>
      </c>
      <c r="D67" s="526" t="s">
        <v>3696</v>
      </c>
      <c r="E67" s="526" t="s">
        <v>3697</v>
      </c>
      <c r="F67" s="526" t="s">
        <v>3698</v>
      </c>
      <c r="G67" s="526" t="s">
        <v>3699</v>
      </c>
      <c r="H67" s="412">
        <v>120.74374</v>
      </c>
      <c r="I67" s="411">
        <v>4.3607100000000001</v>
      </c>
      <c r="J67" s="411">
        <v>16.901399999999999</v>
      </c>
      <c r="K67" s="411">
        <v>1660.00919</v>
      </c>
      <c r="L67" s="526" t="s">
        <v>553</v>
      </c>
      <c r="M67" s="409" t="s">
        <v>586</v>
      </c>
      <c r="N67" s="195">
        <v>97.341700000000003</v>
      </c>
    </row>
    <row r="68" spans="1:14" ht="15" x14ac:dyDescent="0.25">
      <c r="A68" s="410">
        <v>349857</v>
      </c>
      <c r="B68" t="str">
        <f t="shared" si="3"/>
        <v>SEVROLL 04483 Blue-C spodné vedenie 1,5m strieborná</v>
      </c>
      <c r="C68" s="198">
        <f t="shared" si="4"/>
        <v>5.2638100000000003</v>
      </c>
      <c r="D68" s="526" t="s">
        <v>3438</v>
      </c>
      <c r="E68" s="526" t="s">
        <v>3700</v>
      </c>
      <c r="F68" s="526" t="s">
        <v>3701</v>
      </c>
      <c r="G68" s="526" t="s">
        <v>3702</v>
      </c>
      <c r="H68" s="412">
        <v>144.17699999999999</v>
      </c>
      <c r="I68" s="411">
        <v>5.2638100000000003</v>
      </c>
      <c r="J68" s="411">
        <v>21.61589</v>
      </c>
      <c r="K68" s="411">
        <v>2044.69193</v>
      </c>
      <c r="L68" s="526" t="s">
        <v>554</v>
      </c>
      <c r="M68" s="409" t="s">
        <v>586</v>
      </c>
      <c r="N68" s="195">
        <v>97.578000000000003</v>
      </c>
    </row>
    <row r="69" spans="1:14" ht="15" x14ac:dyDescent="0.25">
      <c r="A69" s="410">
        <v>89269</v>
      </c>
      <c r="B69" t="str">
        <f t="shared" si="3"/>
        <v>SEVROLL profil "U" pre DTD 18mm 3m striebor</v>
      </c>
      <c r="C69" s="198">
        <f t="shared" si="4"/>
        <v>4.7219499999999996</v>
      </c>
      <c r="D69" s="526" t="s">
        <v>2709</v>
      </c>
      <c r="E69" s="526" t="s">
        <v>3703</v>
      </c>
      <c r="F69" s="526" t="s">
        <v>1240</v>
      </c>
      <c r="G69" s="526" t="s">
        <v>3704</v>
      </c>
      <c r="H69" s="412">
        <v>130.74618000000001</v>
      </c>
      <c r="I69" s="411">
        <v>4.7219499999999996</v>
      </c>
      <c r="J69" s="411">
        <v>15.97508</v>
      </c>
      <c r="K69" s="411">
        <v>1797.52467</v>
      </c>
      <c r="L69" s="526" t="s">
        <v>553</v>
      </c>
      <c r="M69" s="409" t="s">
        <v>586</v>
      </c>
      <c r="N69" s="195">
        <v>98.648300000000006</v>
      </c>
    </row>
    <row r="70" spans="1:14" ht="15" x14ac:dyDescent="0.25">
      <c r="A70" s="410">
        <v>223326</v>
      </c>
      <c r="B70" t="str">
        <f t="shared" si="3"/>
        <v>SEVROLL úholník K2 1,7m oliva tmavá kartáčovaná</v>
      </c>
      <c r="C70" s="198">
        <f t="shared" si="4"/>
        <v>4.8509599999999997</v>
      </c>
      <c r="D70" s="526" t="s">
        <v>3062</v>
      </c>
      <c r="E70" s="526" t="s">
        <v>3705</v>
      </c>
      <c r="F70" s="526" t="s">
        <v>3706</v>
      </c>
      <c r="G70" s="526" t="s">
        <v>3707</v>
      </c>
      <c r="H70" s="412">
        <v>134.31847999999999</v>
      </c>
      <c r="I70" s="411">
        <v>4.8509599999999997</v>
      </c>
      <c r="J70" s="411">
        <v>16.4285</v>
      </c>
      <c r="K70" s="411">
        <v>1846.6373699999999</v>
      </c>
      <c r="L70" s="526" t="s">
        <v>554</v>
      </c>
      <c r="M70" s="409" t="s">
        <v>586</v>
      </c>
      <c r="N70" s="195">
        <v>98.648300000000006</v>
      </c>
    </row>
    <row r="71" spans="1:14" ht="15" x14ac:dyDescent="0.25">
      <c r="A71" s="410">
        <v>191700</v>
      </c>
      <c r="B71" t="str">
        <f t="shared" si="3"/>
        <v>SEVROLL uholník K2 Decor 1,7m oliva kartáčov</v>
      </c>
      <c r="C71" s="198">
        <f t="shared" si="4"/>
        <v>4.8509599999999997</v>
      </c>
      <c r="D71" s="526" t="s">
        <v>2962</v>
      </c>
      <c r="E71" s="526" t="s">
        <v>3708</v>
      </c>
      <c r="F71" s="526" t="s">
        <v>1222</v>
      </c>
      <c r="G71" s="526" t="s">
        <v>3709</v>
      </c>
      <c r="H71" s="412">
        <v>134.31847999999999</v>
      </c>
      <c r="I71" s="411">
        <v>4.8509599999999997</v>
      </c>
      <c r="J71" s="411">
        <v>16.4285</v>
      </c>
      <c r="K71" s="411">
        <v>1846.6373699999999</v>
      </c>
      <c r="L71" s="526" t="s">
        <v>553</v>
      </c>
      <c r="M71" s="409" t="s">
        <v>586</v>
      </c>
      <c r="N71" s="195">
        <v>98.648300000000006</v>
      </c>
    </row>
    <row r="72" spans="1:14" ht="15" x14ac:dyDescent="0.25">
      <c r="A72" s="410">
        <v>349735</v>
      </c>
      <c r="B72" t="str">
        <f t="shared" si="3"/>
        <v>SEVROLL 10219 spodný vozík Blue V bezrámový pre 18mm - 2ks</v>
      </c>
      <c r="C72" s="198">
        <f t="shared" si="4"/>
        <v>4.7800200000000004</v>
      </c>
      <c r="D72" s="526" t="s">
        <v>3412</v>
      </c>
      <c r="E72" s="526" t="s">
        <v>3710</v>
      </c>
      <c r="F72" s="526" t="s">
        <v>3711</v>
      </c>
      <c r="G72" s="526" t="s">
        <v>3712</v>
      </c>
      <c r="H72" s="412">
        <v>140.25774999999999</v>
      </c>
      <c r="I72" s="411">
        <v>4.7800200000000004</v>
      </c>
      <c r="J72" s="411">
        <v>17.35249</v>
      </c>
      <c r="K72" s="411">
        <v>1856.7607800000001</v>
      </c>
      <c r="L72" s="526" t="s">
        <v>710</v>
      </c>
      <c r="M72" s="409" t="s">
        <v>589</v>
      </c>
      <c r="N72" s="195">
        <v>99.0792</v>
      </c>
    </row>
    <row r="73" spans="1:14" ht="15" x14ac:dyDescent="0.25">
      <c r="A73" s="410">
        <v>98049</v>
      </c>
      <c r="B73" t="str">
        <f t="shared" si="3"/>
        <v>SEVROLL 00901 First horné/spodné vedenie 1,2m oliva</v>
      </c>
      <c r="C73" s="198">
        <f t="shared" si="4"/>
        <v>5.7798699999999998</v>
      </c>
      <c r="D73" s="526" t="s">
        <v>2787</v>
      </c>
      <c r="E73" s="526" t="s">
        <v>3713</v>
      </c>
      <c r="F73" s="526" t="s">
        <v>3714</v>
      </c>
      <c r="G73" s="526" t="s">
        <v>3715</v>
      </c>
      <c r="H73" s="412">
        <v>160.03904</v>
      </c>
      <c r="I73" s="411">
        <v>5.7798699999999998</v>
      </c>
      <c r="J73" s="411">
        <v>21.725999999999999</v>
      </c>
      <c r="K73" s="411">
        <v>2200.2488899999998</v>
      </c>
      <c r="L73" s="526" t="s">
        <v>554</v>
      </c>
      <c r="M73" s="409" t="s">
        <v>586</v>
      </c>
      <c r="N73" s="195">
        <v>99.301599999999993</v>
      </c>
    </row>
    <row r="74" spans="1:14" ht="15" x14ac:dyDescent="0.25">
      <c r="A74" s="410">
        <v>98032</v>
      </c>
      <c r="B74" t="str">
        <f t="shared" si="3"/>
        <v>SEVROLL 00910 First horné/spodné vedenie 1,2m strieborná</v>
      </c>
      <c r="C74" s="198">
        <f t="shared" si="4"/>
        <v>5.2122099999999998</v>
      </c>
      <c r="D74" s="526" t="s">
        <v>2782</v>
      </c>
      <c r="E74" s="526" t="s">
        <v>3716</v>
      </c>
      <c r="F74" s="526" t="s">
        <v>3717</v>
      </c>
      <c r="G74" s="526" t="s">
        <v>3718</v>
      </c>
      <c r="H74" s="412">
        <v>144.32092</v>
      </c>
      <c r="I74" s="411">
        <v>5.2122099999999998</v>
      </c>
      <c r="J74" s="411">
        <v>19.757400000000001</v>
      </c>
      <c r="K74" s="411">
        <v>1984.1532299999999</v>
      </c>
      <c r="L74" s="526" t="s">
        <v>554</v>
      </c>
      <c r="M74" s="409" t="s">
        <v>586</v>
      </c>
      <c r="N74" s="195">
        <v>99.301599999999993</v>
      </c>
    </row>
    <row r="75" spans="1:14" ht="15" x14ac:dyDescent="0.25">
      <c r="A75" s="410">
        <v>343616</v>
      </c>
      <c r="B75" t="str">
        <f t="shared" si="3"/>
        <v>SEVROLL 04320 dištančný profil 04 3m biela lesk</v>
      </c>
      <c r="C75" s="198">
        <f t="shared" si="4"/>
        <v>4.6290500000000003</v>
      </c>
      <c r="D75" s="526" t="s">
        <v>3377</v>
      </c>
      <c r="E75" s="526" t="s">
        <v>3719</v>
      </c>
      <c r="F75" s="526" t="s">
        <v>3720</v>
      </c>
      <c r="G75" s="526" t="s">
        <v>71</v>
      </c>
      <c r="H75" s="412">
        <v>128.17411999999999</v>
      </c>
      <c r="I75" s="411">
        <v>4.6290500000000003</v>
      </c>
      <c r="J75" s="411">
        <v>16.289400000000001</v>
      </c>
      <c r="K75" s="411">
        <v>1762.16363</v>
      </c>
      <c r="L75" s="526" t="s">
        <v>554</v>
      </c>
      <c r="M75" s="409" t="s">
        <v>586</v>
      </c>
      <c r="N75" s="195">
        <v>99.954899999999995</v>
      </c>
    </row>
    <row r="76" spans="1:14" ht="15" x14ac:dyDescent="0.25">
      <c r="A76" s="410">
        <v>362316</v>
      </c>
      <c r="B76" t="str">
        <f t="shared" si="3"/>
        <v>SEVROLL 10237 2x spodný vozík pre lamino 18mm bez pozicionéru bez pružiny</v>
      </c>
      <c r="C76" s="198">
        <f t="shared" si="4"/>
        <v>4.8767699999999996</v>
      </c>
      <c r="D76" s="526" t="s">
        <v>3465</v>
      </c>
      <c r="E76" s="526" t="s">
        <v>3721</v>
      </c>
      <c r="F76" s="526" t="s">
        <v>3722</v>
      </c>
      <c r="G76" s="526" t="s">
        <v>3723</v>
      </c>
      <c r="H76" s="412">
        <v>143.29034999999999</v>
      </c>
      <c r="I76" s="411">
        <v>4.8767699999999996</v>
      </c>
      <c r="J76" s="411">
        <v>18.35596</v>
      </c>
      <c r="K76" s="411">
        <v>1894.3469299999999</v>
      </c>
      <c r="L76" s="526" t="s">
        <v>710</v>
      </c>
      <c r="M76" s="409" t="s">
        <v>587</v>
      </c>
      <c r="N76" s="195">
        <v>101.9148</v>
      </c>
    </row>
    <row r="77" spans="1:14" ht="15" x14ac:dyDescent="0.25">
      <c r="A77" s="410">
        <v>179789</v>
      </c>
      <c r="B77" t="str">
        <f t="shared" si="3"/>
        <v>SEVROLL 02558 profil "U" pro lamino 10mm 3m strieborná</v>
      </c>
      <c r="C77" s="198">
        <f t="shared" si="4"/>
        <v>4.9283700000000001</v>
      </c>
      <c r="D77" s="526" t="s">
        <v>2935</v>
      </c>
      <c r="E77" s="526" t="s">
        <v>3724</v>
      </c>
      <c r="F77" s="526" t="s">
        <v>3725</v>
      </c>
      <c r="G77" s="526" t="s">
        <v>3726</v>
      </c>
      <c r="H77" s="412">
        <v>136.46186</v>
      </c>
      <c r="I77" s="411">
        <v>4.9283700000000001</v>
      </c>
      <c r="J77" s="411">
        <v>16.723199999999999</v>
      </c>
      <c r="K77" s="411">
        <v>1876.1052099999999</v>
      </c>
      <c r="L77" s="526" t="s">
        <v>554</v>
      </c>
      <c r="M77" s="409" t="s">
        <v>586</v>
      </c>
      <c r="N77" s="195">
        <v>103.2214</v>
      </c>
    </row>
    <row r="78" spans="1:14" ht="15" x14ac:dyDescent="0.25">
      <c r="A78" s="410">
        <v>318659</v>
      </c>
      <c r="B78" t="str">
        <f t="shared" si="3"/>
        <v>SEVROLL 04314 maska Elegant II 2,35m biela lesk</v>
      </c>
      <c r="C78" s="198">
        <f t="shared" si="4"/>
        <v>4.5720400000000003</v>
      </c>
      <c r="D78" s="526" t="s">
        <v>3361</v>
      </c>
      <c r="E78" s="526" t="s">
        <v>3727</v>
      </c>
      <c r="F78" s="526" t="s">
        <v>3728</v>
      </c>
      <c r="G78" s="526" t="s">
        <v>3729</v>
      </c>
      <c r="H78" s="412">
        <v>126.45941999999999</v>
      </c>
      <c r="I78" s="411">
        <v>4.5720400000000003</v>
      </c>
      <c r="J78" s="411">
        <v>16.870799999999999</v>
      </c>
      <c r="K78" s="411">
        <v>1740.45587</v>
      </c>
      <c r="L78" s="526" t="s">
        <v>553</v>
      </c>
      <c r="M78" s="409" t="s">
        <v>586</v>
      </c>
      <c r="N78" s="195">
        <v>104.52800000000001</v>
      </c>
    </row>
    <row r="79" spans="1:14" ht="15" x14ac:dyDescent="0.25">
      <c r="A79" s="410">
        <v>89054</v>
      </c>
      <c r="B79" t="str">
        <f t="shared" si="3"/>
        <v>SEVROLL uholník K2 Decor 2,35m zlatá</v>
      </c>
      <c r="C79" s="198">
        <f t="shared" si="4"/>
        <v>5.6193099999999996</v>
      </c>
      <c r="D79" s="526" t="s">
        <v>2721</v>
      </c>
      <c r="E79" s="526" t="s">
        <v>3730</v>
      </c>
      <c r="F79" s="526" t="s">
        <v>1116</v>
      </c>
      <c r="G79" s="526" t="s">
        <v>3731</v>
      </c>
      <c r="H79" s="412" t="e">
        <v>#N/A</v>
      </c>
      <c r="I79" s="411">
        <v>5.6193099999999996</v>
      </c>
      <c r="J79" s="411">
        <v>21.41564</v>
      </c>
      <c r="K79" s="411">
        <v>0</v>
      </c>
      <c r="L79" s="526" t="e">
        <v>#N/A</v>
      </c>
      <c r="M79" s="409" t="s">
        <v>586</v>
      </c>
      <c r="N79" s="195">
        <v>104.52800000000001</v>
      </c>
    </row>
    <row r="80" spans="1:14" ht="15" x14ac:dyDescent="0.25">
      <c r="A80" s="415">
        <v>308670</v>
      </c>
      <c r="B80" t="str">
        <f t="shared" si="3"/>
        <v>SEVROLL Hide M spodné vedenie 1,7m strieborná</v>
      </c>
      <c r="C80" s="198">
        <f t="shared" si="4"/>
        <v>4.9025699999999999</v>
      </c>
      <c r="D80" s="526" t="s">
        <v>3337</v>
      </c>
      <c r="E80" s="526" t="s">
        <v>3732</v>
      </c>
      <c r="F80" s="526" t="s">
        <v>3733</v>
      </c>
      <c r="G80" s="526" t="s">
        <v>3734</v>
      </c>
      <c r="H80" s="412">
        <v>129.39949999999999</v>
      </c>
      <c r="I80" s="411">
        <v>4.9025699999999999</v>
      </c>
      <c r="J80" s="411">
        <v>16.868539999999999</v>
      </c>
      <c r="K80" s="411">
        <v>1805.3653999999999</v>
      </c>
      <c r="L80" s="526" t="s">
        <v>554</v>
      </c>
      <c r="M80" s="416" t="s">
        <v>586</v>
      </c>
      <c r="N80" s="195">
        <v>104.75596</v>
      </c>
    </row>
    <row r="81" spans="1:14" ht="15" x14ac:dyDescent="0.25">
      <c r="A81" s="415">
        <v>230887</v>
      </c>
      <c r="B81" t="str">
        <f t="shared" si="3"/>
        <v>SEVROLL bočná krytka krycí profil Herkules Glas</v>
      </c>
      <c r="C81" s="198" t="e">
        <f t="shared" si="4"/>
        <v>#N/A</v>
      </c>
      <c r="D81" s="526" t="s">
        <v>3188</v>
      </c>
      <c r="E81" s="526" t="s">
        <v>3735</v>
      </c>
      <c r="F81" s="526" t="s">
        <v>3736</v>
      </c>
      <c r="G81" s="526" t="s">
        <v>3737</v>
      </c>
      <c r="H81" s="412" t="e">
        <v>#N/A</v>
      </c>
      <c r="I81" s="411" t="e">
        <v>#N/A</v>
      </c>
      <c r="J81" s="411" t="e">
        <v>#N/A</v>
      </c>
      <c r="K81" s="411" t="e">
        <v>#N/A</v>
      </c>
      <c r="L81" s="526" t="e">
        <v>#N/A</v>
      </c>
      <c r="M81" s="416" t="s">
        <v>589</v>
      </c>
      <c r="N81" s="195">
        <v>104.75596</v>
      </c>
    </row>
    <row r="82" spans="1:14" ht="15" x14ac:dyDescent="0.25">
      <c r="A82" s="410">
        <v>191013</v>
      </c>
      <c r="B82" t="str">
        <f t="shared" si="3"/>
        <v>SEVROLL 01115 Micra horné/spodné vedenie 2,35m oliva</v>
      </c>
      <c r="C82" s="198">
        <f t="shared" si="4"/>
        <v>5.4960399999999998</v>
      </c>
      <c r="D82" s="526" t="s">
        <v>2956</v>
      </c>
      <c r="E82" s="526" t="s">
        <v>3738</v>
      </c>
      <c r="F82" s="526" t="s">
        <v>3739</v>
      </c>
      <c r="G82" s="526" t="s">
        <v>3740</v>
      </c>
      <c r="H82" s="412">
        <v>152.17998</v>
      </c>
      <c r="I82" s="411">
        <v>5.4960399999999998</v>
      </c>
      <c r="J82" s="411">
        <v>18.6172</v>
      </c>
      <c r="K82" s="411">
        <v>2092.2008700000001</v>
      </c>
      <c r="L82" s="526" t="s">
        <v>554</v>
      </c>
      <c r="M82" s="409" t="s">
        <v>586</v>
      </c>
      <c r="N82" s="195">
        <v>105.18129999999999</v>
      </c>
    </row>
    <row r="83" spans="1:14" ht="15" x14ac:dyDescent="0.25">
      <c r="A83" s="410">
        <v>349858</v>
      </c>
      <c r="B83" t="str">
        <f t="shared" si="3"/>
        <v>SEVROLL 04477 Blue-C spodné vedenie 1,5m oliva</v>
      </c>
      <c r="C83" s="198">
        <f t="shared" si="4"/>
        <v>6.1669200000000002</v>
      </c>
      <c r="D83" s="526" t="s">
        <v>3439</v>
      </c>
      <c r="E83" s="526" t="s">
        <v>3741</v>
      </c>
      <c r="F83" s="526" t="s">
        <v>3742</v>
      </c>
      <c r="G83" s="526" t="s">
        <v>3743</v>
      </c>
      <c r="H83" s="412">
        <v>168.91325000000001</v>
      </c>
      <c r="I83" s="411">
        <v>6.1669200000000002</v>
      </c>
      <c r="J83" s="411">
        <v>23.991430000000001</v>
      </c>
      <c r="K83" s="411">
        <v>2395.4969299999998</v>
      </c>
      <c r="L83" s="526" t="s">
        <v>554</v>
      </c>
      <c r="M83" s="409" t="s">
        <v>586</v>
      </c>
      <c r="N83" s="195">
        <v>105.83459999999999</v>
      </c>
    </row>
    <row r="84" spans="1:14" ht="15" x14ac:dyDescent="0.25">
      <c r="A84" s="410">
        <v>210529</v>
      </c>
      <c r="B84" t="e">
        <f t="shared" si="3"/>
        <v>#N/A</v>
      </c>
      <c r="C84" s="198" t="e">
        <f t="shared" si="4"/>
        <v>#N/A</v>
      </c>
      <c r="D84" s="526" t="e">
        <v>#N/A</v>
      </c>
      <c r="E84" s="526" t="e">
        <v>#N/A</v>
      </c>
      <c r="F84" s="526" t="e">
        <v>#N/A</v>
      </c>
      <c r="G84" s="526" t="e">
        <v>#N/A</v>
      </c>
      <c r="H84" s="412" t="e">
        <v>#N/A</v>
      </c>
      <c r="I84" s="411" t="e">
        <v>#N/A</v>
      </c>
      <c r="J84" s="411" t="e">
        <v>#N/A</v>
      </c>
      <c r="K84" s="411" t="e">
        <v>#N/A</v>
      </c>
      <c r="L84" s="526" t="e">
        <v>#N/A</v>
      </c>
      <c r="M84" s="409" t="s">
        <v>586</v>
      </c>
      <c r="N84" s="195">
        <v>106.4879</v>
      </c>
    </row>
    <row r="85" spans="1:14" ht="15" x14ac:dyDescent="0.25">
      <c r="A85" s="410">
        <v>84195</v>
      </c>
      <c r="B85" t="str">
        <f t="shared" si="3"/>
        <v>SEVROLL SMART SPODNÉ VEDENIE 2,35M STRIE</v>
      </c>
      <c r="C85" s="198">
        <f t="shared" si="4"/>
        <v>5.3154199999999996</v>
      </c>
      <c r="D85" s="526" t="s">
        <v>2759</v>
      </c>
      <c r="E85" s="526" t="s">
        <v>3744</v>
      </c>
      <c r="F85" s="526" t="s">
        <v>3745</v>
      </c>
      <c r="G85" s="526" t="s">
        <v>3746</v>
      </c>
      <c r="H85" s="412">
        <v>147.17876000000001</v>
      </c>
      <c r="I85" s="411">
        <v>5.3154199999999996</v>
      </c>
      <c r="J85" s="411">
        <v>19.6554</v>
      </c>
      <c r="K85" s="411">
        <v>2023.4433100000001</v>
      </c>
      <c r="L85" s="526" t="s">
        <v>553</v>
      </c>
      <c r="M85" s="409" t="s">
        <v>586</v>
      </c>
      <c r="N85" s="195">
        <v>106.4879</v>
      </c>
    </row>
    <row r="86" spans="1:14" ht="15" x14ac:dyDescent="0.25">
      <c r="A86" s="410">
        <v>163122</v>
      </c>
      <c r="B86" t="str">
        <f t="shared" si="3"/>
        <v>SEVROLL 02864 Doubler II maska 1,7m strieborná</v>
      </c>
      <c r="C86" s="198">
        <f t="shared" si="4"/>
        <v>4.6703400000000004</v>
      </c>
      <c r="D86" s="526" t="s">
        <v>2918</v>
      </c>
      <c r="E86" s="526" t="s">
        <v>3747</v>
      </c>
      <c r="F86" s="526" t="s">
        <v>3748</v>
      </c>
      <c r="G86" s="526" t="s">
        <v>3749</v>
      </c>
      <c r="H86" s="412">
        <v>129.31726</v>
      </c>
      <c r="I86" s="411">
        <v>4.6703400000000004</v>
      </c>
      <c r="J86" s="411">
        <v>16.360800000000001</v>
      </c>
      <c r="K86" s="411">
        <v>1777.8798099999999</v>
      </c>
      <c r="L86" s="526" t="s">
        <v>554</v>
      </c>
      <c r="M86" s="409" t="s">
        <v>586</v>
      </c>
      <c r="N86" s="195">
        <v>107.7945</v>
      </c>
    </row>
    <row r="87" spans="1:14" ht="15" x14ac:dyDescent="0.25">
      <c r="A87" s="410">
        <v>89139</v>
      </c>
      <c r="B87" t="str">
        <f t="shared" si="3"/>
        <v>SEVROLL 00905 uholník Mini 17x11mm 3m oliva</v>
      </c>
      <c r="C87" s="198">
        <f t="shared" si="4"/>
        <v>5.35276</v>
      </c>
      <c r="D87" s="526" t="s">
        <v>3750</v>
      </c>
      <c r="E87" s="526" t="s">
        <v>3751</v>
      </c>
      <c r="F87" s="526" t="s">
        <v>3752</v>
      </c>
      <c r="G87" s="526" t="s">
        <v>3753</v>
      </c>
      <c r="H87" s="412">
        <v>147.89322000000001</v>
      </c>
      <c r="I87" s="411">
        <v>5.35276</v>
      </c>
      <c r="J87" s="411">
        <v>18.217759999999998</v>
      </c>
      <c r="K87" s="411">
        <v>2037.65672</v>
      </c>
      <c r="L87" s="526" t="s">
        <v>553</v>
      </c>
      <c r="M87" s="409" t="s">
        <v>586</v>
      </c>
      <c r="N87" s="195">
        <v>108.4478</v>
      </c>
    </row>
    <row r="88" spans="1:14" ht="15" x14ac:dyDescent="0.25">
      <c r="A88" s="410">
        <v>89138</v>
      </c>
      <c r="B88" t="str">
        <f t="shared" si="3"/>
        <v>SEVROLL uholník Mini 17x11mm 3m zlatá</v>
      </c>
      <c r="C88" s="198">
        <f t="shared" si="4"/>
        <v>5.35276</v>
      </c>
      <c r="D88" s="526" t="s">
        <v>3754</v>
      </c>
      <c r="E88" s="526" t="s">
        <v>3755</v>
      </c>
      <c r="F88" s="526" t="s">
        <v>3756</v>
      </c>
      <c r="G88" s="526" t="s">
        <v>3757</v>
      </c>
      <c r="H88" s="412">
        <v>147.89322000000001</v>
      </c>
      <c r="I88" s="411">
        <v>5.35276</v>
      </c>
      <c r="J88" s="411">
        <v>18.217759999999998</v>
      </c>
      <c r="K88" s="411">
        <v>2037.65672</v>
      </c>
      <c r="L88" s="526" t="s">
        <v>554</v>
      </c>
      <c r="M88" s="409" t="s">
        <v>586</v>
      </c>
      <c r="N88" s="195">
        <v>108.4478</v>
      </c>
    </row>
    <row r="89" spans="1:14" ht="15" x14ac:dyDescent="0.25">
      <c r="A89" s="410">
        <v>89055</v>
      </c>
      <c r="B89" t="str">
        <f t="shared" si="3"/>
        <v>SEVROLL 00070 uholník K2 Decor 2,35m oliva</v>
      </c>
      <c r="C89" s="198">
        <f t="shared" si="4"/>
        <v>5.90245</v>
      </c>
      <c r="D89" s="526" t="s">
        <v>2722</v>
      </c>
      <c r="E89" s="526" t="s">
        <v>3758</v>
      </c>
      <c r="F89" s="526" t="s">
        <v>3759</v>
      </c>
      <c r="G89" s="526" t="s">
        <v>2722</v>
      </c>
      <c r="H89" s="412">
        <v>163.61134000000001</v>
      </c>
      <c r="I89" s="411">
        <v>5.90245</v>
      </c>
      <c r="J89" s="411">
        <v>19.917400000000001</v>
      </c>
      <c r="K89" s="411">
        <v>2246.9063200000001</v>
      </c>
      <c r="L89" s="526" t="s">
        <v>553</v>
      </c>
      <c r="M89" s="409" t="s">
        <v>586</v>
      </c>
      <c r="N89" s="195">
        <v>109.7544</v>
      </c>
    </row>
    <row r="90" spans="1:14" ht="15" x14ac:dyDescent="0.25">
      <c r="A90" s="410">
        <v>89053</v>
      </c>
      <c r="B90" t="str">
        <f t="shared" si="3"/>
        <v>SEVROLL 00079 uholník K2 Decor 2,35m strieborná</v>
      </c>
      <c r="C90" s="198">
        <f t="shared" si="4"/>
        <v>4.7219499999999996</v>
      </c>
      <c r="D90" s="526" t="s">
        <v>2720</v>
      </c>
      <c r="E90" s="526" t="s">
        <v>3760</v>
      </c>
      <c r="F90" s="526" t="s">
        <v>3761</v>
      </c>
      <c r="G90" s="526" t="s">
        <v>2720</v>
      </c>
      <c r="H90" s="412">
        <v>130.74618000000001</v>
      </c>
      <c r="I90" s="411">
        <v>4.7219499999999996</v>
      </c>
      <c r="J90" s="411">
        <v>16.666799999999999</v>
      </c>
      <c r="K90" s="411">
        <v>1797.52467</v>
      </c>
      <c r="L90" s="526" t="s">
        <v>553</v>
      </c>
      <c r="M90" s="409" t="s">
        <v>586</v>
      </c>
      <c r="N90" s="195">
        <v>109.7544</v>
      </c>
    </row>
    <row r="91" spans="1:14" ht="15" x14ac:dyDescent="0.25">
      <c r="A91" s="410">
        <v>180415</v>
      </c>
      <c r="B91" t="str">
        <f t="shared" si="3"/>
        <v>SEVROLL 02812 Maxim II maska 1,8m strieborná</v>
      </c>
      <c r="C91" s="198">
        <f t="shared" si="4"/>
        <v>4.9245299999999999</v>
      </c>
      <c r="D91" s="526" t="s">
        <v>2942</v>
      </c>
      <c r="E91" s="526" t="s">
        <v>3762</v>
      </c>
      <c r="F91" s="526" t="s">
        <v>3763</v>
      </c>
      <c r="G91" s="526" t="s">
        <v>3764</v>
      </c>
      <c r="H91" s="412" t="e">
        <v>#N/A</v>
      </c>
      <c r="I91" s="411">
        <v>4.9245299999999999</v>
      </c>
      <c r="J91" s="411">
        <v>17.615400000000001</v>
      </c>
      <c r="K91" s="411">
        <v>1894.05</v>
      </c>
      <c r="L91" s="526" t="e">
        <v>#N/A</v>
      </c>
      <c r="M91" s="409" t="s">
        <v>586</v>
      </c>
      <c r="N91" s="195">
        <v>110.40770000000001</v>
      </c>
    </row>
    <row r="92" spans="1:14" ht="15" x14ac:dyDescent="0.25">
      <c r="A92" s="410">
        <v>89151</v>
      </c>
      <c r="B92" t="str">
        <f t="shared" si="3"/>
        <v>SEVROLL Micra hor/spod.vedenie 2,35m str.elo</v>
      </c>
      <c r="C92" s="198">
        <f t="shared" si="4"/>
        <v>4.6187399999999998</v>
      </c>
      <c r="D92" s="526" t="s">
        <v>2675</v>
      </c>
      <c r="E92" s="526" t="s">
        <v>3765</v>
      </c>
      <c r="F92" s="526" t="s">
        <v>1250</v>
      </c>
      <c r="G92" s="526" t="s">
        <v>3766</v>
      </c>
      <c r="H92" s="412">
        <v>127.88834</v>
      </c>
      <c r="I92" s="411">
        <v>4.6187399999999998</v>
      </c>
      <c r="J92" s="411">
        <v>16.1568</v>
      </c>
      <c r="K92" s="411">
        <v>1758.23459</v>
      </c>
      <c r="L92" s="526" t="s">
        <v>553</v>
      </c>
      <c r="M92" s="409" t="s">
        <v>586</v>
      </c>
      <c r="N92" s="195">
        <v>110.40770000000001</v>
      </c>
    </row>
    <row r="93" spans="1:14" ht="15" x14ac:dyDescent="0.25">
      <c r="A93" s="410">
        <v>213167</v>
      </c>
      <c r="B93" t="str">
        <f t="shared" si="3"/>
        <v>SEVROLL obojstranná lepiaca páska 50mm 10</v>
      </c>
      <c r="C93" s="198">
        <f t="shared" si="4"/>
        <v>4.9025699999999999</v>
      </c>
      <c r="D93" s="526" t="s">
        <v>3022</v>
      </c>
      <c r="E93" s="526" t="s">
        <v>3767</v>
      </c>
      <c r="F93" s="526" t="s">
        <v>1146</v>
      </c>
      <c r="G93" s="526" t="s">
        <v>3768</v>
      </c>
      <c r="H93" s="412">
        <v>144.04849999999999</v>
      </c>
      <c r="I93" s="411">
        <v>4.9025699999999999</v>
      </c>
      <c r="J93" s="411">
        <v>16.541799999999999</v>
      </c>
      <c r="K93" s="411">
        <v>1904.37</v>
      </c>
      <c r="L93" s="526" t="s">
        <v>554</v>
      </c>
      <c r="M93" s="409" t="s">
        <v>586</v>
      </c>
      <c r="N93" s="195">
        <v>111.06100000000001</v>
      </c>
    </row>
    <row r="94" spans="1:14" ht="15" x14ac:dyDescent="0.25">
      <c r="A94" s="410">
        <v>163129</v>
      </c>
      <c r="B94" t="str">
        <f t="shared" si="3"/>
        <v>SEVROLL 02859 Doubler II maska 1,7m oliva</v>
      </c>
      <c r="C94" s="198">
        <f t="shared" si="4"/>
        <v>5.6508599999999998</v>
      </c>
      <c r="D94" s="526" t="s">
        <v>2922</v>
      </c>
      <c r="E94" s="526" t="s">
        <v>3769</v>
      </c>
      <c r="F94" s="526" t="s">
        <v>2922</v>
      </c>
      <c r="G94" s="526" t="s">
        <v>3770</v>
      </c>
      <c r="H94" s="412">
        <v>156.46673999999999</v>
      </c>
      <c r="I94" s="411">
        <v>5.6508599999999998</v>
      </c>
      <c r="J94" s="411">
        <v>19.040400000000002</v>
      </c>
      <c r="K94" s="411">
        <v>2151.1361900000002</v>
      </c>
      <c r="L94" s="526" t="s">
        <v>554</v>
      </c>
      <c r="M94" s="409" t="s">
        <v>586</v>
      </c>
      <c r="N94" s="195">
        <v>112.3676</v>
      </c>
    </row>
    <row r="95" spans="1:14" ht="15" x14ac:dyDescent="0.25">
      <c r="A95" s="410">
        <v>224016</v>
      </c>
      <c r="B95" t="str">
        <f t="shared" si="3"/>
        <v>SEVROLL Simple spodné vedenie 1,5m strieborn</v>
      </c>
      <c r="C95" s="198">
        <f t="shared" si="4"/>
        <v>6.5023600000000004</v>
      </c>
      <c r="D95" s="526" t="s">
        <v>3112</v>
      </c>
      <c r="E95" s="526" t="s">
        <v>3771</v>
      </c>
      <c r="F95" s="526" t="s">
        <v>1072</v>
      </c>
      <c r="G95" s="526" t="s">
        <v>3772</v>
      </c>
      <c r="H95" s="412">
        <v>150.12</v>
      </c>
      <c r="I95" s="411">
        <v>6.5023600000000004</v>
      </c>
      <c r="J95" s="411">
        <v>21.998480000000001</v>
      </c>
      <c r="K95" s="411">
        <v>2500.9061700000002</v>
      </c>
      <c r="L95" s="526" t="s">
        <v>555</v>
      </c>
      <c r="M95" s="409" t="s">
        <v>586</v>
      </c>
      <c r="N95" s="195">
        <v>114.0912</v>
      </c>
    </row>
    <row r="96" spans="1:14" ht="15" x14ac:dyDescent="0.25">
      <c r="A96" s="410">
        <v>228198</v>
      </c>
      <c r="B96" t="str">
        <f t="shared" si="3"/>
        <v>SEVROLL profil "U" DTD 16mm 3m str</v>
      </c>
      <c r="C96" s="198">
        <f t="shared" si="4"/>
        <v>5.9863</v>
      </c>
      <c r="D96" s="526" t="s">
        <v>3172</v>
      </c>
      <c r="E96" s="526" t="s">
        <v>3773</v>
      </c>
      <c r="F96" s="526" t="s">
        <v>1133</v>
      </c>
      <c r="G96" s="526" t="s">
        <v>3774</v>
      </c>
      <c r="H96" s="412">
        <v>165.75471999999999</v>
      </c>
      <c r="I96" s="411">
        <v>5.9863</v>
      </c>
      <c r="J96" s="411">
        <v>20.7774</v>
      </c>
      <c r="K96" s="411">
        <v>2278.8294299999998</v>
      </c>
      <c r="L96" s="526" t="s">
        <v>554</v>
      </c>
      <c r="M96" s="409" t="s">
        <v>586</v>
      </c>
      <c r="N96" s="195">
        <v>114.9808</v>
      </c>
    </row>
    <row r="97" spans="1:14" ht="15" x14ac:dyDescent="0.25">
      <c r="A97" s="410">
        <v>276731</v>
      </c>
      <c r="B97" t="str">
        <f t="shared" si="3"/>
        <v>SEVROLL 04066 uholník Mini 17x11mm 3m biela mat</v>
      </c>
      <c r="C97" s="198">
        <f t="shared" si="4"/>
        <v>5.5734500000000002</v>
      </c>
      <c r="D97" s="526" t="s">
        <v>3775</v>
      </c>
      <c r="E97" s="526" t="s">
        <v>3776</v>
      </c>
      <c r="F97" s="526" t="s">
        <v>3777</v>
      </c>
      <c r="G97" s="526" t="s">
        <v>3778</v>
      </c>
      <c r="H97" s="412">
        <v>154.32336000000001</v>
      </c>
      <c r="I97" s="411">
        <v>5.5734500000000002</v>
      </c>
      <c r="J97" s="411">
        <v>21.583200000000001</v>
      </c>
      <c r="K97" s="411">
        <v>2121.6687099999999</v>
      </c>
      <c r="L97" s="526" t="s">
        <v>553</v>
      </c>
      <c r="M97" s="409" t="s">
        <v>586</v>
      </c>
      <c r="N97" s="195">
        <v>117.59399999999999</v>
      </c>
    </row>
    <row r="98" spans="1:14" ht="15" x14ac:dyDescent="0.25">
      <c r="A98" s="410">
        <v>345405</v>
      </c>
      <c r="B98" t="str">
        <f>IF($A$2=1,D98,IF($A$2=2,F98,IF($A$2=3,G91,IF($A$2=4,E98,"zadat jazyk"))))</f>
        <v>SEVROLL 04359 maska Elegant II 2,35 oliva tmavá kartáčovaná</v>
      </c>
      <c r="C98" s="198">
        <f t="shared" si="4"/>
        <v>6.3475400000000004</v>
      </c>
      <c r="D98" s="526" t="s">
        <v>3382</v>
      </c>
      <c r="E98" s="526" t="s">
        <v>3779</v>
      </c>
      <c r="F98" s="526" t="s">
        <v>3780</v>
      </c>
      <c r="G98" s="526" t="s">
        <v>3781</v>
      </c>
      <c r="H98" s="412">
        <v>175.75716</v>
      </c>
      <c r="I98" s="411">
        <v>6.3475400000000004</v>
      </c>
      <c r="J98" s="411">
        <v>21.423999999999999</v>
      </c>
      <c r="K98" s="411">
        <v>2416.3449099999998</v>
      </c>
      <c r="L98" s="526" t="s">
        <v>554</v>
      </c>
      <c r="M98" s="409" t="s">
        <v>586</v>
      </c>
      <c r="N98" s="195">
        <v>118.9006</v>
      </c>
    </row>
    <row r="99" spans="1:14" ht="15" x14ac:dyDescent="0.25">
      <c r="A99" s="410">
        <v>229440</v>
      </c>
      <c r="B99" t="str">
        <f>IF($A$2=1,D99,IF($A$2=2,F99,IF($A$2=3,G99,IF($A$2=4,E99,"zadat jazyk"))))</f>
        <v>SEVROLL 10198 spodný vozík WD 18C HI-TEC - 2ks</v>
      </c>
      <c r="C99" s="198">
        <f t="shared" si="4"/>
        <v>5.1863999999999999</v>
      </c>
      <c r="D99" s="526" t="s">
        <v>3180</v>
      </c>
      <c r="E99" s="526" t="s">
        <v>3782</v>
      </c>
      <c r="F99" s="526" t="s">
        <v>3783</v>
      </c>
      <c r="G99" s="526" t="s">
        <v>3784</v>
      </c>
      <c r="H99" s="412">
        <v>152.38815</v>
      </c>
      <c r="I99" s="411">
        <v>5.1863999999999999</v>
      </c>
      <c r="J99" s="411">
        <v>17.546399999999998</v>
      </c>
      <c r="K99" s="411">
        <v>2014.6230800000001</v>
      </c>
      <c r="L99" s="526" t="s">
        <v>553</v>
      </c>
      <c r="M99" s="409" t="s">
        <v>587</v>
      </c>
      <c r="N99" s="195">
        <v>118.9006</v>
      </c>
    </row>
    <row r="100" spans="1:14" ht="15" x14ac:dyDescent="0.25">
      <c r="A100" s="410">
        <v>89268</v>
      </c>
      <c r="B100" t="str">
        <f>IF($A$2=1,D100,IF($A$2=2,F100,IF($A$2=3,G100,IF($A$2=4,E100,"zadat jazyk"))))</f>
        <v>SEVROLL 161 U PROFna DTD 18mm-3m, OLIVA</v>
      </c>
      <c r="C100" s="198">
        <f t="shared" si="4"/>
        <v>5.90245</v>
      </c>
      <c r="D100" s="526" t="s">
        <v>2713</v>
      </c>
      <c r="E100" s="526" t="s">
        <v>3785</v>
      </c>
      <c r="F100" s="526" t="s">
        <v>3786</v>
      </c>
      <c r="G100" s="526" t="s">
        <v>3787</v>
      </c>
      <c r="H100" s="412">
        <v>163.61134000000001</v>
      </c>
      <c r="I100" s="411">
        <v>5.90245</v>
      </c>
      <c r="J100" s="411">
        <v>19.968910000000001</v>
      </c>
      <c r="K100" s="411">
        <v>2246.9063200000001</v>
      </c>
      <c r="L100" s="526" t="s">
        <v>553</v>
      </c>
      <c r="M100" s="409" t="s">
        <v>586</v>
      </c>
      <c r="N100" s="195">
        <v>119.5539</v>
      </c>
    </row>
    <row r="101" spans="1:14" ht="15" x14ac:dyDescent="0.25">
      <c r="A101" s="410">
        <v>89267</v>
      </c>
      <c r="B101" t="str">
        <f>IF($A$2=1,D101,IF($A$2=2,F101,IF($A$2=3,G101,IF($A$2=4,E101,"zadat jazyk"))))</f>
        <v>SEVROLL profil "U" pre lamino 18mm 3m zlatá</v>
      </c>
      <c r="C101" s="198">
        <f t="shared" si="4"/>
        <v>5.90245</v>
      </c>
      <c r="D101" s="526" t="s">
        <v>2714</v>
      </c>
      <c r="E101" s="526" t="s">
        <v>3788</v>
      </c>
      <c r="F101" s="526" t="s">
        <v>3789</v>
      </c>
      <c r="G101" s="526" t="s">
        <v>3790</v>
      </c>
      <c r="H101" s="412">
        <v>163.61134000000001</v>
      </c>
      <c r="I101" s="411">
        <v>5.90245</v>
      </c>
      <c r="J101" s="411">
        <v>19.968910000000001</v>
      </c>
      <c r="K101" s="411">
        <v>2246.9063200000001</v>
      </c>
      <c r="L101" s="526" t="s">
        <v>554</v>
      </c>
      <c r="M101" s="409" t="s">
        <v>586</v>
      </c>
      <c r="N101" s="195">
        <v>119.5539</v>
      </c>
    </row>
    <row r="102" spans="1:14" ht="15" x14ac:dyDescent="0.25">
      <c r="A102" s="410">
        <v>89095</v>
      </c>
      <c r="B102" t="str">
        <f>IF($A$2=1,D102,IF($A$2=2,F102,IF($A$2=3,G102,IF($A$2=4,E102,"zadat jazyk"))))</f>
        <v>SEVROLL 00483 Focus 16mm úchytová lišta 2,7m strieborná</v>
      </c>
      <c r="C102" s="198">
        <f t="shared" si="4"/>
        <v>6.70878</v>
      </c>
      <c r="D102" s="526" t="s">
        <v>2701</v>
      </c>
      <c r="E102" s="526" t="s">
        <v>3791</v>
      </c>
      <c r="F102" s="526" t="s">
        <v>3792</v>
      </c>
      <c r="G102" s="526" t="s">
        <v>3793</v>
      </c>
      <c r="H102" s="412">
        <v>185.75960000000001</v>
      </c>
      <c r="I102" s="411">
        <v>6.70878</v>
      </c>
      <c r="J102" s="411">
        <v>22.696860000000001</v>
      </c>
      <c r="K102" s="411">
        <v>2553.8604</v>
      </c>
      <c r="L102" s="526" t="s">
        <v>554</v>
      </c>
      <c r="M102" s="409" t="s">
        <v>586</v>
      </c>
      <c r="N102" s="195">
        <v>124.127</v>
      </c>
    </row>
    <row r="103" spans="1:14" ht="15" x14ac:dyDescent="0.25">
      <c r="A103" s="410">
        <v>345407</v>
      </c>
      <c r="B103" t="str">
        <f>IF($A$2=1,D103,IF($A$2=2,F103,IF($A$2=3,G103,IF($A$2=4,E103,"zadat jazyk"))))</f>
        <v>SEVROLL 04354 maska Elegant II 2,35m čierna  kartáčovaná</v>
      </c>
      <c r="C103" s="198">
        <f t="shared" si="4"/>
        <v>6.3475400000000004</v>
      </c>
      <c r="D103" s="526" t="s">
        <v>3383</v>
      </c>
      <c r="E103" s="526" t="s">
        <v>3794</v>
      </c>
      <c r="F103" s="526" t="s">
        <v>3795</v>
      </c>
      <c r="G103" s="526" t="s">
        <v>3796</v>
      </c>
      <c r="H103" s="412">
        <v>175.75716</v>
      </c>
      <c r="I103" s="411">
        <v>6.3475400000000004</v>
      </c>
      <c r="J103" s="411">
        <v>21.423999999999999</v>
      </c>
      <c r="K103" s="411">
        <v>2416.3449099999998</v>
      </c>
      <c r="L103" s="526" t="s">
        <v>553</v>
      </c>
      <c r="M103" s="409" t="s">
        <v>586</v>
      </c>
      <c r="N103" s="195">
        <v>124.7803</v>
      </c>
    </row>
    <row r="104" spans="1:14" ht="15" x14ac:dyDescent="0.25">
      <c r="A104" s="410">
        <v>345404</v>
      </c>
      <c r="B104" t="str">
        <f>IF($A$2=1,D104,IF($A$2=2,F104,IF($A$2=3,G97,IF($A$2=4,E104,"zadat jazyk"))))</f>
        <v>SEVROLL 04349-Y maska Elegant II 2,35m oliva kartáčovaná</v>
      </c>
      <c r="C104" s="198">
        <f t="shared" si="4"/>
        <v>6.3475400000000004</v>
      </c>
      <c r="D104" s="526" t="s">
        <v>3381</v>
      </c>
      <c r="E104" s="526" t="s">
        <v>3797</v>
      </c>
      <c r="F104" s="526" t="s">
        <v>3381</v>
      </c>
      <c r="G104" s="526" t="s">
        <v>3798</v>
      </c>
      <c r="H104" s="412">
        <v>175.75716</v>
      </c>
      <c r="I104" s="411">
        <v>6.3475400000000004</v>
      </c>
      <c r="J104" s="411">
        <v>21.423999999999999</v>
      </c>
      <c r="K104" s="411">
        <v>2416.3449099999998</v>
      </c>
      <c r="L104" s="526" t="s">
        <v>553</v>
      </c>
      <c r="M104" s="409" t="s">
        <v>586</v>
      </c>
      <c r="N104" s="195">
        <v>124.7803</v>
      </c>
    </row>
    <row r="105" spans="1:14" ht="15" x14ac:dyDescent="0.25">
      <c r="A105" s="410">
        <v>212613</v>
      </c>
      <c r="B105" t="str">
        <f t="shared" ref="B105:B168" si="5">IF($A$2=1,D105,IF($A$2=2,F105,IF($A$2=3,G105,IF($A$2=4,E105,"zadat jazyk"))))</f>
        <v>SEVROLL 20208 koncovka k lište Hide N strieborná</v>
      </c>
      <c r="C105" s="198">
        <f t="shared" si="4"/>
        <v>5.3412199999999999</v>
      </c>
      <c r="D105" s="526" t="s">
        <v>3014</v>
      </c>
      <c r="E105" s="526" t="s">
        <v>3799</v>
      </c>
      <c r="F105" s="526" t="s">
        <v>3800</v>
      </c>
      <c r="G105" s="526" t="s">
        <v>3801</v>
      </c>
      <c r="H105" s="412">
        <v>147.89322000000001</v>
      </c>
      <c r="I105" s="411">
        <v>5.3412199999999999</v>
      </c>
      <c r="J105" s="411">
        <v>18.059999999999999</v>
      </c>
      <c r="K105" s="411">
        <v>2033.26593</v>
      </c>
      <c r="L105" s="526" t="s">
        <v>553</v>
      </c>
      <c r="M105" s="409" t="s">
        <v>589</v>
      </c>
      <c r="N105" s="195">
        <v>126.7402</v>
      </c>
    </row>
    <row r="106" spans="1:14" ht="15" x14ac:dyDescent="0.25">
      <c r="A106" s="410">
        <v>224146</v>
      </c>
      <c r="B106" t="str">
        <f t="shared" si="5"/>
        <v>SEVROLL horná vodiaca lišta Simple/Blue 1,5m( pre lamino 10mm)strieborná</v>
      </c>
      <c r="C106" s="198">
        <f t="shared" si="4"/>
        <v>5.9604900000000001</v>
      </c>
      <c r="D106" s="526" t="s">
        <v>3137</v>
      </c>
      <c r="E106" s="526" t="s">
        <v>3802</v>
      </c>
      <c r="F106" s="526" t="s">
        <v>3803</v>
      </c>
      <c r="G106" s="526" t="s">
        <v>3804</v>
      </c>
      <c r="H106" s="412">
        <v>163.25925000000001</v>
      </c>
      <c r="I106" s="411">
        <v>5.9604900000000001</v>
      </c>
      <c r="J106" s="411">
        <v>22.79579</v>
      </c>
      <c r="K106" s="411">
        <v>2315.3130799999999</v>
      </c>
      <c r="L106" s="526" t="s">
        <v>554</v>
      </c>
      <c r="M106" s="409" t="s">
        <v>586</v>
      </c>
      <c r="N106" s="195">
        <v>126.8514</v>
      </c>
    </row>
    <row r="107" spans="1:14" ht="15" x14ac:dyDescent="0.25">
      <c r="A107" s="410">
        <v>224123</v>
      </c>
      <c r="B107" t="str">
        <f t="shared" si="5"/>
        <v>SEVROLL Simple spodné vedenie 1,5m oliva</v>
      </c>
      <c r="C107" s="198" t="e">
        <f t="shared" si="4"/>
        <v>#N/A</v>
      </c>
      <c r="D107" s="526" t="s">
        <v>3122</v>
      </c>
      <c r="E107" s="526" t="s">
        <v>3805</v>
      </c>
      <c r="F107" s="526" t="s">
        <v>3806</v>
      </c>
      <c r="G107" s="526" t="s">
        <v>3807</v>
      </c>
      <c r="H107" s="412" t="e">
        <v>#N/A</v>
      </c>
      <c r="I107" s="411" t="e">
        <v>#N/A</v>
      </c>
      <c r="J107" s="411" t="e">
        <v>#N/A</v>
      </c>
      <c r="K107" s="411" t="e">
        <v>#N/A</v>
      </c>
      <c r="L107" s="526" t="e">
        <v>#N/A</v>
      </c>
      <c r="M107" s="409" t="s">
        <v>586</v>
      </c>
      <c r="N107" s="195">
        <v>126.8514</v>
      </c>
    </row>
    <row r="108" spans="1:14" ht="15" x14ac:dyDescent="0.25">
      <c r="A108" s="410">
        <v>273035</v>
      </c>
      <c r="B108" t="str">
        <f t="shared" si="5"/>
        <v>SEVROLL uholník 10x18mm 3m strieborná</v>
      </c>
      <c r="C108" s="198">
        <f t="shared" si="4"/>
        <v>5.6508599999999998</v>
      </c>
      <c r="D108" s="526" t="s">
        <v>3235</v>
      </c>
      <c r="E108" s="526" t="s">
        <v>3808</v>
      </c>
      <c r="F108" s="526" t="s">
        <v>3809</v>
      </c>
      <c r="G108" s="526" t="s">
        <v>3810</v>
      </c>
      <c r="H108" s="412">
        <v>156.46673999999999</v>
      </c>
      <c r="I108" s="411">
        <v>5.6508599999999998</v>
      </c>
      <c r="J108" s="411">
        <v>21.012</v>
      </c>
      <c r="K108" s="411">
        <v>2151.1361900000002</v>
      </c>
      <c r="L108" s="526" t="s">
        <v>554</v>
      </c>
      <c r="M108" s="409" t="s">
        <v>586</v>
      </c>
      <c r="N108" s="195">
        <v>127.3935</v>
      </c>
    </row>
    <row r="109" spans="1:14" ht="15" x14ac:dyDescent="0.25">
      <c r="A109" s="410">
        <v>349726</v>
      </c>
      <c r="B109" t="str">
        <f t="shared" si="5"/>
        <v>SEVROLL 04484 Blue-C spodné vedenie 2m strieborná</v>
      </c>
      <c r="C109" s="198">
        <f t="shared" si="4"/>
        <v>6.8894000000000002</v>
      </c>
      <c r="D109" s="526" t="s">
        <v>3408</v>
      </c>
      <c r="E109" s="526" t="s">
        <v>3811</v>
      </c>
      <c r="F109" s="526" t="s">
        <v>3812</v>
      </c>
      <c r="G109" s="526" t="s">
        <v>3813</v>
      </c>
      <c r="H109" s="412">
        <v>188.70224999999999</v>
      </c>
      <c r="I109" s="411">
        <v>6.8894000000000002</v>
      </c>
      <c r="J109" s="411">
        <v>28.207630000000002</v>
      </c>
      <c r="K109" s="411">
        <v>2676.1411499999999</v>
      </c>
      <c r="L109" s="526" t="s">
        <v>554</v>
      </c>
      <c r="M109" s="409" t="s">
        <v>586</v>
      </c>
      <c r="N109" s="195">
        <v>127.602</v>
      </c>
    </row>
    <row r="110" spans="1:14" ht="15" x14ac:dyDescent="0.25">
      <c r="A110" s="410">
        <v>349810</v>
      </c>
      <c r="B110" t="str">
        <f t="shared" si="5"/>
        <v>SEVROLL 04495 Blue-V spodné vedenie 1,5m strieborná</v>
      </c>
      <c r="C110" s="198">
        <f t="shared" si="4"/>
        <v>5.9992000000000001</v>
      </c>
      <c r="D110" s="526" t="s">
        <v>3427</v>
      </c>
      <c r="E110" s="526" t="s">
        <v>3814</v>
      </c>
      <c r="F110" s="526" t="s">
        <v>3815</v>
      </c>
      <c r="G110" s="526" t="s">
        <v>3816</v>
      </c>
      <c r="H110" s="412">
        <v>164.67275000000001</v>
      </c>
      <c r="I110" s="411">
        <v>5.9992000000000001</v>
      </c>
      <c r="J110" s="411">
        <v>25.674769999999999</v>
      </c>
      <c r="K110" s="411">
        <v>2330.3476999999998</v>
      </c>
      <c r="L110" s="526" t="s">
        <v>554</v>
      </c>
      <c r="M110" s="409" t="s">
        <v>586</v>
      </c>
      <c r="N110" s="195">
        <v>128.3526</v>
      </c>
    </row>
    <row r="111" spans="1:14" ht="15" x14ac:dyDescent="0.25">
      <c r="A111" s="410">
        <v>89103</v>
      </c>
      <c r="B111" t="str">
        <f t="shared" si="5"/>
        <v>SEVROLL Focus 18mm úch.lišta 2,7m strieborná</v>
      </c>
      <c r="C111" s="198">
        <f t="shared" si="4"/>
        <v>6.70878</v>
      </c>
      <c r="D111" s="526" t="s">
        <v>2653</v>
      </c>
      <c r="E111" s="526" t="s">
        <v>3817</v>
      </c>
      <c r="F111" s="526" t="s">
        <v>1277</v>
      </c>
      <c r="G111" s="526" t="s">
        <v>3818</v>
      </c>
      <c r="H111" s="412">
        <v>185.75960000000001</v>
      </c>
      <c r="I111" s="411">
        <v>6.70878</v>
      </c>
      <c r="J111" s="411">
        <v>22.696860000000001</v>
      </c>
      <c r="K111" s="411">
        <v>2553.8604</v>
      </c>
      <c r="L111" s="526" t="s">
        <v>553</v>
      </c>
      <c r="M111" s="409" t="s">
        <v>586</v>
      </c>
      <c r="N111" s="195">
        <v>130.66</v>
      </c>
    </row>
    <row r="112" spans="1:14" ht="15" x14ac:dyDescent="0.25">
      <c r="A112" s="410">
        <v>223393</v>
      </c>
      <c r="B112" t="str">
        <f t="shared" si="5"/>
        <v>SEVROLL uholník K2 2,35m čierna kartáčovaná</v>
      </c>
      <c r="C112" s="198">
        <f t="shared" si="4"/>
        <v>6.70878</v>
      </c>
      <c r="D112" s="526" t="s">
        <v>3071</v>
      </c>
      <c r="E112" s="526" t="s">
        <v>3819</v>
      </c>
      <c r="F112" s="526" t="s">
        <v>3820</v>
      </c>
      <c r="G112" s="526" t="s">
        <v>3821</v>
      </c>
      <c r="H112" s="412">
        <v>185.75960000000001</v>
      </c>
      <c r="I112" s="411">
        <v>6.70878</v>
      </c>
      <c r="J112" s="411">
        <v>22.690899999999999</v>
      </c>
      <c r="K112" s="411">
        <v>2553.8604</v>
      </c>
      <c r="L112" s="526" t="s">
        <v>553</v>
      </c>
      <c r="M112" s="409" t="s">
        <v>586</v>
      </c>
      <c r="N112" s="195">
        <v>130.66</v>
      </c>
    </row>
    <row r="113" spans="1:14" ht="15" x14ac:dyDescent="0.25">
      <c r="A113" s="410">
        <v>223330</v>
      </c>
      <c r="B113" t="str">
        <f t="shared" si="5"/>
        <v>SEVROLL uholník K2 2,35m oliva tmavá kartáčovaná</v>
      </c>
      <c r="C113" s="198">
        <f t="shared" si="4"/>
        <v>6.70878</v>
      </c>
      <c r="D113" s="526" t="s">
        <v>3063</v>
      </c>
      <c r="E113" s="526" t="s">
        <v>3822</v>
      </c>
      <c r="F113" s="526" t="s">
        <v>3823</v>
      </c>
      <c r="G113" s="526" t="s">
        <v>3824</v>
      </c>
      <c r="H113" s="412">
        <v>185.75960000000001</v>
      </c>
      <c r="I113" s="411">
        <v>6.70878</v>
      </c>
      <c r="J113" s="411">
        <v>22.690899999999999</v>
      </c>
      <c r="K113" s="411">
        <v>2553.8604</v>
      </c>
      <c r="L113" s="526" t="s">
        <v>554</v>
      </c>
      <c r="M113" s="409" t="s">
        <v>586</v>
      </c>
      <c r="N113" s="195">
        <v>130.66</v>
      </c>
    </row>
    <row r="114" spans="1:14" ht="15" x14ac:dyDescent="0.25">
      <c r="A114" s="410">
        <v>360760</v>
      </c>
      <c r="B114" t="str">
        <f t="shared" si="5"/>
        <v>SEVROLL 04153 profil "U" pre lamino 18mm 3m biela lesk</v>
      </c>
      <c r="C114" s="198">
        <f t="shared" si="4"/>
        <v>6.1411100000000003</v>
      </c>
      <c r="D114" s="526" t="s">
        <v>3463</v>
      </c>
      <c r="E114" s="526" t="s">
        <v>3825</v>
      </c>
      <c r="F114" s="526" t="s">
        <v>3826</v>
      </c>
      <c r="G114" s="526" t="s">
        <v>3827</v>
      </c>
      <c r="H114" s="412">
        <v>170.04148000000001</v>
      </c>
      <c r="I114" s="411">
        <v>6.1411100000000003</v>
      </c>
      <c r="J114" s="411">
        <v>27.009599999999999</v>
      </c>
      <c r="K114" s="411">
        <v>2337.7643699999999</v>
      </c>
      <c r="L114" s="526" t="s">
        <v>554</v>
      </c>
      <c r="M114" s="409" t="s">
        <v>586</v>
      </c>
      <c r="N114" s="195">
        <v>131.9666</v>
      </c>
    </row>
    <row r="115" spans="1:14" ht="15" x14ac:dyDescent="0.25">
      <c r="A115" s="410">
        <v>228201</v>
      </c>
      <c r="B115" t="str">
        <f t="shared" si="5"/>
        <v>SEVROLL Beta 16 úchytová lišta 2,70m striebo</v>
      </c>
      <c r="C115" s="198">
        <f t="shared" si="4"/>
        <v>7.79251</v>
      </c>
      <c r="D115" s="526" t="s">
        <v>3173</v>
      </c>
      <c r="E115" s="526" t="s">
        <v>3828</v>
      </c>
      <c r="F115" s="526" t="s">
        <v>1214</v>
      </c>
      <c r="G115" s="526" t="s">
        <v>3829</v>
      </c>
      <c r="H115" s="412">
        <v>215.76692</v>
      </c>
      <c r="I115" s="411">
        <v>7.79251</v>
      </c>
      <c r="J115" s="411">
        <v>29.4984</v>
      </c>
      <c r="K115" s="411">
        <v>2966.4072299999998</v>
      </c>
      <c r="L115" s="526" t="s">
        <v>554</v>
      </c>
      <c r="M115" s="409" t="s">
        <v>586</v>
      </c>
      <c r="N115" s="195">
        <v>133.2732</v>
      </c>
    </row>
    <row r="116" spans="1:14" ht="15" x14ac:dyDescent="0.25">
      <c r="A116" s="410">
        <v>245814</v>
      </c>
      <c r="B116" t="str">
        <f t="shared" si="5"/>
        <v>SEVROLL Focus II 16mm úch.lišta 2,7m strieborná</v>
      </c>
      <c r="C116" s="198">
        <f t="shared" si="4"/>
        <v>8.2311599999999991</v>
      </c>
      <c r="D116" s="526" t="s">
        <v>3208</v>
      </c>
      <c r="E116" s="526" t="s">
        <v>3830</v>
      </c>
      <c r="F116" s="526" t="s">
        <v>1084</v>
      </c>
      <c r="G116" s="526" t="s">
        <v>3831</v>
      </c>
      <c r="H116" s="412">
        <v>227.91274000000001</v>
      </c>
      <c r="I116" s="411">
        <v>8.2311599999999991</v>
      </c>
      <c r="J116" s="411">
        <v>28.1919</v>
      </c>
      <c r="K116" s="411">
        <v>3133.3901900000001</v>
      </c>
      <c r="L116" s="526" t="s">
        <v>554</v>
      </c>
      <c r="M116" s="409" t="s">
        <v>586</v>
      </c>
      <c r="N116" s="195">
        <v>133.2732</v>
      </c>
    </row>
    <row r="117" spans="1:14" ht="15" x14ac:dyDescent="0.25">
      <c r="A117" s="410">
        <v>345413</v>
      </c>
      <c r="B117" t="str">
        <f t="shared" si="5"/>
        <v>SEVROLL 04315 maska Elegant II 3m biela lesk</v>
      </c>
      <c r="C117" s="198">
        <f t="shared" si="4"/>
        <v>5.8366499999999997</v>
      </c>
      <c r="D117" s="526" t="s">
        <v>3389</v>
      </c>
      <c r="E117" s="526" t="s">
        <v>3832</v>
      </c>
      <c r="F117" s="526" t="s">
        <v>3833</v>
      </c>
      <c r="G117" s="526" t="s">
        <v>3834</v>
      </c>
      <c r="H117" s="412">
        <v>161.61085</v>
      </c>
      <c r="I117" s="411">
        <v>5.8366499999999997</v>
      </c>
      <c r="J117" s="411">
        <v>21.542400000000001</v>
      </c>
      <c r="K117" s="411">
        <v>2221.8586500000001</v>
      </c>
      <c r="L117" s="526" t="s">
        <v>553</v>
      </c>
      <c r="M117" s="409" t="s">
        <v>586</v>
      </c>
      <c r="N117" s="195">
        <v>133.2732</v>
      </c>
    </row>
    <row r="118" spans="1:14" ht="15" x14ac:dyDescent="0.25">
      <c r="A118" s="410">
        <v>349812</v>
      </c>
      <c r="B118" t="str">
        <f t="shared" si="5"/>
        <v>SEVROLL 04489 Blue-V spodné vedenie 1,5m oliva</v>
      </c>
      <c r="C118" s="198">
        <f t="shared" si="4"/>
        <v>7.49899</v>
      </c>
      <c r="D118" s="526" t="s">
        <v>3429</v>
      </c>
      <c r="E118" s="526" t="s">
        <v>3835</v>
      </c>
      <c r="F118" s="526" t="s">
        <v>3836</v>
      </c>
      <c r="G118" s="526" t="s">
        <v>3837</v>
      </c>
      <c r="H118" s="412">
        <v>205.66425000000001</v>
      </c>
      <c r="I118" s="411">
        <v>7.49899</v>
      </c>
      <c r="J118" s="411">
        <v>28.695329999999998</v>
      </c>
      <c r="K118" s="411">
        <v>2912.9346300000002</v>
      </c>
      <c r="L118" s="526" t="s">
        <v>554</v>
      </c>
      <c r="M118" s="409" t="s">
        <v>586</v>
      </c>
      <c r="N118" s="195">
        <v>133.60679999999999</v>
      </c>
    </row>
    <row r="119" spans="1:14" ht="15" x14ac:dyDescent="0.25">
      <c r="A119" s="410">
        <v>191701</v>
      </c>
      <c r="B119" t="str">
        <f t="shared" si="5"/>
        <v>SEVROLL uholník K2 Decor 2,35m oliva kartáč.</v>
      </c>
      <c r="C119" s="198">
        <f t="shared" si="4"/>
        <v>6.70878</v>
      </c>
      <c r="D119" s="526" t="s">
        <v>2963</v>
      </c>
      <c r="E119" s="526" t="s">
        <v>3838</v>
      </c>
      <c r="F119" s="526" t="s">
        <v>1221</v>
      </c>
      <c r="G119" s="526" t="s">
        <v>3839</v>
      </c>
      <c r="H119" s="412">
        <v>185.75960000000001</v>
      </c>
      <c r="I119" s="411">
        <v>6.70878</v>
      </c>
      <c r="J119" s="411">
        <v>22.690899999999999</v>
      </c>
      <c r="K119" s="411">
        <v>2553.8604</v>
      </c>
      <c r="L119" s="526" t="s">
        <v>553</v>
      </c>
      <c r="M119" s="409" t="s">
        <v>586</v>
      </c>
      <c r="N119" s="195">
        <v>137.19300000000001</v>
      </c>
    </row>
    <row r="120" spans="1:14" ht="15" x14ac:dyDescent="0.25">
      <c r="A120" s="410">
        <v>130612</v>
      </c>
      <c r="B120" t="str">
        <f t="shared" si="5"/>
        <v>SEVROLL 00691 spojovacia lišta T04 3m strieborná</v>
      </c>
      <c r="C120" s="198">
        <f t="shared" si="4"/>
        <v>7.1216299999999997</v>
      </c>
      <c r="D120" s="526" t="s">
        <v>2860</v>
      </c>
      <c r="E120" s="526" t="s">
        <v>3840</v>
      </c>
      <c r="F120" s="526" t="s">
        <v>3841</v>
      </c>
      <c r="G120" s="526" t="s">
        <v>3842</v>
      </c>
      <c r="H120" s="412">
        <v>197.19095999999999</v>
      </c>
      <c r="I120" s="411">
        <v>7.1216299999999997</v>
      </c>
      <c r="J120" s="411">
        <v>24.019600000000001</v>
      </c>
      <c r="K120" s="411">
        <v>2711.0211100000001</v>
      </c>
      <c r="L120" s="526" t="s">
        <v>554</v>
      </c>
      <c r="M120" s="409" t="s">
        <v>586</v>
      </c>
      <c r="N120" s="195">
        <v>138.49959999999999</v>
      </c>
    </row>
    <row r="121" spans="1:14" ht="15" x14ac:dyDescent="0.25">
      <c r="A121" s="410">
        <v>349859</v>
      </c>
      <c r="B121" t="str">
        <f t="shared" si="5"/>
        <v>SEVROLL 04478 Blue-C spodné vedenie 2m oliva</v>
      </c>
      <c r="C121" s="198">
        <f t="shared" si="4"/>
        <v>8.1021400000000003</v>
      </c>
      <c r="D121" s="526" t="s">
        <v>3440</v>
      </c>
      <c r="E121" s="526" t="s">
        <v>3843</v>
      </c>
      <c r="F121" s="526" t="s">
        <v>3844</v>
      </c>
      <c r="G121" s="526" t="s">
        <v>3845</v>
      </c>
      <c r="H121" s="412">
        <v>221.9195</v>
      </c>
      <c r="I121" s="411">
        <v>8.1021400000000003</v>
      </c>
      <c r="J121" s="411">
        <v>31.33832</v>
      </c>
      <c r="K121" s="411">
        <v>3147.2219300000002</v>
      </c>
      <c r="L121" s="526" t="s">
        <v>554</v>
      </c>
      <c r="M121" s="409" t="s">
        <v>586</v>
      </c>
      <c r="N121" s="195">
        <v>139.61160000000001</v>
      </c>
    </row>
    <row r="122" spans="1:14" ht="15" x14ac:dyDescent="0.25">
      <c r="A122" s="410">
        <v>213977</v>
      </c>
      <c r="B122" t="str">
        <f t="shared" si="5"/>
        <v>SEVROLL 04611 Beta 18 úchytová lišta 2,70m strieborná</v>
      </c>
      <c r="C122" s="198">
        <f t="shared" si="4"/>
        <v>7.5899099999999997</v>
      </c>
      <c r="D122" s="526" t="s">
        <v>3028</v>
      </c>
      <c r="E122" s="526" t="s">
        <v>3846</v>
      </c>
      <c r="F122" s="526" t="s">
        <v>3847</v>
      </c>
      <c r="G122" s="526" t="s">
        <v>3848</v>
      </c>
      <c r="H122" s="412">
        <v>210.05124000000001</v>
      </c>
      <c r="I122" s="411">
        <v>7.5899099999999997</v>
      </c>
      <c r="J122" s="411">
        <v>29.4984</v>
      </c>
      <c r="K122" s="411">
        <v>2889.2804700000002</v>
      </c>
      <c r="L122" s="526" t="s">
        <v>553</v>
      </c>
      <c r="M122" s="409" t="s">
        <v>586</v>
      </c>
      <c r="N122" s="195">
        <v>139.80619999999999</v>
      </c>
    </row>
    <row r="123" spans="1:14" ht="15" x14ac:dyDescent="0.25">
      <c r="A123" s="410">
        <v>89058</v>
      </c>
      <c r="B123" t="str">
        <f t="shared" si="5"/>
        <v>SEVROLL 00071 uholník K2 Decor 3m oliva</v>
      </c>
      <c r="C123" s="198">
        <f t="shared" si="4"/>
        <v>7.5086700000000004</v>
      </c>
      <c r="D123" s="526" t="s">
        <v>2724</v>
      </c>
      <c r="E123" s="526" t="s">
        <v>3849</v>
      </c>
      <c r="F123" s="526" t="s">
        <v>3850</v>
      </c>
      <c r="G123" s="526" t="s">
        <v>2724</v>
      </c>
      <c r="H123" s="412">
        <v>207.90786</v>
      </c>
      <c r="I123" s="411">
        <v>7.5086700000000004</v>
      </c>
      <c r="J123" s="411">
        <v>25.418800000000001</v>
      </c>
      <c r="K123" s="411">
        <v>2858.3592100000001</v>
      </c>
      <c r="L123" s="526" t="s">
        <v>553</v>
      </c>
      <c r="M123" s="409" t="s">
        <v>586</v>
      </c>
      <c r="N123" s="195">
        <v>139.80619999999999</v>
      </c>
    </row>
    <row r="124" spans="1:14" ht="15" x14ac:dyDescent="0.25">
      <c r="A124" s="410">
        <v>89056</v>
      </c>
      <c r="B124" t="str">
        <f t="shared" si="5"/>
        <v>SEVROLL 00080 uholník K2 Decor 3m strieborná</v>
      </c>
      <c r="C124" s="198">
        <f t="shared" si="4"/>
        <v>6.0378999999999996</v>
      </c>
      <c r="D124" s="526" t="s">
        <v>2723</v>
      </c>
      <c r="E124" s="526" t="s">
        <v>3851</v>
      </c>
      <c r="F124" s="526" t="s">
        <v>3852</v>
      </c>
      <c r="G124" s="526" t="s">
        <v>2723</v>
      </c>
      <c r="H124" s="412">
        <v>167.18364</v>
      </c>
      <c r="I124" s="411">
        <v>6.0378999999999996</v>
      </c>
      <c r="J124" s="411">
        <v>21.266999999999999</v>
      </c>
      <c r="K124" s="411">
        <v>2298.4742900000001</v>
      </c>
      <c r="L124" s="526" t="s">
        <v>553</v>
      </c>
      <c r="M124" s="409" t="s">
        <v>586</v>
      </c>
      <c r="N124" s="195">
        <v>139.80619999999999</v>
      </c>
    </row>
    <row r="125" spans="1:14" ht="15" x14ac:dyDescent="0.25">
      <c r="A125" s="410">
        <v>245815</v>
      </c>
      <c r="B125" t="str">
        <f t="shared" si="5"/>
        <v>SEVROLL 04572 Focus II 18mm úchytová lišta 2,7m strieborná</v>
      </c>
      <c r="C125" s="198">
        <f t="shared" si="4"/>
        <v>8.2311599999999991</v>
      </c>
      <c r="D125" s="526" t="s">
        <v>3209</v>
      </c>
      <c r="E125" s="526" t="s">
        <v>3853</v>
      </c>
      <c r="F125" s="526" t="s">
        <v>3854</v>
      </c>
      <c r="G125" s="526" t="s">
        <v>3855</v>
      </c>
      <c r="H125" s="412">
        <v>227.91274000000001</v>
      </c>
      <c r="I125" s="411">
        <v>8.2311599999999991</v>
      </c>
      <c r="J125" s="411">
        <v>28.1919</v>
      </c>
      <c r="K125" s="411">
        <v>3133.3901900000001</v>
      </c>
      <c r="L125" s="526" t="s">
        <v>553</v>
      </c>
      <c r="M125" s="409" t="s">
        <v>586</v>
      </c>
      <c r="N125" s="195">
        <v>141.11279999999999</v>
      </c>
    </row>
    <row r="126" spans="1:14" ht="15" x14ac:dyDescent="0.25">
      <c r="A126" s="410">
        <v>89152</v>
      </c>
      <c r="B126" t="str">
        <f t="shared" si="5"/>
        <v>SEVROLL Micra horné/spod.vedenie 3m str.elox</v>
      </c>
      <c r="C126" s="198">
        <f t="shared" si="4"/>
        <v>5.8830799999999996</v>
      </c>
      <c r="D126" s="526" t="s">
        <v>2676</v>
      </c>
      <c r="E126" s="526" t="s">
        <v>3856</v>
      </c>
      <c r="F126" s="526" t="s">
        <v>1249</v>
      </c>
      <c r="G126" s="526" t="s">
        <v>3857</v>
      </c>
      <c r="H126" s="412">
        <v>162.89688000000001</v>
      </c>
      <c r="I126" s="411">
        <v>5.8830799999999996</v>
      </c>
      <c r="J126" s="411">
        <v>20.6448</v>
      </c>
      <c r="K126" s="411">
        <v>2239.5389700000001</v>
      </c>
      <c r="L126" s="526" t="s">
        <v>553</v>
      </c>
      <c r="M126" s="409" t="s">
        <v>586</v>
      </c>
      <c r="N126" s="195">
        <v>141.11279999999999</v>
      </c>
    </row>
    <row r="127" spans="1:14" ht="15" x14ac:dyDescent="0.25">
      <c r="A127" s="410">
        <v>89277</v>
      </c>
      <c r="B127" t="str">
        <f t="shared" si="5"/>
        <v>SEVROLL 00024 profil "U" Decor pre lamino 16mm 3m strieborný</v>
      </c>
      <c r="C127" s="198" t="e">
        <f t="shared" si="4"/>
        <v>#N/A</v>
      </c>
      <c r="D127" s="526" t="s">
        <v>2712</v>
      </c>
      <c r="E127" s="526" t="s">
        <v>3858</v>
      </c>
      <c r="F127" s="526" t="s">
        <v>3859</v>
      </c>
      <c r="G127" s="526" t="s">
        <v>3860</v>
      </c>
      <c r="H127" s="412" t="e">
        <v>#N/A</v>
      </c>
      <c r="I127" s="411" t="e">
        <v>#N/A</v>
      </c>
      <c r="J127" s="411" t="e">
        <v>#N/A</v>
      </c>
      <c r="K127" s="411" t="e">
        <v>#N/A</v>
      </c>
      <c r="L127" s="526" t="e">
        <v>#N/A</v>
      </c>
      <c r="M127" s="409" t="s">
        <v>586</v>
      </c>
      <c r="N127" s="195">
        <v>141.76609999999999</v>
      </c>
    </row>
    <row r="128" spans="1:14" ht="15" x14ac:dyDescent="0.25">
      <c r="A128" s="410">
        <v>134300</v>
      </c>
      <c r="B128" t="str">
        <f t="shared" si="5"/>
        <v>SEVROLL okrasná lišta S20 3m strieborná</v>
      </c>
      <c r="C128" s="198">
        <f t="shared" si="4"/>
        <v>6.1669200000000002</v>
      </c>
      <c r="D128" s="526" t="s">
        <v>2864</v>
      </c>
      <c r="E128" s="526" t="s">
        <v>3861</v>
      </c>
      <c r="F128" s="526" t="s">
        <v>1242</v>
      </c>
      <c r="G128" s="526" t="s">
        <v>3862</v>
      </c>
      <c r="H128" s="412">
        <v>170.75594000000001</v>
      </c>
      <c r="I128" s="411">
        <v>6.1669200000000002</v>
      </c>
      <c r="J128" s="411">
        <v>21.725999999999999</v>
      </c>
      <c r="K128" s="411">
        <v>2347.5869899999998</v>
      </c>
      <c r="L128" s="526" t="s">
        <v>553</v>
      </c>
      <c r="M128" s="409" t="s">
        <v>586</v>
      </c>
      <c r="N128" s="195">
        <v>142.4194</v>
      </c>
    </row>
    <row r="129" spans="1:14" ht="15" x14ac:dyDescent="0.25">
      <c r="A129" s="415">
        <v>252423</v>
      </c>
      <c r="B129" t="str">
        <f t="shared" si="5"/>
        <v>SEVROLL Hide N spodné vedenie 1,7m strieborná</v>
      </c>
      <c r="C129" s="198">
        <f t="shared" si="4"/>
        <v>7.1500199999999996</v>
      </c>
      <c r="D129" s="526" t="s">
        <v>3215</v>
      </c>
      <c r="E129" s="526" t="s">
        <v>3863</v>
      </c>
      <c r="F129" s="526" t="s">
        <v>3864</v>
      </c>
      <c r="G129" s="526" t="s">
        <v>3865</v>
      </c>
      <c r="H129" s="412">
        <v>188.65084999999999</v>
      </c>
      <c r="I129" s="411">
        <v>7.1500199999999996</v>
      </c>
      <c r="J129" s="411">
        <v>24.60145</v>
      </c>
      <c r="K129" s="411">
        <v>2632.9846299999999</v>
      </c>
      <c r="L129" s="526" t="s">
        <v>554</v>
      </c>
      <c r="M129" s="416" t="s">
        <v>586</v>
      </c>
      <c r="N129" s="195">
        <v>144.51274000000001</v>
      </c>
    </row>
    <row r="130" spans="1:14" ht="15" x14ac:dyDescent="0.25">
      <c r="A130" s="415">
        <v>308671</v>
      </c>
      <c r="B130" t="str">
        <f t="shared" si="5"/>
        <v>SEVROLL 01979 Hide M spodné vedenie 2,35m strieborná</v>
      </c>
      <c r="C130" s="198">
        <f t="shared" si="4"/>
        <v>6.7861900000000004</v>
      </c>
      <c r="D130" s="526" t="s">
        <v>3338</v>
      </c>
      <c r="E130" s="526" t="s">
        <v>3866</v>
      </c>
      <c r="F130" s="526" t="s">
        <v>3867</v>
      </c>
      <c r="G130" s="526" t="s">
        <v>3868</v>
      </c>
      <c r="H130" s="412">
        <v>179.11615</v>
      </c>
      <c r="I130" s="411">
        <v>6.7861900000000004</v>
      </c>
      <c r="J130" s="411">
        <v>23.349630000000001</v>
      </c>
      <c r="K130" s="411">
        <v>2499.0057700000002</v>
      </c>
      <c r="L130" s="526" t="s">
        <v>554</v>
      </c>
      <c r="M130" s="416" t="s">
        <v>586</v>
      </c>
      <c r="N130" s="195">
        <v>145.1438</v>
      </c>
    </row>
    <row r="131" spans="1:14" ht="15" x14ac:dyDescent="0.25">
      <c r="A131" s="410">
        <v>89093</v>
      </c>
      <c r="B131" t="str">
        <f t="shared" si="5"/>
        <v>SEVROLL 00482 Focus 16mm úchytová lišta 2,7m oliva</v>
      </c>
      <c r="C131" s="198">
        <f t="shared" ref="C131:C194" si="6">IF($A$2=1,H131,IF($A$2=2,I131,IF($A$2=3,J131,IF($A$2=4,K131,"zadat jazyk"))))</f>
        <v>8.38598</v>
      </c>
      <c r="D131" s="526" t="s">
        <v>2700</v>
      </c>
      <c r="E131" s="526" t="s">
        <v>3869</v>
      </c>
      <c r="F131" s="526" t="s">
        <v>2700</v>
      </c>
      <c r="G131" s="526" t="s">
        <v>3870</v>
      </c>
      <c r="H131" s="412">
        <v>232.1995</v>
      </c>
      <c r="I131" s="411">
        <v>8.38598</v>
      </c>
      <c r="J131" s="411">
        <v>28.37106</v>
      </c>
      <c r="K131" s="411">
        <v>3192.3254999999999</v>
      </c>
      <c r="L131" s="526" t="s">
        <v>554</v>
      </c>
      <c r="M131" s="409" t="s">
        <v>586</v>
      </c>
      <c r="N131" s="195">
        <v>146.99250000000001</v>
      </c>
    </row>
    <row r="132" spans="1:14" ht="15" x14ac:dyDescent="0.25">
      <c r="A132" s="410">
        <v>163123</v>
      </c>
      <c r="B132" t="str">
        <f t="shared" si="5"/>
        <v>SEVROLL Doubler II maska 2,35m stieborná</v>
      </c>
      <c r="C132" s="198">
        <f t="shared" si="6"/>
        <v>6.4249499999999999</v>
      </c>
      <c r="D132" s="526" t="s">
        <v>2919</v>
      </c>
      <c r="E132" s="526" t="s">
        <v>3871</v>
      </c>
      <c r="F132" s="526" t="s">
        <v>1282</v>
      </c>
      <c r="G132" s="526" t="s">
        <v>3872</v>
      </c>
      <c r="H132" s="412">
        <v>177.90054000000001</v>
      </c>
      <c r="I132" s="411">
        <v>6.4249499999999999</v>
      </c>
      <c r="J132" s="411">
        <v>22.593</v>
      </c>
      <c r="K132" s="411">
        <v>2445.8123900000001</v>
      </c>
      <c r="L132" s="526" t="s">
        <v>553</v>
      </c>
      <c r="M132" s="409" t="s">
        <v>586</v>
      </c>
      <c r="N132" s="195">
        <v>148.29910000000001</v>
      </c>
    </row>
    <row r="133" spans="1:14" ht="15" x14ac:dyDescent="0.25">
      <c r="A133" s="410">
        <v>89016</v>
      </c>
      <c r="B133" t="str">
        <f t="shared" si="5"/>
        <v>SEVROL 00036L profil "U" Decor 18mm 3m strieborná</v>
      </c>
      <c r="C133" s="198">
        <f t="shared" si="6"/>
        <v>7.0700200000000004</v>
      </c>
      <c r="D133" s="526" t="s">
        <v>2730</v>
      </c>
      <c r="E133" s="526" t="s">
        <v>3873</v>
      </c>
      <c r="F133" s="526" t="s">
        <v>3874</v>
      </c>
      <c r="G133" s="526" t="s">
        <v>2730</v>
      </c>
      <c r="H133" s="412">
        <v>195.76204000000001</v>
      </c>
      <c r="I133" s="411">
        <v>7.0700200000000004</v>
      </c>
      <c r="J133" s="411">
        <v>23.813600000000001</v>
      </c>
      <c r="K133" s="411">
        <v>2691.3758899999998</v>
      </c>
      <c r="L133" s="526" t="s">
        <v>553</v>
      </c>
      <c r="M133" s="409" t="s">
        <v>586</v>
      </c>
      <c r="N133" s="195">
        <v>148.95240000000001</v>
      </c>
    </row>
    <row r="134" spans="1:14" ht="15" x14ac:dyDescent="0.25">
      <c r="A134" s="410">
        <v>229441</v>
      </c>
      <c r="B134" t="str">
        <f t="shared" si="5"/>
        <v>SEVROLL 10200 spodný vozík WD 10C HI-TEC - 2ks</v>
      </c>
      <c r="C134" s="198">
        <f t="shared" si="6"/>
        <v>6.5952500000000001</v>
      </c>
      <c r="D134" s="526" t="s">
        <v>3181</v>
      </c>
      <c r="E134" s="526" t="s">
        <v>3875</v>
      </c>
      <c r="F134" s="526" t="s">
        <v>3876</v>
      </c>
      <c r="G134" s="526" t="s">
        <v>3877</v>
      </c>
      <c r="H134" s="412">
        <v>194.0864</v>
      </c>
      <c r="I134" s="411">
        <v>6.5952500000000001</v>
      </c>
      <c r="J134" s="411">
        <v>26.3874</v>
      </c>
      <c r="K134" s="411">
        <v>2561.8788500000001</v>
      </c>
      <c r="L134" s="526" t="s">
        <v>553</v>
      </c>
      <c r="M134" s="409" t="s">
        <v>587</v>
      </c>
      <c r="N134" s="195">
        <v>149.60570000000001</v>
      </c>
    </row>
    <row r="135" spans="1:14" ht="15" x14ac:dyDescent="0.25">
      <c r="A135" s="410">
        <v>162316</v>
      </c>
      <c r="B135" t="str">
        <f t="shared" si="5"/>
        <v>SEVROLL 00902 First horné/spodné vedenie 1,8m oliva</v>
      </c>
      <c r="C135" s="198">
        <f t="shared" si="6"/>
        <v>8.6852900000000002</v>
      </c>
      <c r="D135" s="526" t="s">
        <v>2906</v>
      </c>
      <c r="E135" s="526" t="s">
        <v>3878</v>
      </c>
      <c r="F135" s="526" t="s">
        <v>3879</v>
      </c>
      <c r="G135" s="526" t="s">
        <v>3880</v>
      </c>
      <c r="H135" s="412">
        <v>240.48724000000001</v>
      </c>
      <c r="I135" s="411">
        <v>8.6852900000000002</v>
      </c>
      <c r="J135" s="411">
        <v>32.609400000000001</v>
      </c>
      <c r="K135" s="411">
        <v>3306.2670899999998</v>
      </c>
      <c r="L135" s="526" t="s">
        <v>554</v>
      </c>
      <c r="M135" s="409" t="s">
        <v>586</v>
      </c>
      <c r="N135" s="195">
        <v>150.25899999999999</v>
      </c>
    </row>
    <row r="136" spans="1:14" ht="15" x14ac:dyDescent="0.25">
      <c r="A136" s="410">
        <v>89019</v>
      </c>
      <c r="B136" t="str">
        <f t="shared" si="5"/>
        <v>SEVROLL 00911 First horné/spodné vedenie 1,8m strieborná</v>
      </c>
      <c r="C136" s="198">
        <f t="shared" si="6"/>
        <v>7.8699199999999996</v>
      </c>
      <c r="D136" s="526" t="s">
        <v>2749</v>
      </c>
      <c r="E136" s="526" t="s">
        <v>3881</v>
      </c>
      <c r="F136" s="526" t="s">
        <v>3882</v>
      </c>
      <c r="G136" s="526" t="s">
        <v>3883</v>
      </c>
      <c r="H136" s="412">
        <v>217.91030000000001</v>
      </c>
      <c r="I136" s="411">
        <v>7.8699199999999996</v>
      </c>
      <c r="J136" s="411">
        <v>29.631</v>
      </c>
      <c r="K136" s="411">
        <v>2995.8746999999998</v>
      </c>
      <c r="L136" s="526" t="s">
        <v>554</v>
      </c>
      <c r="M136" s="409" t="s">
        <v>586</v>
      </c>
      <c r="N136" s="195">
        <v>150.25899999999999</v>
      </c>
    </row>
    <row r="137" spans="1:14" ht="15" x14ac:dyDescent="0.25">
      <c r="A137" s="410">
        <v>224017</v>
      </c>
      <c r="B137" t="str">
        <f t="shared" si="5"/>
        <v>SEVROLL Simple spodné vedenie 2m strieborná</v>
      </c>
      <c r="C137" s="198">
        <f t="shared" si="6"/>
        <v>7.6118899999999998</v>
      </c>
      <c r="D137" s="526" t="s">
        <v>3113</v>
      </c>
      <c r="E137" s="526" t="s">
        <v>3884</v>
      </c>
      <c r="F137" s="526" t="s">
        <v>3885</v>
      </c>
      <c r="G137" s="526" t="s">
        <v>3886</v>
      </c>
      <c r="H137" s="412">
        <v>208.49125000000001</v>
      </c>
      <c r="I137" s="411">
        <v>7.6118899999999998</v>
      </c>
      <c r="J137" s="411">
        <v>27.562619999999999</v>
      </c>
      <c r="K137" s="411">
        <v>2956.7849999999999</v>
      </c>
      <c r="L137" s="526" t="s">
        <v>554</v>
      </c>
      <c r="M137" s="409" t="s">
        <v>586</v>
      </c>
      <c r="N137" s="195">
        <v>153.1224</v>
      </c>
    </row>
    <row r="138" spans="1:14" ht="15" x14ac:dyDescent="0.25">
      <c r="A138" s="410">
        <v>98092</v>
      </c>
      <c r="B138" t="str">
        <f t="shared" si="5"/>
        <v>SEVROLL 10203 Comfort horný vozík 18mm - 2ks</v>
      </c>
      <c r="C138" s="198">
        <f t="shared" si="6"/>
        <v>7.1525999999999996</v>
      </c>
      <c r="D138" s="526" t="s">
        <v>2812</v>
      </c>
      <c r="E138" s="526" t="s">
        <v>3887</v>
      </c>
      <c r="F138" s="526" t="s">
        <v>3888</v>
      </c>
      <c r="G138" s="526" t="s">
        <v>3889</v>
      </c>
      <c r="H138" s="412">
        <v>210.00755000000001</v>
      </c>
      <c r="I138" s="411">
        <v>7.1525999999999996</v>
      </c>
      <c r="J138" s="411">
        <v>25.245000000000001</v>
      </c>
      <c r="K138" s="411">
        <v>2778.3757799999998</v>
      </c>
      <c r="L138" s="526" t="s">
        <v>553</v>
      </c>
      <c r="M138" s="409" t="s">
        <v>587</v>
      </c>
      <c r="N138" s="195">
        <v>155.4854</v>
      </c>
    </row>
    <row r="139" spans="1:14" ht="15" x14ac:dyDescent="0.25">
      <c r="A139" s="410">
        <v>163131</v>
      </c>
      <c r="B139" t="str">
        <f t="shared" si="5"/>
        <v>SEVROLL 02860 Doubler II maska 2,35m oliva</v>
      </c>
      <c r="C139" s="198">
        <f t="shared" si="6"/>
        <v>7.8183100000000003</v>
      </c>
      <c r="D139" s="526" t="s">
        <v>2923</v>
      </c>
      <c r="E139" s="526" t="s">
        <v>3890</v>
      </c>
      <c r="F139" s="526" t="s">
        <v>2923</v>
      </c>
      <c r="G139" s="526" t="s">
        <v>3891</v>
      </c>
      <c r="H139" s="412">
        <v>216.48138</v>
      </c>
      <c r="I139" s="411">
        <v>7.8183100000000003</v>
      </c>
      <c r="J139" s="411">
        <v>26.563300000000002</v>
      </c>
      <c r="K139" s="411">
        <v>2976.2294700000002</v>
      </c>
      <c r="L139" s="526" t="s">
        <v>554</v>
      </c>
      <c r="M139" s="409" t="s">
        <v>586</v>
      </c>
      <c r="N139" s="195">
        <v>155.4854</v>
      </c>
    </row>
    <row r="140" spans="1:14" ht="15" x14ac:dyDescent="0.25">
      <c r="A140" s="410">
        <v>98048</v>
      </c>
      <c r="B140" t="str">
        <f t="shared" si="5"/>
        <v>SEVROLL 10209 Future horný vozík 10mm L+P</v>
      </c>
      <c r="C140" s="198">
        <f t="shared" si="6"/>
        <v>6.8506999999999998</v>
      </c>
      <c r="D140" s="526" t="s">
        <v>2786</v>
      </c>
      <c r="E140" s="526" t="s">
        <v>3892</v>
      </c>
      <c r="F140" s="526" t="s">
        <v>3893</v>
      </c>
      <c r="G140" s="526" t="s">
        <v>3894</v>
      </c>
      <c r="H140" s="412">
        <v>201.6679</v>
      </c>
      <c r="I140" s="411">
        <v>6.8506999999999998</v>
      </c>
      <c r="J140" s="411">
        <v>25.245000000000001</v>
      </c>
      <c r="K140" s="411">
        <v>2661.10655</v>
      </c>
      <c r="L140" s="526" t="s">
        <v>553</v>
      </c>
      <c r="M140" s="409" t="s">
        <v>587</v>
      </c>
      <c r="N140" s="195">
        <v>155.4854</v>
      </c>
    </row>
    <row r="141" spans="1:14" ht="15" x14ac:dyDescent="0.25">
      <c r="A141" s="410">
        <v>89251</v>
      </c>
      <c r="B141" t="str">
        <f t="shared" si="5"/>
        <v>SEVROLL - horná vodiaca lišta 1,7m zlatá</v>
      </c>
      <c r="C141" s="198">
        <f t="shared" si="6"/>
        <v>9.54711</v>
      </c>
      <c r="D141" s="526" t="s">
        <v>2702</v>
      </c>
      <c r="E141" s="526" t="s">
        <v>3895</v>
      </c>
      <c r="F141" s="526" t="s">
        <v>3896</v>
      </c>
      <c r="G141" s="526" t="s">
        <v>3897</v>
      </c>
      <c r="H141" s="412">
        <v>264.35019999999997</v>
      </c>
      <c r="I141" s="411">
        <v>9.54711</v>
      </c>
      <c r="J141" s="411">
        <v>50.755200000000002</v>
      </c>
      <c r="K141" s="411">
        <v>3634.3398000000002</v>
      </c>
      <c r="L141" s="526" t="s">
        <v>554</v>
      </c>
      <c r="M141" s="409" t="s">
        <v>586</v>
      </c>
      <c r="N141" s="195">
        <v>157.4453</v>
      </c>
    </row>
    <row r="142" spans="1:14" ht="15" x14ac:dyDescent="0.25">
      <c r="A142" s="410">
        <v>349862</v>
      </c>
      <c r="B142" t="str">
        <f t="shared" si="5"/>
        <v>SEVROLL 04485 Blue-C spodné vedenie 2,5m strieborná</v>
      </c>
      <c r="C142" s="198">
        <f t="shared" si="6"/>
        <v>8.4891900000000007</v>
      </c>
      <c r="D142" s="526" t="s">
        <v>3441</v>
      </c>
      <c r="E142" s="526" t="s">
        <v>3898</v>
      </c>
      <c r="F142" s="526" t="s">
        <v>3899</v>
      </c>
      <c r="G142" s="526" t="s">
        <v>3900</v>
      </c>
      <c r="H142" s="412">
        <v>232.52074999999999</v>
      </c>
      <c r="I142" s="411">
        <v>8.4891900000000007</v>
      </c>
      <c r="J142" s="411">
        <v>34.783639999999998</v>
      </c>
      <c r="K142" s="411">
        <v>3297.56693</v>
      </c>
      <c r="L142" s="526" t="s">
        <v>554</v>
      </c>
      <c r="M142" s="409" t="s">
        <v>586</v>
      </c>
      <c r="N142" s="195">
        <v>157.626</v>
      </c>
    </row>
    <row r="143" spans="1:14" ht="15" x14ac:dyDescent="0.25">
      <c r="A143" s="410">
        <v>102833</v>
      </c>
      <c r="B143" t="str">
        <f t="shared" si="5"/>
        <v>SEVROLL 01881 Maxim spojovacia lišta H18 1,8m strieborná</v>
      </c>
      <c r="C143" s="198" t="e">
        <f t="shared" si="6"/>
        <v>#N/A</v>
      </c>
      <c r="D143" s="526" t="s">
        <v>2833</v>
      </c>
      <c r="E143" s="526" t="s">
        <v>3901</v>
      </c>
      <c r="F143" s="526" t="s">
        <v>3902</v>
      </c>
      <c r="G143" s="526" t="s">
        <v>3903</v>
      </c>
      <c r="H143" s="412" t="e">
        <v>#N/A</v>
      </c>
      <c r="I143" s="411" t="e">
        <v>#N/A</v>
      </c>
      <c r="J143" s="411" t="e">
        <v>#N/A</v>
      </c>
      <c r="K143" s="411" t="e">
        <v>#N/A</v>
      </c>
      <c r="L143" s="526" t="e">
        <v>#N/A</v>
      </c>
      <c r="M143" s="409" t="s">
        <v>586</v>
      </c>
      <c r="N143" s="195">
        <v>158.75190000000001</v>
      </c>
    </row>
    <row r="144" spans="1:14" ht="15" x14ac:dyDescent="0.25">
      <c r="A144" s="410">
        <v>135154</v>
      </c>
      <c r="B144" t="str">
        <f t="shared" si="5"/>
        <v>SEVROLL okrasná lišta S20 3m oliva</v>
      </c>
      <c r="C144" s="198">
        <f t="shared" si="6"/>
        <v>7.5602799999999997</v>
      </c>
      <c r="D144" s="526" t="s">
        <v>2876</v>
      </c>
      <c r="E144" s="526" t="s">
        <v>3904</v>
      </c>
      <c r="F144" s="526" t="s">
        <v>1243</v>
      </c>
      <c r="G144" s="526" t="s">
        <v>3905</v>
      </c>
      <c r="H144" s="412">
        <v>209.33678</v>
      </c>
      <c r="I144" s="411">
        <v>7.5602799999999997</v>
      </c>
      <c r="J144" s="411">
        <v>25.680399999999999</v>
      </c>
      <c r="K144" s="411">
        <v>2878.00407</v>
      </c>
      <c r="L144" s="526" t="s">
        <v>553</v>
      </c>
      <c r="M144" s="409" t="s">
        <v>586</v>
      </c>
      <c r="N144" s="195">
        <v>158.75190000000001</v>
      </c>
    </row>
    <row r="145" spans="1:14" ht="15" x14ac:dyDescent="0.25">
      <c r="A145" s="410">
        <v>84395</v>
      </c>
      <c r="B145" t="str">
        <f t="shared" si="5"/>
        <v>SEVROLL 02032 profil "U" pre lamino 16mm 3m oliva</v>
      </c>
      <c r="C145" s="198">
        <f t="shared" si="6"/>
        <v>7.4828700000000001</v>
      </c>
      <c r="D145" s="526" t="s">
        <v>2773</v>
      </c>
      <c r="E145" s="526" t="s">
        <v>3906</v>
      </c>
      <c r="F145" s="526" t="s">
        <v>3907</v>
      </c>
      <c r="G145" s="526" t="s">
        <v>3908</v>
      </c>
      <c r="H145" s="412">
        <v>207.1934</v>
      </c>
      <c r="I145" s="411">
        <v>7.4828700000000001</v>
      </c>
      <c r="J145" s="411">
        <v>25.646999999999998</v>
      </c>
      <c r="K145" s="411">
        <v>2848.5365999999999</v>
      </c>
      <c r="L145" s="526" t="s">
        <v>552</v>
      </c>
      <c r="M145" s="409" t="s">
        <v>586</v>
      </c>
      <c r="N145" s="195">
        <v>158.75190000000001</v>
      </c>
    </row>
    <row r="146" spans="1:14" ht="15" x14ac:dyDescent="0.25">
      <c r="A146" s="410">
        <v>345412</v>
      </c>
      <c r="B146" t="str">
        <f t="shared" si="5"/>
        <v>SEVROLL 04355 maska Elegant II 3m čierna  kartáčovaná</v>
      </c>
      <c r="C146" s="198">
        <f t="shared" si="6"/>
        <v>8.1021400000000003</v>
      </c>
      <c r="D146" s="526" t="s">
        <v>3388</v>
      </c>
      <c r="E146" s="526" t="s">
        <v>3909</v>
      </c>
      <c r="F146" s="526" t="s">
        <v>3910</v>
      </c>
      <c r="G146" s="526" t="s">
        <v>3911</v>
      </c>
      <c r="H146" s="412">
        <v>224.34044</v>
      </c>
      <c r="I146" s="411">
        <v>8.1021400000000003</v>
      </c>
      <c r="J146" s="411">
        <v>27.3156</v>
      </c>
      <c r="K146" s="411">
        <v>3084.2774899999999</v>
      </c>
      <c r="L146" s="526" t="s">
        <v>553</v>
      </c>
      <c r="M146" s="409" t="s">
        <v>586</v>
      </c>
      <c r="N146" s="195">
        <v>159.40520000000001</v>
      </c>
    </row>
    <row r="147" spans="1:14" ht="15" x14ac:dyDescent="0.25">
      <c r="A147" s="410">
        <v>345410</v>
      </c>
      <c r="B147" t="str">
        <f t="shared" si="5"/>
        <v>SEVROLL 04350-Y maska Elegant II 3m oliva kartáčovaná</v>
      </c>
      <c r="C147" s="198">
        <f t="shared" si="6"/>
        <v>8.1021400000000003</v>
      </c>
      <c r="D147" s="526" t="s">
        <v>3386</v>
      </c>
      <c r="E147" s="526" t="s">
        <v>3912</v>
      </c>
      <c r="F147" s="526" t="s">
        <v>3386</v>
      </c>
      <c r="G147" s="526" t="s">
        <v>3913</v>
      </c>
      <c r="H147" s="412">
        <v>224.34044</v>
      </c>
      <c r="I147" s="411">
        <v>8.1021400000000003</v>
      </c>
      <c r="J147" s="411">
        <v>27.3156</v>
      </c>
      <c r="K147" s="411">
        <v>3084.2774899999999</v>
      </c>
      <c r="L147" s="526" t="s">
        <v>553</v>
      </c>
      <c r="M147" s="409" t="s">
        <v>586</v>
      </c>
      <c r="N147" s="195">
        <v>159.40520000000001</v>
      </c>
    </row>
    <row r="148" spans="1:14" ht="15" x14ac:dyDescent="0.25">
      <c r="A148" s="410">
        <v>345411</v>
      </c>
      <c r="B148" t="str">
        <f t="shared" si="5"/>
        <v>SEVROLL 04360 maska Elegant II 3m oliva tmavá kartáčovaná</v>
      </c>
      <c r="C148" s="198">
        <f t="shared" si="6"/>
        <v>8.1021400000000003</v>
      </c>
      <c r="D148" s="526" t="s">
        <v>3387</v>
      </c>
      <c r="E148" s="526" t="s">
        <v>3914</v>
      </c>
      <c r="F148" s="526" t="s">
        <v>3387</v>
      </c>
      <c r="G148" s="526" t="s">
        <v>3915</v>
      </c>
      <c r="H148" s="412">
        <v>224.34044</v>
      </c>
      <c r="I148" s="411">
        <v>8.1021400000000003</v>
      </c>
      <c r="J148" s="411">
        <v>27.3156</v>
      </c>
      <c r="K148" s="411">
        <v>3084.2774899999999</v>
      </c>
      <c r="L148" s="526" t="s">
        <v>554</v>
      </c>
      <c r="M148" s="409" t="s">
        <v>586</v>
      </c>
      <c r="N148" s="195">
        <v>159.40520000000001</v>
      </c>
    </row>
    <row r="149" spans="1:14" ht="15" x14ac:dyDescent="0.25">
      <c r="A149" s="410">
        <v>213978</v>
      </c>
      <c r="B149" t="str">
        <f t="shared" si="5"/>
        <v>SEVROLL Beta 18 úchytová lišta 2,70m oliva</v>
      </c>
      <c r="C149" s="198">
        <f t="shared" si="6"/>
        <v>9.4873700000000003</v>
      </c>
      <c r="D149" s="526" t="s">
        <v>3029</v>
      </c>
      <c r="E149" s="526" t="s">
        <v>3916</v>
      </c>
      <c r="F149" s="526" t="s">
        <v>1213</v>
      </c>
      <c r="G149" s="526" t="s">
        <v>3917</v>
      </c>
      <c r="H149" s="412">
        <v>262.92128000000002</v>
      </c>
      <c r="I149" s="411">
        <v>9.4873700000000003</v>
      </c>
      <c r="J149" s="411">
        <v>32.986800000000002</v>
      </c>
      <c r="K149" s="411">
        <v>3611.60079</v>
      </c>
      <c r="L149" s="526" t="s">
        <v>554</v>
      </c>
      <c r="M149" s="409" t="s">
        <v>586</v>
      </c>
      <c r="N149" s="195">
        <v>161.36510000000001</v>
      </c>
    </row>
    <row r="150" spans="1:14" ht="15" x14ac:dyDescent="0.25">
      <c r="A150" s="410">
        <v>180416</v>
      </c>
      <c r="B150" t="str">
        <f t="shared" si="5"/>
        <v>SEVROLL 02813 Maxim II maska 2,5m strieborná</v>
      </c>
      <c r="C150" s="198">
        <f t="shared" si="6"/>
        <v>7.1973900000000004</v>
      </c>
      <c r="D150" s="526" t="s">
        <v>2943</v>
      </c>
      <c r="E150" s="526" t="s">
        <v>3918</v>
      </c>
      <c r="F150" s="526" t="s">
        <v>3919</v>
      </c>
      <c r="G150" s="526" t="s">
        <v>3920</v>
      </c>
      <c r="H150" s="412">
        <v>190.21727000000001</v>
      </c>
      <c r="I150" s="411">
        <v>7.1973900000000004</v>
      </c>
      <c r="J150" s="411">
        <v>24.928799999999999</v>
      </c>
      <c r="K150" s="411">
        <v>2768.2269200000001</v>
      </c>
      <c r="L150" s="526" t="s">
        <v>555</v>
      </c>
      <c r="M150" s="409" t="s">
        <v>586</v>
      </c>
      <c r="N150" s="195">
        <v>161.36510000000001</v>
      </c>
    </row>
    <row r="151" spans="1:14" ht="15" x14ac:dyDescent="0.25">
      <c r="A151" s="415">
        <v>308683</v>
      </c>
      <c r="B151" t="str">
        <f t="shared" si="5"/>
        <v>SEVROLL krycí profil Galaxy 1,5 m</v>
      </c>
      <c r="C151" s="198">
        <f t="shared" si="6"/>
        <v>0</v>
      </c>
      <c r="D151" s="526" t="s">
        <v>3340</v>
      </c>
      <c r="E151" s="526" t="s">
        <v>3921</v>
      </c>
      <c r="F151" s="526" t="s">
        <v>3922</v>
      </c>
      <c r="G151" s="526" t="s">
        <v>3923</v>
      </c>
      <c r="H151" s="412">
        <v>0</v>
      </c>
      <c r="I151" s="411">
        <v>0</v>
      </c>
      <c r="J151" s="411">
        <v>0</v>
      </c>
      <c r="K151" s="411">
        <v>0</v>
      </c>
      <c r="L151" s="526" t="s">
        <v>555</v>
      </c>
      <c r="M151" s="416" t="s">
        <v>586</v>
      </c>
      <c r="N151" s="195">
        <v>161.55135999999999</v>
      </c>
    </row>
    <row r="152" spans="1:14" ht="15" x14ac:dyDescent="0.25">
      <c r="A152" s="410">
        <v>89018</v>
      </c>
      <c r="B152" t="str">
        <f t="shared" si="5"/>
        <v>SEVROLL 00035 profil "U" Decor 18mm 3m oliva</v>
      </c>
      <c r="C152" s="198">
        <f t="shared" si="6"/>
        <v>8.8375299999999992</v>
      </c>
      <c r="D152" s="526" t="s">
        <v>2731</v>
      </c>
      <c r="E152" s="526" t="s">
        <v>1135</v>
      </c>
      <c r="F152" s="526" t="s">
        <v>2731</v>
      </c>
      <c r="G152" s="526" t="s">
        <v>3924</v>
      </c>
      <c r="H152" s="412">
        <v>245.05977999999999</v>
      </c>
      <c r="I152" s="411">
        <v>8.8375299999999992</v>
      </c>
      <c r="J152" s="411">
        <v>29.933700000000002</v>
      </c>
      <c r="K152" s="411">
        <v>3364.2201500000001</v>
      </c>
      <c r="L152" s="526" t="s">
        <v>554</v>
      </c>
      <c r="M152" s="409" t="s">
        <v>586</v>
      </c>
      <c r="N152" s="195">
        <v>162.67169999999999</v>
      </c>
    </row>
    <row r="153" spans="1:14" ht="15" x14ac:dyDescent="0.25">
      <c r="A153" s="410">
        <v>212759</v>
      </c>
      <c r="B153" t="str">
        <f t="shared" si="5"/>
        <v>SEVROLL Secret Line II rámová lišta 2,7m strieborná</v>
      </c>
      <c r="C153" s="198">
        <f t="shared" si="6"/>
        <v>7.6634900000000004</v>
      </c>
      <c r="D153" s="526" t="s">
        <v>3016</v>
      </c>
      <c r="E153" s="526" t="s">
        <v>3925</v>
      </c>
      <c r="F153" s="526" t="s">
        <v>3926</v>
      </c>
      <c r="G153" s="526" t="s">
        <v>3927</v>
      </c>
      <c r="H153" s="412">
        <v>212.19461999999999</v>
      </c>
      <c r="I153" s="411">
        <v>7.6634900000000004</v>
      </c>
      <c r="J153" s="411">
        <v>26.948399999999999</v>
      </c>
      <c r="K153" s="411">
        <v>2917.2945300000001</v>
      </c>
      <c r="L153" s="526" t="s">
        <v>554</v>
      </c>
      <c r="M153" s="409" t="s">
        <v>586</v>
      </c>
      <c r="N153" s="195">
        <v>162.67169999999999</v>
      </c>
    </row>
    <row r="154" spans="1:14" ht="15" x14ac:dyDescent="0.25">
      <c r="A154" s="413">
        <v>196633</v>
      </c>
      <c r="B154" t="e">
        <f t="shared" si="5"/>
        <v>#N/A</v>
      </c>
      <c r="C154" s="198" t="e">
        <f t="shared" si="6"/>
        <v>#N/A</v>
      </c>
      <c r="D154" s="526" t="e">
        <v>#N/A</v>
      </c>
      <c r="E154" s="526" t="e">
        <v>#N/A</v>
      </c>
      <c r="F154" s="526" t="e">
        <v>#N/A</v>
      </c>
      <c r="G154" s="526" t="e">
        <v>#N/A</v>
      </c>
      <c r="H154" s="412" t="e">
        <v>#N/A</v>
      </c>
      <c r="I154" s="411" t="e">
        <v>#N/A</v>
      </c>
      <c r="J154" s="411" t="e">
        <v>#N/A</v>
      </c>
      <c r="K154" s="411" t="e">
        <v>#N/A</v>
      </c>
      <c r="L154" s="526" t="e">
        <v>#N/A</v>
      </c>
      <c r="M154" s="414" t="s">
        <v>587</v>
      </c>
      <c r="N154" s="195">
        <v>163.047</v>
      </c>
    </row>
    <row r="155" spans="1:14" ht="15" x14ac:dyDescent="0.25">
      <c r="A155" s="410">
        <v>228202</v>
      </c>
      <c r="B155" t="str">
        <f t="shared" si="5"/>
        <v>SEVROLL Ergo 16 úchytová lišta 2,7m striebor</v>
      </c>
      <c r="C155" s="198">
        <f t="shared" si="6"/>
        <v>7.3796600000000003</v>
      </c>
      <c r="D155" s="526" t="s">
        <v>3174</v>
      </c>
      <c r="E155" s="526" t="s">
        <v>3928</v>
      </c>
      <c r="F155" s="526" t="s">
        <v>1202</v>
      </c>
      <c r="G155" s="526" t="s">
        <v>3929</v>
      </c>
      <c r="H155" s="412">
        <v>215.76692</v>
      </c>
      <c r="I155" s="411">
        <v>7.3796600000000003</v>
      </c>
      <c r="J155" s="411">
        <v>33.579320000000003</v>
      </c>
      <c r="K155" s="411">
        <v>2809.2465099999999</v>
      </c>
      <c r="L155" s="526" t="s">
        <v>554</v>
      </c>
      <c r="M155" s="409" t="s">
        <v>586</v>
      </c>
      <c r="N155" s="195">
        <v>163.32499999999999</v>
      </c>
    </row>
    <row r="156" spans="1:14" ht="15" x14ac:dyDescent="0.25">
      <c r="A156" s="410">
        <v>143983</v>
      </c>
      <c r="B156" t="str">
        <f t="shared" si="5"/>
        <v>SEVROLL ERGO 18 UCH.LIŠTA.2,70m STR.</v>
      </c>
      <c r="C156" s="198">
        <f t="shared" si="6"/>
        <v>7.3796600000000003</v>
      </c>
      <c r="D156" s="526" t="s">
        <v>2902</v>
      </c>
      <c r="E156" s="526" t="s">
        <v>3930</v>
      </c>
      <c r="F156" s="526" t="s">
        <v>3931</v>
      </c>
      <c r="G156" s="526" t="s">
        <v>3932</v>
      </c>
      <c r="H156" s="412">
        <v>215.76692</v>
      </c>
      <c r="I156" s="411">
        <v>7.3796600000000003</v>
      </c>
      <c r="J156" s="411">
        <v>33.579320000000003</v>
      </c>
      <c r="K156" s="411">
        <v>2809.2465099999999</v>
      </c>
      <c r="L156" s="526" t="s">
        <v>553</v>
      </c>
      <c r="M156" s="409" t="s">
        <v>586</v>
      </c>
      <c r="N156" s="195">
        <v>163.32499999999999</v>
      </c>
    </row>
    <row r="157" spans="1:14" ht="15" x14ac:dyDescent="0.25">
      <c r="A157" s="410">
        <v>245813</v>
      </c>
      <c r="B157" t="e">
        <f t="shared" si="5"/>
        <v>#N/A</v>
      </c>
      <c r="C157" s="198" t="e">
        <f t="shared" si="6"/>
        <v>#N/A</v>
      </c>
      <c r="D157" s="526" t="e">
        <v>#N/A</v>
      </c>
      <c r="E157" s="526" t="e">
        <v>#N/A</v>
      </c>
      <c r="F157" s="526" t="e">
        <v>#N/A</v>
      </c>
      <c r="G157" s="526" t="e">
        <v>#N/A</v>
      </c>
      <c r="H157" s="412" t="e">
        <v>#N/A</v>
      </c>
      <c r="I157" s="411" t="e">
        <v>#N/A</v>
      </c>
      <c r="J157" s="411" t="e">
        <v>#N/A</v>
      </c>
      <c r="K157" s="411" t="e">
        <v>#N/A</v>
      </c>
      <c r="L157" s="526" t="e">
        <v>#N/A</v>
      </c>
      <c r="M157" s="409" t="s">
        <v>586</v>
      </c>
      <c r="N157" s="195">
        <v>163.32499999999999</v>
      </c>
    </row>
    <row r="158" spans="1:14" ht="15" x14ac:dyDescent="0.25">
      <c r="A158" s="410">
        <v>284598</v>
      </c>
      <c r="B158" t="str">
        <f t="shared" si="5"/>
        <v>SEVROLL 04573 Focus II 18mm úchytová lišta 2,7m zlatá</v>
      </c>
      <c r="C158" s="198">
        <f t="shared" si="6"/>
        <v>10.527620000000001</v>
      </c>
      <c r="D158" s="526" t="s">
        <v>3283</v>
      </c>
      <c r="E158" s="526" t="s">
        <v>3933</v>
      </c>
      <c r="F158" s="526" t="s">
        <v>3283</v>
      </c>
      <c r="G158" s="526" t="s">
        <v>3934</v>
      </c>
      <c r="H158" s="412">
        <v>291.49968000000001</v>
      </c>
      <c r="I158" s="411">
        <v>10.527620000000001</v>
      </c>
      <c r="J158" s="411">
        <v>35.869160000000001</v>
      </c>
      <c r="K158" s="411">
        <v>4007.5961699999998</v>
      </c>
      <c r="L158" s="526" t="s">
        <v>553</v>
      </c>
      <c r="M158" s="409" t="s">
        <v>586</v>
      </c>
      <c r="N158" s="195">
        <v>163.32499999999999</v>
      </c>
    </row>
    <row r="159" spans="1:14" ht="15" x14ac:dyDescent="0.25">
      <c r="A159" s="410">
        <v>228219</v>
      </c>
      <c r="B159" t="str">
        <f t="shared" si="5"/>
        <v>SEVROLL Factor 16-úchytová lišta strieborná</v>
      </c>
      <c r="C159" s="198" t="e">
        <f t="shared" si="6"/>
        <v>#N/A</v>
      </c>
      <c r="D159" s="526" t="s">
        <v>3935</v>
      </c>
      <c r="E159" s="526" t="s">
        <v>3936</v>
      </c>
      <c r="F159" s="526" t="s">
        <v>3937</v>
      </c>
      <c r="G159" s="526" t="s">
        <v>3938</v>
      </c>
      <c r="H159" s="412" t="e">
        <v>#N/A</v>
      </c>
      <c r="I159" s="411" t="e">
        <v>#N/A</v>
      </c>
      <c r="J159" s="411" t="e">
        <v>#N/A</v>
      </c>
      <c r="K159" s="411" t="e">
        <v>#N/A</v>
      </c>
      <c r="L159" s="526" t="e">
        <v>#N/A</v>
      </c>
      <c r="M159" s="409" t="s">
        <v>586</v>
      </c>
      <c r="N159" s="195">
        <v>165.61154999999999</v>
      </c>
    </row>
    <row r="160" spans="1:14" ht="15" x14ac:dyDescent="0.25">
      <c r="A160" s="415">
        <v>252425</v>
      </c>
      <c r="B160" t="str">
        <f t="shared" si="5"/>
        <v>SEVROLL stenová príchytka profilu Single</v>
      </c>
      <c r="C160" s="198">
        <f t="shared" si="6"/>
        <v>7.6118899999999998</v>
      </c>
      <c r="D160" s="526" t="s">
        <v>3217</v>
      </c>
      <c r="E160" s="526" t="s">
        <v>3939</v>
      </c>
      <c r="F160" s="526" t="s">
        <v>1122</v>
      </c>
      <c r="G160" s="526" t="s">
        <v>3940</v>
      </c>
      <c r="H160" s="412">
        <v>200.90975</v>
      </c>
      <c r="I160" s="411">
        <v>7.6118899999999998</v>
      </c>
      <c r="J160" s="411">
        <v>26.190639999999998</v>
      </c>
      <c r="K160" s="411">
        <v>2803.0673000000002</v>
      </c>
      <c r="L160" s="526" t="s">
        <v>554</v>
      </c>
      <c r="M160" s="416" t="s">
        <v>589</v>
      </c>
      <c r="N160" s="195">
        <v>166.59984</v>
      </c>
    </row>
    <row r="161" spans="1:14" ht="15" x14ac:dyDescent="0.25">
      <c r="A161" s="410">
        <v>224147</v>
      </c>
      <c r="B161" t="str">
        <f t="shared" si="5"/>
        <v>SEVROLL horná vodiaca lišta Simple/Blue 2m(pre lamino 10mm)strieborná</v>
      </c>
      <c r="C161" s="198">
        <f t="shared" si="6"/>
        <v>7.9473200000000004</v>
      </c>
      <c r="D161" s="526" t="s">
        <v>3138</v>
      </c>
      <c r="E161" s="526" t="s">
        <v>3941</v>
      </c>
      <c r="F161" s="526" t="s">
        <v>3942</v>
      </c>
      <c r="G161" s="526" t="s">
        <v>3943</v>
      </c>
      <c r="H161" s="412">
        <v>217.679</v>
      </c>
      <c r="I161" s="411">
        <v>7.9473200000000004</v>
      </c>
      <c r="J161" s="411">
        <v>30.410119999999999</v>
      </c>
      <c r="K161" s="411">
        <v>3087.08385</v>
      </c>
      <c r="L161" s="526" t="s">
        <v>553</v>
      </c>
      <c r="M161" s="409" t="s">
        <v>586</v>
      </c>
      <c r="N161" s="195">
        <v>167.38380000000001</v>
      </c>
    </row>
    <row r="162" spans="1:14" ht="15" x14ac:dyDescent="0.25">
      <c r="A162" s="410">
        <v>224125</v>
      </c>
      <c r="B162" t="str">
        <f t="shared" si="5"/>
        <v>SEVROLL Simple spodné vedenie 2m oliva</v>
      </c>
      <c r="C162" s="198" t="e">
        <f t="shared" si="6"/>
        <v>#N/A</v>
      </c>
      <c r="D162" s="526" t="s">
        <v>3123</v>
      </c>
      <c r="E162" s="526" t="s">
        <v>3944</v>
      </c>
      <c r="F162" s="526" t="s">
        <v>3945</v>
      </c>
      <c r="G162" s="526" t="s">
        <v>3946</v>
      </c>
      <c r="H162" s="412" t="e">
        <v>#N/A</v>
      </c>
      <c r="I162" s="411" t="e">
        <v>#N/A</v>
      </c>
      <c r="J162" s="411" t="e">
        <v>#N/A</v>
      </c>
      <c r="K162" s="411" t="e">
        <v>#N/A</v>
      </c>
      <c r="L162" s="526" t="e">
        <v>#N/A</v>
      </c>
      <c r="M162" s="409" t="s">
        <v>586</v>
      </c>
      <c r="N162" s="195">
        <v>167.38380000000001</v>
      </c>
    </row>
    <row r="163" spans="1:14" ht="15" x14ac:dyDescent="0.25">
      <c r="A163" s="410">
        <v>349476</v>
      </c>
      <c r="B163" t="str">
        <f t="shared" si="5"/>
        <v>SEVROLL 04496 Blue-V spodné vedenie  2m strieborná</v>
      </c>
      <c r="C163" s="198">
        <f t="shared" si="6"/>
        <v>7.9989299999999997</v>
      </c>
      <c r="D163" s="526" t="s">
        <v>3407</v>
      </c>
      <c r="E163" s="526" t="s">
        <v>3947</v>
      </c>
      <c r="F163" s="526" t="s">
        <v>3948</v>
      </c>
      <c r="G163" s="526" t="s">
        <v>3949</v>
      </c>
      <c r="H163" s="412">
        <v>219.0925</v>
      </c>
      <c r="I163" s="411">
        <v>7.9989299999999997</v>
      </c>
      <c r="J163" s="411">
        <v>33.713859999999997</v>
      </c>
      <c r="K163" s="411">
        <v>3107.13</v>
      </c>
      <c r="L163" s="526" t="s">
        <v>710</v>
      </c>
      <c r="M163" s="409" t="s">
        <v>586</v>
      </c>
      <c r="N163" s="195">
        <v>168.88499999999999</v>
      </c>
    </row>
    <row r="164" spans="1:14" ht="15" x14ac:dyDescent="0.25">
      <c r="A164" s="410">
        <v>284540</v>
      </c>
      <c r="B164" t="str">
        <f t="shared" si="5"/>
        <v>SEVROLL 10207 Maxim horný vozík 18mm asymetrický - 2ks</v>
      </c>
      <c r="C164" s="198">
        <f t="shared" si="6"/>
        <v>7.1822600000000003</v>
      </c>
      <c r="D164" s="526" t="s">
        <v>3278</v>
      </c>
      <c r="E164" s="526" t="s">
        <v>3950</v>
      </c>
      <c r="F164" s="526" t="s">
        <v>3951</v>
      </c>
      <c r="G164" s="526" t="s">
        <v>3952</v>
      </c>
      <c r="H164" s="412">
        <v>199.57113000000001</v>
      </c>
      <c r="I164" s="411">
        <v>7.1822600000000003</v>
      </c>
      <c r="J164" s="411">
        <v>24.2668</v>
      </c>
      <c r="K164" s="411">
        <v>2774.16185</v>
      </c>
      <c r="L164" s="526" t="s">
        <v>555</v>
      </c>
      <c r="M164" s="409" t="s">
        <v>587</v>
      </c>
      <c r="N164" s="195">
        <v>170.51130000000001</v>
      </c>
    </row>
    <row r="165" spans="1:14" ht="15" x14ac:dyDescent="0.25">
      <c r="A165" s="415">
        <v>96401</v>
      </c>
      <c r="B165" t="str">
        <f t="shared" si="5"/>
        <v>SEVROLL MDF VLOŽKA PRE KRYCIU LIŠ. 2,7 m</v>
      </c>
      <c r="C165" s="198">
        <f t="shared" si="6"/>
        <v>0</v>
      </c>
      <c r="D165" s="526" t="s">
        <v>2781</v>
      </c>
      <c r="E165" s="526" t="s">
        <v>3953</v>
      </c>
      <c r="F165" s="526" t="s">
        <v>3954</v>
      </c>
      <c r="G165" s="526" t="s">
        <v>3955</v>
      </c>
      <c r="H165" s="412">
        <v>0</v>
      </c>
      <c r="I165" s="411">
        <v>0</v>
      </c>
      <c r="J165" s="411">
        <v>0</v>
      </c>
      <c r="K165" s="411">
        <v>0</v>
      </c>
      <c r="L165" s="526" t="s">
        <v>555</v>
      </c>
      <c r="M165" s="416" t="s">
        <v>586</v>
      </c>
      <c r="N165" s="195">
        <v>171.01725999999999</v>
      </c>
    </row>
    <row r="166" spans="1:14" ht="15" x14ac:dyDescent="0.25">
      <c r="A166" s="410">
        <v>245816</v>
      </c>
      <c r="B166" t="str">
        <f t="shared" si="5"/>
        <v>SEVROLL 04571 Focus II 18mm úchytová lišta 2,7m oliva</v>
      </c>
      <c r="C166" s="198">
        <f t="shared" si="6"/>
        <v>10.527620000000001</v>
      </c>
      <c r="D166" s="526" t="s">
        <v>3210</v>
      </c>
      <c r="E166" s="526" t="s">
        <v>3956</v>
      </c>
      <c r="F166" s="526" t="s">
        <v>3210</v>
      </c>
      <c r="G166" s="526" t="s">
        <v>3957</v>
      </c>
      <c r="H166" s="412">
        <v>291.49968000000001</v>
      </c>
      <c r="I166" s="411">
        <v>10.527620000000001</v>
      </c>
      <c r="J166" s="411">
        <v>35.869160000000001</v>
      </c>
      <c r="K166" s="411">
        <v>4007.5961699999998</v>
      </c>
      <c r="L166" s="526" t="s">
        <v>553</v>
      </c>
      <c r="M166" s="409" t="s">
        <v>586</v>
      </c>
      <c r="N166" s="195">
        <v>171.81790000000001</v>
      </c>
    </row>
    <row r="167" spans="1:14" ht="15" x14ac:dyDescent="0.25">
      <c r="A167" s="410">
        <v>349863</v>
      </c>
      <c r="B167" t="str">
        <f t="shared" si="5"/>
        <v>SEVROLL 04479 Blue-C spodné vedenie 2,5m oliva</v>
      </c>
      <c r="C167" s="198">
        <f t="shared" si="6"/>
        <v>9.9599600000000006</v>
      </c>
      <c r="D167" s="526" t="s">
        <v>3442</v>
      </c>
      <c r="E167" s="526" t="s">
        <v>3958</v>
      </c>
      <c r="F167" s="526" t="s">
        <v>3959</v>
      </c>
      <c r="G167" s="526" t="s">
        <v>3960</v>
      </c>
      <c r="H167" s="412">
        <v>272.80549999999999</v>
      </c>
      <c r="I167" s="411">
        <v>9.9599600000000006</v>
      </c>
      <c r="J167" s="411">
        <v>38.62227</v>
      </c>
      <c r="K167" s="411">
        <v>3868.87808</v>
      </c>
      <c r="L167" s="526" t="s">
        <v>554</v>
      </c>
      <c r="M167" s="409" t="s">
        <v>586</v>
      </c>
      <c r="N167" s="195">
        <v>171.88740000000001</v>
      </c>
    </row>
    <row r="168" spans="1:14" ht="15" x14ac:dyDescent="0.25">
      <c r="A168" s="410">
        <v>197745</v>
      </c>
      <c r="B168" t="str">
        <f t="shared" si="5"/>
        <v>SEVROLL 20194 Optima spodné vedenie 2m surová</v>
      </c>
      <c r="C168" s="198">
        <f t="shared" si="6"/>
        <v>8.2569599999999994</v>
      </c>
      <c r="D168" s="526" t="s">
        <v>2971</v>
      </c>
      <c r="E168" s="526" t="s">
        <v>3961</v>
      </c>
      <c r="F168" s="526" t="s">
        <v>3962</v>
      </c>
      <c r="G168" s="526" t="s">
        <v>3963</v>
      </c>
      <c r="H168" s="412">
        <v>228.62719999999999</v>
      </c>
      <c r="I168" s="411">
        <v>8.2569599999999994</v>
      </c>
      <c r="J168" s="411">
        <v>27.892399999999999</v>
      </c>
      <c r="K168" s="411">
        <v>3143.2127999999998</v>
      </c>
      <c r="L168" s="526" t="s">
        <v>554</v>
      </c>
      <c r="M168" s="409" t="s">
        <v>586</v>
      </c>
      <c r="N168" s="195">
        <v>173.12450000000001</v>
      </c>
    </row>
    <row r="169" spans="1:14" ht="15" x14ac:dyDescent="0.25">
      <c r="A169" s="415">
        <v>308694</v>
      </c>
      <c r="B169" t="str">
        <f t="shared" ref="B169:B232" si="7">IF($A$2=1,D169,IF($A$2=2,F169,IF($A$2=3,G169,IF($A$2=4,E169,"zadat jazyk"))))</f>
        <v>SEVROLL vedenie Galaxy B 50kg na stenu 1,5m</v>
      </c>
      <c r="C169" s="198">
        <f t="shared" si="6"/>
        <v>9.7316099999999999</v>
      </c>
      <c r="D169" s="526" t="s">
        <v>3343</v>
      </c>
      <c r="E169" s="526" t="s">
        <v>3964</v>
      </c>
      <c r="F169" s="526" t="s">
        <v>1112</v>
      </c>
      <c r="G169" s="526" t="s">
        <v>3965</v>
      </c>
      <c r="H169" s="412">
        <v>256.75585000000001</v>
      </c>
      <c r="I169" s="411">
        <v>9.7316099999999999</v>
      </c>
      <c r="J169" s="411">
        <v>33.484079999999999</v>
      </c>
      <c r="K169" s="411">
        <v>3583.6529</v>
      </c>
      <c r="L169" s="526" t="s">
        <v>554</v>
      </c>
      <c r="M169" s="416" t="s">
        <v>586</v>
      </c>
      <c r="N169" s="195">
        <v>174.80362</v>
      </c>
    </row>
    <row r="170" spans="1:14" ht="15" x14ac:dyDescent="0.25">
      <c r="A170" s="410">
        <v>278060</v>
      </c>
      <c r="B170" t="str">
        <f t="shared" si="7"/>
        <v>SEVROLL 20298 Pax záslepka profilu (4 ks) strieborná</v>
      </c>
      <c r="C170" s="198">
        <f t="shared" si="6"/>
        <v>6.9151999999999996</v>
      </c>
      <c r="D170" s="526" t="s">
        <v>3252</v>
      </c>
      <c r="E170" s="526" t="s">
        <v>3966</v>
      </c>
      <c r="F170" s="526" t="s">
        <v>3967</v>
      </c>
      <c r="G170" s="526" t="s">
        <v>3968</v>
      </c>
      <c r="H170" s="412">
        <v>203.1842</v>
      </c>
      <c r="I170" s="411">
        <v>6.9151999999999996</v>
      </c>
      <c r="J170" s="411">
        <v>26.683199999999999</v>
      </c>
      <c r="K170" s="411">
        <v>2686.1638499999999</v>
      </c>
      <c r="L170" s="526" t="s">
        <v>553</v>
      </c>
      <c r="M170" s="409" t="s">
        <v>588</v>
      </c>
      <c r="N170" s="195">
        <v>175.08439999999999</v>
      </c>
    </row>
    <row r="171" spans="1:14" ht="15" x14ac:dyDescent="0.25">
      <c r="A171" s="410">
        <v>288126</v>
      </c>
      <c r="B171" t="str">
        <f t="shared" si="7"/>
        <v>SEVROLL 20328 Pax nalepovacia úchytka strieborná</v>
      </c>
      <c r="C171" s="198">
        <f t="shared" si="6"/>
        <v>6.11531</v>
      </c>
      <c r="D171" s="526" t="s">
        <v>3298</v>
      </c>
      <c r="E171" s="526" t="s">
        <v>3969</v>
      </c>
      <c r="F171" s="526" t="s">
        <v>3970</v>
      </c>
      <c r="G171" s="526" t="s">
        <v>3971</v>
      </c>
      <c r="H171" s="412">
        <v>169.32702</v>
      </c>
      <c r="I171" s="411">
        <v>6.11531</v>
      </c>
      <c r="J171" s="411">
        <v>24.255600000000001</v>
      </c>
      <c r="K171" s="411">
        <v>2327.9421299999999</v>
      </c>
      <c r="L171" s="526" t="s">
        <v>553</v>
      </c>
      <c r="M171" s="409" t="s">
        <v>586</v>
      </c>
      <c r="N171" s="195">
        <v>175.73769999999999</v>
      </c>
    </row>
    <row r="172" spans="1:14" ht="15" x14ac:dyDescent="0.25">
      <c r="A172" s="410">
        <v>360719</v>
      </c>
      <c r="B172" t="str">
        <f t="shared" si="7"/>
        <v>SEVROLL 20327 Pax nalepovacia úchytka transparentná</v>
      </c>
      <c r="C172" s="198">
        <f t="shared" si="6"/>
        <v>6.9151999999999996</v>
      </c>
      <c r="D172" s="526" t="s">
        <v>3462</v>
      </c>
      <c r="E172" s="526" t="s">
        <v>3972</v>
      </c>
      <c r="F172" s="526" t="s">
        <v>3973</v>
      </c>
      <c r="G172" s="526" t="s">
        <v>3974</v>
      </c>
      <c r="H172" s="412">
        <v>191.47528</v>
      </c>
      <c r="I172" s="411">
        <v>6.9151999999999996</v>
      </c>
      <c r="J172" s="411">
        <v>24.255600000000001</v>
      </c>
      <c r="K172" s="411">
        <v>2632.4405700000002</v>
      </c>
      <c r="L172" s="526" t="s">
        <v>554</v>
      </c>
      <c r="M172" s="409" t="s">
        <v>586</v>
      </c>
      <c r="N172" s="195">
        <v>175.73769999999999</v>
      </c>
    </row>
    <row r="173" spans="1:14" ht="15" x14ac:dyDescent="0.25">
      <c r="A173" s="410">
        <v>284976</v>
      </c>
      <c r="B173" t="str">
        <f t="shared" si="7"/>
        <v>SEVROLL 02997 Maxim II maska 2,5m oliva</v>
      </c>
      <c r="C173" s="198" t="e">
        <f t="shared" si="6"/>
        <v>#N/A</v>
      </c>
      <c r="D173" s="526" t="s">
        <v>3295</v>
      </c>
      <c r="E173" s="526" t="s">
        <v>3975</v>
      </c>
      <c r="F173" s="526" t="s">
        <v>3295</v>
      </c>
      <c r="G173" s="526" t="s">
        <v>3976</v>
      </c>
      <c r="H173" s="412" t="e">
        <v>#N/A</v>
      </c>
      <c r="I173" s="411" t="e">
        <v>#N/A</v>
      </c>
      <c r="J173" s="411" t="e">
        <v>#N/A</v>
      </c>
      <c r="K173" s="411" t="e">
        <v>#N/A</v>
      </c>
      <c r="L173" s="526" t="e">
        <v>#N/A</v>
      </c>
      <c r="M173" s="409" t="s">
        <v>586</v>
      </c>
      <c r="N173" s="195">
        <v>176.39099999999999</v>
      </c>
    </row>
    <row r="174" spans="1:14" ht="15" x14ac:dyDescent="0.25">
      <c r="A174" s="410">
        <v>84410</v>
      </c>
      <c r="B174" t="str">
        <f t="shared" si="7"/>
        <v>SEVROLL Gemini II spodné vedenie 1,7m strieborná</v>
      </c>
      <c r="C174" s="198">
        <f t="shared" si="6"/>
        <v>9.1671999999999993</v>
      </c>
      <c r="D174" s="526" t="s">
        <v>2778</v>
      </c>
      <c r="E174" s="526" t="s">
        <v>3977</v>
      </c>
      <c r="F174" s="526" t="s">
        <v>3978</v>
      </c>
      <c r="G174" s="526" t="s">
        <v>3979</v>
      </c>
      <c r="H174" s="412">
        <v>259.34897999999998</v>
      </c>
      <c r="I174" s="411">
        <v>9.1671999999999993</v>
      </c>
      <c r="J174" s="411">
        <v>31.688289999999999</v>
      </c>
      <c r="K174" s="411">
        <v>3525.84692</v>
      </c>
      <c r="L174" s="526" t="s">
        <v>553</v>
      </c>
      <c r="M174" s="409" t="s">
        <v>586</v>
      </c>
      <c r="N174" s="195">
        <v>179.0042</v>
      </c>
    </row>
    <row r="175" spans="1:14" ht="15" x14ac:dyDescent="0.25">
      <c r="A175" s="410">
        <v>234761</v>
      </c>
      <c r="B175" t="str">
        <f t="shared" si="7"/>
        <v>SEVROLL spojovacia lišta H08 16 3m strie</v>
      </c>
      <c r="C175" s="198" t="e">
        <f t="shared" si="6"/>
        <v>#N/A</v>
      </c>
      <c r="D175" s="526" t="s">
        <v>3194</v>
      </c>
      <c r="E175" s="526" t="s">
        <v>3980</v>
      </c>
      <c r="F175" s="526" t="s">
        <v>3981</v>
      </c>
      <c r="G175" s="526" t="s">
        <v>3982</v>
      </c>
      <c r="H175" s="412" t="e">
        <v>#N/A</v>
      </c>
      <c r="I175" s="411" t="e">
        <v>#N/A</v>
      </c>
      <c r="J175" s="411" t="e">
        <v>#N/A</v>
      </c>
      <c r="K175" s="411" t="e">
        <v>#N/A</v>
      </c>
      <c r="L175" s="526" t="e">
        <v>#N/A</v>
      </c>
      <c r="M175" s="409" t="s">
        <v>586</v>
      </c>
      <c r="N175" s="195">
        <v>179.0042</v>
      </c>
    </row>
    <row r="176" spans="1:14" ht="15" x14ac:dyDescent="0.25">
      <c r="A176" s="410">
        <v>346117</v>
      </c>
      <c r="B176" t="str">
        <f t="shared" si="7"/>
        <v>SEVROLL 04316 maska Elegant II 4,05m biela lesk</v>
      </c>
      <c r="C176" s="198">
        <f t="shared" si="6"/>
        <v>7.8794599999999999</v>
      </c>
      <c r="D176" s="526" t="s">
        <v>3395</v>
      </c>
      <c r="E176" s="526" t="s">
        <v>3983</v>
      </c>
      <c r="F176" s="526" t="s">
        <v>3984</v>
      </c>
      <c r="G176" s="526" t="s">
        <v>3985</v>
      </c>
      <c r="H176" s="412">
        <v>217.91030000000001</v>
      </c>
      <c r="I176" s="411">
        <v>7.8794599999999999</v>
      </c>
      <c r="J176" s="411">
        <v>29.07</v>
      </c>
      <c r="K176" s="411">
        <v>2999.5093700000002</v>
      </c>
      <c r="L176" s="526" t="s">
        <v>553</v>
      </c>
      <c r="M176" s="409" t="s">
        <v>586</v>
      </c>
      <c r="N176" s="195">
        <v>179.6575</v>
      </c>
    </row>
    <row r="177" spans="1:14" ht="15" x14ac:dyDescent="0.25">
      <c r="A177" s="410">
        <v>229439</v>
      </c>
      <c r="B177" t="str">
        <f t="shared" si="7"/>
        <v>SEVROLL 10208 Maxim horný vozík 18mm - 2ks</v>
      </c>
      <c r="C177" s="198">
        <f t="shared" si="6"/>
        <v>7.1822600000000003</v>
      </c>
      <c r="D177" s="526" t="s">
        <v>3179</v>
      </c>
      <c r="E177" s="526" t="s">
        <v>3986</v>
      </c>
      <c r="F177" s="526" t="s">
        <v>3987</v>
      </c>
      <c r="G177" s="526" t="s">
        <v>3988</v>
      </c>
      <c r="H177" s="412">
        <v>199.57113000000001</v>
      </c>
      <c r="I177" s="411">
        <v>7.1822600000000003</v>
      </c>
      <c r="J177" s="411">
        <v>24.2668</v>
      </c>
      <c r="K177" s="411">
        <v>2774.16185</v>
      </c>
      <c r="L177" s="526" t="s">
        <v>555</v>
      </c>
      <c r="M177" s="409" t="s">
        <v>587</v>
      </c>
      <c r="N177" s="195">
        <v>179.6575</v>
      </c>
    </row>
    <row r="178" spans="1:14" ht="15" x14ac:dyDescent="0.25">
      <c r="A178" s="410">
        <v>229443</v>
      </c>
      <c r="B178" t="str">
        <f t="shared" si="7"/>
        <v>SEVROLL 10206 Maxim board horný vozík 18mm - 2ks</v>
      </c>
      <c r="C178" s="198">
        <f t="shared" si="6"/>
        <v>7.1822600000000003</v>
      </c>
      <c r="D178" s="526" t="s">
        <v>3183</v>
      </c>
      <c r="E178" s="526" t="s">
        <v>3989</v>
      </c>
      <c r="F178" s="526" t="s">
        <v>3990</v>
      </c>
      <c r="G178" s="526" t="s">
        <v>3991</v>
      </c>
      <c r="H178" s="412">
        <v>199.57113000000001</v>
      </c>
      <c r="I178" s="411">
        <v>7.1822600000000003</v>
      </c>
      <c r="J178" s="411">
        <v>24.2668</v>
      </c>
      <c r="K178" s="411">
        <v>2774.16185</v>
      </c>
      <c r="L178" s="526" t="s">
        <v>555</v>
      </c>
      <c r="M178" s="409" t="s">
        <v>587</v>
      </c>
      <c r="N178" s="195">
        <v>179.6575</v>
      </c>
    </row>
    <row r="179" spans="1:14" ht="15" x14ac:dyDescent="0.25">
      <c r="A179" s="410">
        <v>135506</v>
      </c>
      <c r="B179" t="str">
        <f t="shared" si="7"/>
        <v>SEVROLL 04546 Factor 16 II úchytová lišta 2,7m strieborná</v>
      </c>
      <c r="C179" s="198">
        <f t="shared" si="6"/>
        <v>10.14058</v>
      </c>
      <c r="D179" s="526" t="s">
        <v>2889</v>
      </c>
      <c r="E179" s="526" t="s">
        <v>3992</v>
      </c>
      <c r="F179" s="526" t="s">
        <v>3993</v>
      </c>
      <c r="G179" s="526" t="s">
        <v>3994</v>
      </c>
      <c r="H179" s="412">
        <v>280.78278</v>
      </c>
      <c r="I179" s="411">
        <v>10.14058</v>
      </c>
      <c r="J179" s="411">
        <v>72.593400000000003</v>
      </c>
      <c r="K179" s="411">
        <v>3860.2580699999999</v>
      </c>
      <c r="L179" s="526" t="s">
        <v>554</v>
      </c>
      <c r="M179" s="409" t="s">
        <v>586</v>
      </c>
      <c r="N179" s="195">
        <v>180.9641</v>
      </c>
    </row>
    <row r="180" spans="1:14" ht="15" x14ac:dyDescent="0.25">
      <c r="A180" s="410">
        <v>238033</v>
      </c>
      <c r="B180" t="str">
        <f t="shared" si="7"/>
        <v>SEVROLL Maxim spojovacia lišta H18 1,8m oliv</v>
      </c>
      <c r="C180" s="198" t="e">
        <f t="shared" si="6"/>
        <v>#N/A</v>
      </c>
      <c r="D180" s="526" t="s">
        <v>3202</v>
      </c>
      <c r="E180" s="526" t="s">
        <v>3995</v>
      </c>
      <c r="F180" s="526" t="s">
        <v>1151</v>
      </c>
      <c r="G180" s="526" t="s">
        <v>3996</v>
      </c>
      <c r="H180" s="412" t="e">
        <v>#N/A</v>
      </c>
      <c r="I180" s="411" t="e">
        <v>#N/A</v>
      </c>
      <c r="J180" s="411" t="e">
        <v>#N/A</v>
      </c>
      <c r="K180" s="411" t="e">
        <v>#N/A</v>
      </c>
      <c r="L180" s="526" t="e">
        <v>#N/A</v>
      </c>
      <c r="M180" s="409" t="s">
        <v>586</v>
      </c>
      <c r="N180" s="195">
        <v>182.92400000000001</v>
      </c>
    </row>
    <row r="181" spans="1:14" ht="15" x14ac:dyDescent="0.25">
      <c r="A181" s="410">
        <v>223331</v>
      </c>
      <c r="B181" t="str">
        <f t="shared" si="7"/>
        <v>SEVROLL uholník K2 3m oliva tmavá kartáč.</v>
      </c>
      <c r="C181" s="198">
        <f t="shared" si="6"/>
        <v>8.5665999999999993</v>
      </c>
      <c r="D181" s="526" t="s">
        <v>3064</v>
      </c>
      <c r="E181" s="526" t="s">
        <v>3997</v>
      </c>
      <c r="F181" s="526" t="s">
        <v>1117</v>
      </c>
      <c r="G181" s="526" t="s">
        <v>3998</v>
      </c>
      <c r="H181" s="412">
        <v>237.20071999999999</v>
      </c>
      <c r="I181" s="411">
        <v>8.5665999999999993</v>
      </c>
      <c r="J181" s="411">
        <v>31.558800000000002</v>
      </c>
      <c r="K181" s="411">
        <v>3261.0834300000001</v>
      </c>
      <c r="L181" s="526" t="s">
        <v>554</v>
      </c>
      <c r="M181" s="409" t="s">
        <v>586</v>
      </c>
      <c r="N181" s="195">
        <v>183.57730000000001</v>
      </c>
    </row>
    <row r="182" spans="1:14" ht="15" x14ac:dyDescent="0.25">
      <c r="A182" s="410">
        <v>212760</v>
      </c>
      <c r="B182" t="str">
        <f t="shared" si="7"/>
        <v>SEVROLL Slim Line II rámová lišta 2,7m strieborná</v>
      </c>
      <c r="C182" s="198">
        <f t="shared" si="6"/>
        <v>8.6440099999999997</v>
      </c>
      <c r="D182" s="526" t="s">
        <v>3017</v>
      </c>
      <c r="E182" s="526" t="s">
        <v>3999</v>
      </c>
      <c r="F182" s="526" t="s">
        <v>4000</v>
      </c>
      <c r="G182" s="526" t="s">
        <v>4001</v>
      </c>
      <c r="H182" s="412">
        <v>239.3441</v>
      </c>
      <c r="I182" s="411">
        <v>8.6440099999999997</v>
      </c>
      <c r="J182" s="411">
        <v>30.498000000000001</v>
      </c>
      <c r="K182" s="411">
        <v>3290.5509000000002</v>
      </c>
      <c r="L182" s="526" t="s">
        <v>554</v>
      </c>
      <c r="M182" s="409" t="s">
        <v>586</v>
      </c>
      <c r="N182" s="195">
        <v>184.23060000000001</v>
      </c>
    </row>
    <row r="183" spans="1:14" ht="15" x14ac:dyDescent="0.25">
      <c r="A183" s="410">
        <v>234762</v>
      </c>
      <c r="B183" t="str">
        <f t="shared" si="7"/>
        <v>SEVROLL spojovacia lišta H08/16 3m oliva</v>
      </c>
      <c r="C183" s="198">
        <f t="shared" si="6"/>
        <v>0</v>
      </c>
      <c r="D183" s="526" t="s">
        <v>3195</v>
      </c>
      <c r="E183" s="526" t="s">
        <v>4002</v>
      </c>
      <c r="F183" s="526" t="s">
        <v>4003</v>
      </c>
      <c r="G183" s="526" t="s">
        <v>4004</v>
      </c>
      <c r="H183" s="412">
        <v>0</v>
      </c>
      <c r="I183" s="411">
        <v>0</v>
      </c>
      <c r="J183" s="411">
        <v>33.774619999999999</v>
      </c>
      <c r="K183" s="411">
        <v>0</v>
      </c>
      <c r="L183" s="526" t="s">
        <v>555</v>
      </c>
      <c r="M183" s="409" t="s">
        <v>586</v>
      </c>
      <c r="N183" s="195">
        <v>184.23060000000001</v>
      </c>
    </row>
    <row r="184" spans="1:14" ht="15" x14ac:dyDescent="0.25">
      <c r="A184" s="410">
        <v>135151</v>
      </c>
      <c r="B184" t="str">
        <f t="shared" si="7"/>
        <v>SEVROLL 01877 spojovacia lišta H08/18 3m oliva</v>
      </c>
      <c r="C184" s="198">
        <f t="shared" si="6"/>
        <v>10.68244</v>
      </c>
      <c r="D184" s="526" t="s">
        <v>2874</v>
      </c>
      <c r="E184" s="526" t="s">
        <v>4005</v>
      </c>
      <c r="F184" s="526" t="s">
        <v>4006</v>
      </c>
      <c r="G184" s="526" t="s">
        <v>4007</v>
      </c>
      <c r="H184" s="412">
        <v>295.78644000000003</v>
      </c>
      <c r="I184" s="411">
        <v>10.68244</v>
      </c>
      <c r="J184" s="411">
        <v>36.606200000000001</v>
      </c>
      <c r="K184" s="411">
        <v>4066.5314899999998</v>
      </c>
      <c r="L184" s="526" t="s">
        <v>554</v>
      </c>
      <c r="M184" s="409" t="s">
        <v>586</v>
      </c>
      <c r="N184" s="195">
        <v>184.23060000000001</v>
      </c>
    </row>
    <row r="185" spans="1:14" ht="15" x14ac:dyDescent="0.25">
      <c r="A185" s="410">
        <v>349809</v>
      </c>
      <c r="B185" t="str">
        <f t="shared" si="7"/>
        <v>SEVROLL 04490 Blue-V spodné vedenie  2m oliva</v>
      </c>
      <c r="C185" s="198">
        <f t="shared" si="6"/>
        <v>9.9986599999999992</v>
      </c>
      <c r="D185" s="526" t="s">
        <v>3426</v>
      </c>
      <c r="E185" s="526" t="s">
        <v>4008</v>
      </c>
      <c r="F185" s="526" t="s">
        <v>4009</v>
      </c>
      <c r="G185" s="526" t="s">
        <v>4010</v>
      </c>
      <c r="H185" s="412">
        <v>274.21899999999999</v>
      </c>
      <c r="I185" s="411">
        <v>9.9986599999999992</v>
      </c>
      <c r="J185" s="411">
        <v>37.583959999999998</v>
      </c>
      <c r="K185" s="411">
        <v>3883.9126999999999</v>
      </c>
      <c r="L185" s="526" t="s">
        <v>553</v>
      </c>
      <c r="M185" s="409" t="s">
        <v>586</v>
      </c>
      <c r="N185" s="195">
        <v>185.3982</v>
      </c>
    </row>
    <row r="186" spans="1:14" ht="15" x14ac:dyDescent="0.25">
      <c r="A186" s="410">
        <v>89013</v>
      </c>
      <c r="B186" t="str">
        <f t="shared" si="7"/>
        <v>SEVROLL 01373 spojovacia lišta T Decor 3m strieborná</v>
      </c>
      <c r="C186" s="198">
        <f t="shared" si="6"/>
        <v>9.2374700000000001</v>
      </c>
      <c r="D186" s="526" t="s">
        <v>2728</v>
      </c>
      <c r="E186" s="526" t="s">
        <v>4011</v>
      </c>
      <c r="F186" s="526" t="s">
        <v>4012</v>
      </c>
      <c r="G186" s="526" t="s">
        <v>2728</v>
      </c>
      <c r="H186" s="412">
        <v>255.77668</v>
      </c>
      <c r="I186" s="411">
        <v>9.2374700000000001</v>
      </c>
      <c r="J186" s="411">
        <v>34.210799999999999</v>
      </c>
      <c r="K186" s="411">
        <v>3516.4691699999998</v>
      </c>
      <c r="L186" s="526" t="s">
        <v>553</v>
      </c>
      <c r="M186" s="409" t="s">
        <v>586</v>
      </c>
      <c r="N186" s="195">
        <v>185.53720000000001</v>
      </c>
    </row>
    <row r="187" spans="1:14" ht="15" x14ac:dyDescent="0.25">
      <c r="A187" s="410">
        <v>349864</v>
      </c>
      <c r="B187" t="str">
        <f t="shared" si="7"/>
        <v>SEVROLL 04486 Blue-C spodné vedenie 3m strieborná</v>
      </c>
      <c r="C187" s="198">
        <f t="shared" si="6"/>
        <v>9.9599600000000006</v>
      </c>
      <c r="D187" s="526" t="s">
        <v>3443</v>
      </c>
      <c r="E187" s="526" t="s">
        <v>4013</v>
      </c>
      <c r="F187" s="526" t="s">
        <v>4014</v>
      </c>
      <c r="G187" s="526" t="s">
        <v>4015</v>
      </c>
      <c r="H187" s="412">
        <v>272.80549999999999</v>
      </c>
      <c r="I187" s="411">
        <v>9.9599600000000006</v>
      </c>
      <c r="J187" s="411">
        <v>40.997819999999997</v>
      </c>
      <c r="K187" s="411">
        <v>3868.87808</v>
      </c>
      <c r="L187" s="526" t="s">
        <v>554</v>
      </c>
      <c r="M187" s="409" t="s">
        <v>586</v>
      </c>
      <c r="N187" s="195">
        <v>186.14879999999999</v>
      </c>
    </row>
    <row r="188" spans="1:14" ht="15" x14ac:dyDescent="0.25">
      <c r="A188" s="410">
        <v>229442</v>
      </c>
      <c r="B188" t="str">
        <f t="shared" si="7"/>
        <v>SEVROLL 10205 Master horný vozík 10mm - 2ks</v>
      </c>
      <c r="C188" s="198">
        <f t="shared" si="6"/>
        <v>7.5254500000000002</v>
      </c>
      <c r="D188" s="526" t="s">
        <v>3182</v>
      </c>
      <c r="E188" s="526" t="s">
        <v>4016</v>
      </c>
      <c r="F188" s="526" t="s">
        <v>4017</v>
      </c>
      <c r="G188" s="526" t="s">
        <v>4018</v>
      </c>
      <c r="H188" s="412">
        <v>221.37979999999999</v>
      </c>
      <c r="I188" s="411">
        <v>7.5254500000000002</v>
      </c>
      <c r="J188" s="411">
        <v>25.3689</v>
      </c>
      <c r="K188" s="411">
        <v>2923.2080799999999</v>
      </c>
      <c r="L188" s="526" t="s">
        <v>553</v>
      </c>
      <c r="M188" s="409" t="s">
        <v>587</v>
      </c>
      <c r="N188" s="195">
        <v>186.84379999999999</v>
      </c>
    </row>
    <row r="189" spans="1:14" ht="15" x14ac:dyDescent="0.25">
      <c r="A189" s="410">
        <v>143984</v>
      </c>
      <c r="B189" t="str">
        <f t="shared" si="7"/>
        <v>SEVROLL ERGO UCH.LIŠTA.2,70m OLIVOVÁ</v>
      </c>
      <c r="C189" s="198">
        <f t="shared" si="6"/>
        <v>9.2374700000000001</v>
      </c>
      <c r="D189" s="526" t="s">
        <v>2903</v>
      </c>
      <c r="E189" s="526" t="s">
        <v>4019</v>
      </c>
      <c r="F189" s="526" t="s">
        <v>4020</v>
      </c>
      <c r="G189" s="526" t="s">
        <v>4021</v>
      </c>
      <c r="H189" s="412">
        <v>287.92738000000003</v>
      </c>
      <c r="I189" s="411">
        <v>9.2374700000000001</v>
      </c>
      <c r="J189" s="411">
        <v>41.357080000000003</v>
      </c>
      <c r="K189" s="411">
        <v>3516.4691699999998</v>
      </c>
      <c r="L189" s="526" t="s">
        <v>553</v>
      </c>
      <c r="M189" s="409" t="s">
        <v>586</v>
      </c>
      <c r="N189" s="195">
        <v>188.15039999999999</v>
      </c>
    </row>
    <row r="190" spans="1:14" ht="15" x14ac:dyDescent="0.25">
      <c r="A190" s="410">
        <v>135149</v>
      </c>
      <c r="B190" t="str">
        <f t="shared" si="7"/>
        <v>SEVROLL 01710 SPOJOVACIA LIŠTA H04/18 3M STRIEBN</v>
      </c>
      <c r="C190" s="198">
        <f t="shared" si="6"/>
        <v>8.4633800000000008</v>
      </c>
      <c r="D190" s="526" t="s">
        <v>4022</v>
      </c>
      <c r="E190" s="526" t="s">
        <v>4023</v>
      </c>
      <c r="F190" s="526" t="s">
        <v>4024</v>
      </c>
      <c r="G190" s="526" t="s">
        <v>4025</v>
      </c>
      <c r="H190" s="412">
        <v>234.34288000000001</v>
      </c>
      <c r="I190" s="411">
        <v>8.4633800000000008</v>
      </c>
      <c r="J190" s="411">
        <v>29.712599999999998</v>
      </c>
      <c r="K190" s="411">
        <v>3221.79297</v>
      </c>
      <c r="L190" s="526" t="s">
        <v>553</v>
      </c>
      <c r="M190" s="409" t="s">
        <v>586</v>
      </c>
      <c r="N190" s="195">
        <v>188.15039999999999</v>
      </c>
    </row>
    <row r="191" spans="1:14" ht="15" x14ac:dyDescent="0.25">
      <c r="A191" s="410">
        <v>135152</v>
      </c>
      <c r="B191" t="str">
        <f t="shared" si="7"/>
        <v>SEVROLL spojovacia lišta H08/18 3m strieborn</v>
      </c>
      <c r="C191" s="198">
        <f t="shared" si="6"/>
        <v>8.7472200000000004</v>
      </c>
      <c r="D191" s="526" t="s">
        <v>2875</v>
      </c>
      <c r="E191" s="526" t="s">
        <v>4026</v>
      </c>
      <c r="F191" s="526" t="s">
        <v>1233</v>
      </c>
      <c r="G191" s="526" t="s">
        <v>4027</v>
      </c>
      <c r="H191" s="412">
        <v>242.20194000000001</v>
      </c>
      <c r="I191" s="411">
        <v>8.7472200000000004</v>
      </c>
      <c r="J191" s="411">
        <v>39.694769999999998</v>
      </c>
      <c r="K191" s="411">
        <v>3329.8409900000001</v>
      </c>
      <c r="L191" s="526" t="s">
        <v>553</v>
      </c>
      <c r="M191" s="409" t="s">
        <v>586</v>
      </c>
      <c r="N191" s="195">
        <v>188.15039999999999</v>
      </c>
    </row>
    <row r="192" spans="1:14" ht="15" x14ac:dyDescent="0.25">
      <c r="A192" s="410">
        <v>163125</v>
      </c>
      <c r="B192" t="str">
        <f t="shared" si="7"/>
        <v>SEVROLL 163125 Doubler II maska 3m strieborná</v>
      </c>
      <c r="C192" s="198">
        <f t="shared" si="6"/>
        <v>8.1795500000000008</v>
      </c>
      <c r="D192" s="526" t="s">
        <v>2920</v>
      </c>
      <c r="E192" s="526" t="s">
        <v>4028</v>
      </c>
      <c r="F192" s="526" t="s">
        <v>4029</v>
      </c>
      <c r="G192" s="526" t="s">
        <v>4030</v>
      </c>
      <c r="H192" s="412">
        <v>226.48382000000001</v>
      </c>
      <c r="I192" s="411">
        <v>8.1795500000000008</v>
      </c>
      <c r="J192" s="411">
        <v>28.845600000000001</v>
      </c>
      <c r="K192" s="411">
        <v>3113.7453300000002</v>
      </c>
      <c r="L192" s="526" t="s">
        <v>553</v>
      </c>
      <c r="M192" s="409" t="s">
        <v>586</v>
      </c>
      <c r="N192" s="195">
        <v>189.45699999999999</v>
      </c>
    </row>
    <row r="193" spans="1:14" ht="15" x14ac:dyDescent="0.25">
      <c r="A193" s="410">
        <v>135136</v>
      </c>
      <c r="B193" t="str">
        <f t="shared" si="7"/>
        <v>SEVROLL 05546 Factor 18 II úchytová lišta 2,7m strieborná</v>
      </c>
      <c r="C193" s="198">
        <f t="shared" si="6"/>
        <v>10.321199999999999</v>
      </c>
      <c r="D193" s="526" t="s">
        <v>2873</v>
      </c>
      <c r="E193" s="526" t="s">
        <v>4031</v>
      </c>
      <c r="F193" s="526" t="s">
        <v>4032</v>
      </c>
      <c r="G193" s="526" t="s">
        <v>4033</v>
      </c>
      <c r="H193" s="412">
        <v>285.78399999999999</v>
      </c>
      <c r="I193" s="411">
        <v>10.321199999999999</v>
      </c>
      <c r="J193" s="411">
        <v>45.462009999999999</v>
      </c>
      <c r="K193" s="411">
        <v>3929.0160000000001</v>
      </c>
      <c r="L193" s="526" t="s">
        <v>710</v>
      </c>
      <c r="M193" s="409" t="s">
        <v>586</v>
      </c>
      <c r="N193" s="195">
        <v>190.1103</v>
      </c>
    </row>
    <row r="194" spans="1:14" ht="15" x14ac:dyDescent="0.25">
      <c r="A194" s="410">
        <v>224018</v>
      </c>
      <c r="B194" t="str">
        <f t="shared" si="7"/>
        <v>SEVROLL Simple spodné vedenie 2,5m strieborná</v>
      </c>
      <c r="C194" s="198">
        <f t="shared" si="6"/>
        <v>9.4438999999999993</v>
      </c>
      <c r="D194" s="526" t="s">
        <v>3114</v>
      </c>
      <c r="E194" s="526" t="s">
        <v>4034</v>
      </c>
      <c r="F194" s="526" t="s">
        <v>4035</v>
      </c>
      <c r="G194" s="526" t="s">
        <v>4036</v>
      </c>
      <c r="H194" s="412">
        <v>258.6705</v>
      </c>
      <c r="I194" s="411">
        <v>9.4438999999999993</v>
      </c>
      <c r="J194" s="411">
        <v>34.437539999999998</v>
      </c>
      <c r="K194" s="411">
        <v>3668.4180799999999</v>
      </c>
      <c r="L194" s="526" t="s">
        <v>554</v>
      </c>
      <c r="M194" s="409" t="s">
        <v>586</v>
      </c>
      <c r="N194" s="195">
        <v>190.6524</v>
      </c>
    </row>
    <row r="195" spans="1:14" ht="15" x14ac:dyDescent="0.25">
      <c r="A195" s="410">
        <v>223394</v>
      </c>
      <c r="B195" t="str">
        <f t="shared" si="7"/>
        <v>SEVROLL uholník K2 3m čierna kartač</v>
      </c>
      <c r="C195" s="198">
        <f t="shared" ref="C195:C258" si="8">IF($A$2=1,H195,IF($A$2=2,I195,IF($A$2=3,J195,IF($A$2=4,K195,"zadat jazyk"))))</f>
        <v>8.5665999999999993</v>
      </c>
      <c r="D195" s="526" t="s">
        <v>3072</v>
      </c>
      <c r="E195" s="526" t="s">
        <v>4037</v>
      </c>
      <c r="F195" s="526" t="s">
        <v>1223</v>
      </c>
      <c r="G195" s="526" t="s">
        <v>4038</v>
      </c>
      <c r="H195" s="412">
        <v>237.20071999999999</v>
      </c>
      <c r="I195" s="411">
        <v>8.5665999999999993</v>
      </c>
      <c r="J195" s="411">
        <v>31.558800000000002</v>
      </c>
      <c r="K195" s="411">
        <v>3261.0834300000001</v>
      </c>
      <c r="L195" s="526" t="s">
        <v>553</v>
      </c>
      <c r="M195" s="409" t="s">
        <v>586</v>
      </c>
      <c r="N195" s="195">
        <v>192.7235</v>
      </c>
    </row>
    <row r="196" spans="1:14" ht="15" x14ac:dyDescent="0.25">
      <c r="A196" s="410">
        <v>191702</v>
      </c>
      <c r="B196" t="str">
        <f t="shared" si="7"/>
        <v>SEVROLL uholník K2 Decor 3m oliva kartáč.</v>
      </c>
      <c r="C196" s="198">
        <f t="shared" si="8"/>
        <v>8.5665999999999993</v>
      </c>
      <c r="D196" s="526" t="s">
        <v>2964</v>
      </c>
      <c r="E196" s="526" t="s">
        <v>4039</v>
      </c>
      <c r="F196" s="526" t="s">
        <v>1220</v>
      </c>
      <c r="G196" s="526" t="s">
        <v>4040</v>
      </c>
      <c r="H196" s="412">
        <v>237.20071999999999</v>
      </c>
      <c r="I196" s="411">
        <v>8.5665999999999993</v>
      </c>
      <c r="J196" s="411">
        <v>31.558800000000002</v>
      </c>
      <c r="K196" s="411">
        <v>3261.0834300000001</v>
      </c>
      <c r="L196" s="526" t="s">
        <v>553</v>
      </c>
      <c r="M196" s="409" t="s">
        <v>586</v>
      </c>
      <c r="N196" s="195">
        <v>192.7235</v>
      </c>
    </row>
    <row r="197" spans="1:14" ht="15" x14ac:dyDescent="0.25">
      <c r="A197" s="415">
        <v>213609</v>
      </c>
      <c r="B197" t="str">
        <f t="shared" si="7"/>
        <v>SEVROLL Hide M spodné vedenie Hide M 3m stri</v>
      </c>
      <c r="C197" s="198">
        <f t="shared" si="8"/>
        <v>8.66981</v>
      </c>
      <c r="D197" s="526" t="s">
        <v>3025</v>
      </c>
      <c r="E197" s="526" t="s">
        <v>4041</v>
      </c>
      <c r="F197" s="526" t="s">
        <v>1269</v>
      </c>
      <c r="G197" s="526" t="s">
        <v>4042</v>
      </c>
      <c r="H197" s="412">
        <v>228.83279999999999</v>
      </c>
      <c r="I197" s="411">
        <v>8.66981</v>
      </c>
      <c r="J197" s="411">
        <v>29.8307</v>
      </c>
      <c r="K197" s="411">
        <v>3192.6461599999998</v>
      </c>
      <c r="L197" s="526" t="s">
        <v>553</v>
      </c>
      <c r="M197" s="416" t="s">
        <v>586</v>
      </c>
      <c r="N197" s="195">
        <v>194.99753999999999</v>
      </c>
    </row>
    <row r="198" spans="1:14" ht="15" x14ac:dyDescent="0.25">
      <c r="A198" s="413">
        <v>167749</v>
      </c>
      <c r="B198" t="e">
        <f t="shared" si="7"/>
        <v>#N/A</v>
      </c>
      <c r="C198" s="198" t="e">
        <f t="shared" si="8"/>
        <v>#N/A</v>
      </c>
      <c r="D198" s="526" t="e">
        <v>#N/A</v>
      </c>
      <c r="E198" s="526" t="e">
        <v>#N/A</v>
      </c>
      <c r="F198" s="526" t="e">
        <v>#N/A</v>
      </c>
      <c r="G198" s="526" t="e">
        <v>#N/A</v>
      </c>
      <c r="H198" s="412" t="e">
        <v>#N/A</v>
      </c>
      <c r="I198" s="411" t="e">
        <v>#N/A</v>
      </c>
      <c r="J198" s="411" t="e">
        <v>#N/A</v>
      </c>
      <c r="K198" s="411" t="e">
        <v>#N/A</v>
      </c>
      <c r="L198" s="526" t="e">
        <v>#N/A</v>
      </c>
      <c r="M198" s="414" t="s">
        <v>586</v>
      </c>
      <c r="N198" s="195">
        <v>195.5</v>
      </c>
    </row>
    <row r="199" spans="1:14" ht="15" x14ac:dyDescent="0.25">
      <c r="A199" s="415">
        <v>189177</v>
      </c>
      <c r="B199" t="str">
        <f t="shared" si="7"/>
        <v>SEVROLL 02580 Hide N spodné vedenie 2,35m strieborná</v>
      </c>
      <c r="C199" s="198">
        <f t="shared" si="8"/>
        <v>9.8838399999999993</v>
      </c>
      <c r="D199" s="526" t="s">
        <v>2949</v>
      </c>
      <c r="E199" s="526" t="s">
        <v>4043</v>
      </c>
      <c r="F199" s="526" t="s">
        <v>4044</v>
      </c>
      <c r="G199" s="526" t="s">
        <v>4045</v>
      </c>
      <c r="H199" s="412">
        <v>260.87619999999998</v>
      </c>
      <c r="I199" s="411">
        <v>9.8838399999999993</v>
      </c>
      <c r="J199" s="411">
        <v>34.00788</v>
      </c>
      <c r="K199" s="411">
        <v>3639.7125000000001</v>
      </c>
      <c r="L199" s="526" t="s">
        <v>554</v>
      </c>
      <c r="M199" s="416" t="s">
        <v>586</v>
      </c>
      <c r="N199" s="195">
        <v>198.15284</v>
      </c>
    </row>
    <row r="200" spans="1:14" ht="15" x14ac:dyDescent="0.25">
      <c r="A200" s="410">
        <v>224148</v>
      </c>
      <c r="B200" t="str">
        <f t="shared" si="7"/>
        <v>SEVROLL 03757 horná vodiaca lišta Simple/Blue 2,5m (pre lamino 10mm) strieborná</v>
      </c>
      <c r="C200" s="198">
        <f t="shared" si="8"/>
        <v>9.9341600000000003</v>
      </c>
      <c r="D200" s="526" t="s">
        <v>3139</v>
      </c>
      <c r="E200" s="526" t="s">
        <v>4046</v>
      </c>
      <c r="F200" s="526" t="s">
        <v>4047</v>
      </c>
      <c r="G200" s="526" t="s">
        <v>4048</v>
      </c>
      <c r="H200" s="412">
        <v>272.09875</v>
      </c>
      <c r="I200" s="411">
        <v>9.9341600000000003</v>
      </c>
      <c r="J200" s="411">
        <v>38.008719999999997</v>
      </c>
      <c r="K200" s="411">
        <v>3858.855</v>
      </c>
      <c r="L200" s="526" t="s">
        <v>554</v>
      </c>
      <c r="M200" s="409" t="s">
        <v>586</v>
      </c>
      <c r="N200" s="195">
        <v>198.1584</v>
      </c>
    </row>
    <row r="201" spans="1:14" ht="15" x14ac:dyDescent="0.25">
      <c r="A201" s="410">
        <v>224152</v>
      </c>
      <c r="B201" t="str">
        <f t="shared" si="7"/>
        <v>SEVROLL spodná krycia lišta Simple/Blue 1,5m (pre lamino 10mm) strieborná</v>
      </c>
      <c r="C201" s="198">
        <f t="shared" si="8"/>
        <v>9.9599600000000006</v>
      </c>
      <c r="D201" s="526" t="s">
        <v>3143</v>
      </c>
      <c r="E201" s="526" t="s">
        <v>4049</v>
      </c>
      <c r="F201" s="526" t="s">
        <v>4050</v>
      </c>
      <c r="G201" s="526" t="s">
        <v>4051</v>
      </c>
      <c r="H201" s="412">
        <v>272.80549999999999</v>
      </c>
      <c r="I201" s="411">
        <v>9.9599600000000006</v>
      </c>
      <c r="J201" s="411">
        <v>34.248750000000001</v>
      </c>
      <c r="K201" s="411">
        <v>3868.87808</v>
      </c>
      <c r="L201" s="526" t="s">
        <v>553</v>
      </c>
      <c r="M201" s="409" t="s">
        <v>586</v>
      </c>
      <c r="N201" s="195">
        <v>198.1584</v>
      </c>
    </row>
    <row r="202" spans="1:14" ht="15" x14ac:dyDescent="0.25">
      <c r="A202" s="410">
        <v>163132</v>
      </c>
      <c r="B202" t="str">
        <f t="shared" si="7"/>
        <v>SEVROLL 02861 Doubler II maska 3m oliva</v>
      </c>
      <c r="C202" s="198">
        <f t="shared" si="8"/>
        <v>9.9857600000000009</v>
      </c>
      <c r="D202" s="526" t="s">
        <v>2924</v>
      </c>
      <c r="E202" s="526" t="s">
        <v>4052</v>
      </c>
      <c r="F202" s="526" t="s">
        <v>2924</v>
      </c>
      <c r="G202" s="526" t="s">
        <v>4053</v>
      </c>
      <c r="H202" s="412">
        <v>276.49601999999999</v>
      </c>
      <c r="I202" s="411">
        <v>9.9857600000000009</v>
      </c>
      <c r="J202" s="411">
        <v>33.888100000000001</v>
      </c>
      <c r="K202" s="411">
        <v>3801.3231300000002</v>
      </c>
      <c r="L202" s="526" t="s">
        <v>554</v>
      </c>
      <c r="M202" s="409" t="s">
        <v>586</v>
      </c>
      <c r="N202" s="195">
        <v>198.60319999999999</v>
      </c>
    </row>
    <row r="203" spans="1:14" ht="15" x14ac:dyDescent="0.25">
      <c r="A203" s="410">
        <v>349813</v>
      </c>
      <c r="B203" t="str">
        <f t="shared" si="7"/>
        <v>SEVROLL 04497 Blue-V spodné vedenie 2,5m strieborná</v>
      </c>
      <c r="C203" s="198">
        <f t="shared" si="8"/>
        <v>9.9986599999999992</v>
      </c>
      <c r="D203" s="526" t="s">
        <v>3430</v>
      </c>
      <c r="E203" s="526" t="s">
        <v>4054</v>
      </c>
      <c r="F203" s="526" t="s">
        <v>4055</v>
      </c>
      <c r="G203" s="526" t="s">
        <v>4056</v>
      </c>
      <c r="H203" s="412">
        <v>274.21899999999999</v>
      </c>
      <c r="I203" s="411">
        <v>9.9986599999999992</v>
      </c>
      <c r="J203" s="411">
        <v>41.627099999999999</v>
      </c>
      <c r="K203" s="411">
        <v>3883.9126999999999</v>
      </c>
      <c r="L203" s="526" t="s">
        <v>554</v>
      </c>
      <c r="M203" s="409" t="s">
        <v>586</v>
      </c>
      <c r="N203" s="195">
        <v>198.90899999999999</v>
      </c>
    </row>
    <row r="204" spans="1:14" ht="15" x14ac:dyDescent="0.25">
      <c r="A204" s="410">
        <v>308635</v>
      </c>
      <c r="B204" t="str">
        <f t="shared" si="7"/>
        <v>SEVROLL tlmič dorazu Mini SV-60 (40-60kg)</v>
      </c>
      <c r="C204" s="198">
        <f t="shared" si="8"/>
        <v>9.4864800000000002</v>
      </c>
      <c r="D204" s="526" t="s">
        <v>3328</v>
      </c>
      <c r="E204" s="526" t="s">
        <v>4057</v>
      </c>
      <c r="F204" s="526" t="s">
        <v>4058</v>
      </c>
      <c r="G204" s="526" t="s">
        <v>4059</v>
      </c>
      <c r="H204" s="412">
        <v>278.99919999999997</v>
      </c>
      <c r="I204" s="411">
        <v>9.4864800000000002</v>
      </c>
      <c r="J204" s="411">
        <v>38.056199999999997</v>
      </c>
      <c r="K204" s="411">
        <v>3684.95615</v>
      </c>
      <c r="L204" s="526" t="s">
        <v>554</v>
      </c>
      <c r="M204" s="409" t="s">
        <v>586</v>
      </c>
      <c r="N204" s="195">
        <v>199.25649999999999</v>
      </c>
    </row>
    <row r="205" spans="1:14" ht="15" x14ac:dyDescent="0.25">
      <c r="A205" s="410">
        <v>228213</v>
      </c>
      <c r="B205" t="str">
        <f t="shared" si="7"/>
        <v>SEVROLL Fiesta 16 úchytová lišta 2,70m strieborná</v>
      </c>
      <c r="C205" s="198">
        <f t="shared" si="8"/>
        <v>8.7900600000000004</v>
      </c>
      <c r="D205" s="526" t="s">
        <v>3175</v>
      </c>
      <c r="E205" s="526" t="s">
        <v>4060</v>
      </c>
      <c r="F205" s="526" t="s">
        <v>4061</v>
      </c>
      <c r="G205" s="526" t="s">
        <v>4062</v>
      </c>
      <c r="H205" s="412" t="e">
        <v>#N/A</v>
      </c>
      <c r="I205" s="411">
        <v>8.7900600000000004</v>
      </c>
      <c r="J205" s="411">
        <v>30.724810000000002</v>
      </c>
      <c r="K205" s="411">
        <v>0</v>
      </c>
      <c r="L205" s="526" t="e">
        <v>#N/A</v>
      </c>
      <c r="M205" s="409" t="s">
        <v>586</v>
      </c>
      <c r="N205" s="195">
        <v>202.523</v>
      </c>
    </row>
    <row r="206" spans="1:14" ht="15" x14ac:dyDescent="0.25">
      <c r="A206" s="415">
        <v>223405</v>
      </c>
      <c r="B206" t="str">
        <f t="shared" si="7"/>
        <v>SEVROLL Hide M spodné vedenie 3m oliva</v>
      </c>
      <c r="C206" s="198">
        <f t="shared" si="8"/>
        <v>10.527620000000001</v>
      </c>
      <c r="D206" s="526" t="s">
        <v>3073</v>
      </c>
      <c r="E206" s="526" t="s">
        <v>4063</v>
      </c>
      <c r="F206" s="526" t="s">
        <v>4064</v>
      </c>
      <c r="G206" s="526" t="s">
        <v>4065</v>
      </c>
      <c r="H206" s="412">
        <v>277.86840000000001</v>
      </c>
      <c r="I206" s="411">
        <v>10.527620000000001</v>
      </c>
      <c r="J206" s="411">
        <v>36.22298</v>
      </c>
      <c r="K206" s="411">
        <v>3876.7846300000001</v>
      </c>
      <c r="L206" s="526" t="s">
        <v>554</v>
      </c>
      <c r="M206" s="416" t="s">
        <v>586</v>
      </c>
      <c r="N206" s="195">
        <v>203.20132000000001</v>
      </c>
    </row>
    <row r="207" spans="1:14" ht="15" x14ac:dyDescent="0.25">
      <c r="A207" s="410">
        <v>349865</v>
      </c>
      <c r="B207" t="str">
        <f t="shared" si="7"/>
        <v>SEVROLL 04480 Blue-C spodné vedenie 3m oliva</v>
      </c>
      <c r="C207" s="198">
        <f t="shared" si="8"/>
        <v>11.86938</v>
      </c>
      <c r="D207" s="526" t="s">
        <v>3444</v>
      </c>
      <c r="E207" s="526" t="s">
        <v>4066</v>
      </c>
      <c r="F207" s="526" t="s">
        <v>4067</v>
      </c>
      <c r="G207" s="526" t="s">
        <v>4068</v>
      </c>
      <c r="H207" s="412">
        <v>325.10500000000002</v>
      </c>
      <c r="I207" s="411">
        <v>11.86938</v>
      </c>
      <c r="J207" s="411">
        <v>45.780369999999998</v>
      </c>
      <c r="K207" s="411">
        <v>4610.58</v>
      </c>
      <c r="L207" s="526" t="s">
        <v>554</v>
      </c>
      <c r="M207" s="409" t="s">
        <v>586</v>
      </c>
      <c r="N207" s="195">
        <v>203.4126</v>
      </c>
    </row>
    <row r="208" spans="1:14" ht="15" x14ac:dyDescent="0.25">
      <c r="A208" s="410">
        <v>346115</v>
      </c>
      <c r="B208" t="str">
        <f t="shared" si="7"/>
        <v>SEVROLL 04361 maska Elegant II 4,05m oliva tmavá kartáčovaná</v>
      </c>
      <c r="C208" s="198">
        <f t="shared" si="8"/>
        <v>10.940469999999999</v>
      </c>
      <c r="D208" s="526" t="s">
        <v>3393</v>
      </c>
      <c r="E208" s="526" t="s">
        <v>4069</v>
      </c>
      <c r="F208" s="526" t="s">
        <v>3393</v>
      </c>
      <c r="G208" s="526" t="s">
        <v>4070</v>
      </c>
      <c r="H208" s="412">
        <v>302.93104</v>
      </c>
      <c r="I208" s="411">
        <v>10.940469999999999</v>
      </c>
      <c r="J208" s="411">
        <v>36.894599999999997</v>
      </c>
      <c r="K208" s="411">
        <v>4164.7568899999997</v>
      </c>
      <c r="L208" s="526" t="s">
        <v>554</v>
      </c>
      <c r="M208" s="409" t="s">
        <v>586</v>
      </c>
      <c r="N208" s="195">
        <v>204.4829</v>
      </c>
    </row>
    <row r="209" spans="1:14" ht="15" x14ac:dyDescent="0.25">
      <c r="A209" s="410">
        <v>308687</v>
      </c>
      <c r="B209" t="str">
        <f t="shared" si="7"/>
        <v>SEVROLL Fala úchytová lišta 10mm 2,5m strie</v>
      </c>
      <c r="C209" s="198">
        <f t="shared" si="8"/>
        <v>9.5987200000000001</v>
      </c>
      <c r="D209" s="526" t="s">
        <v>3341</v>
      </c>
      <c r="E209" s="526" t="s">
        <v>4071</v>
      </c>
      <c r="F209" s="526" t="s">
        <v>1194</v>
      </c>
      <c r="G209" s="526" t="s">
        <v>4072</v>
      </c>
      <c r="H209" s="412">
        <v>262.911</v>
      </c>
      <c r="I209" s="411">
        <v>9.5987200000000001</v>
      </c>
      <c r="J209" s="411">
        <v>42.051870000000001</v>
      </c>
      <c r="K209" s="411">
        <v>3728.5561499999999</v>
      </c>
      <c r="L209" s="526" t="s">
        <v>554</v>
      </c>
      <c r="M209" s="409" t="s">
        <v>586</v>
      </c>
      <c r="N209" s="195">
        <v>204.91380000000001</v>
      </c>
    </row>
    <row r="210" spans="1:14" ht="15" x14ac:dyDescent="0.25">
      <c r="A210" s="410">
        <v>308631</v>
      </c>
      <c r="B210" t="str">
        <f t="shared" si="7"/>
        <v>SEVROLL 20252 klin pre lamino hrúbka 2mm (100 ks)</v>
      </c>
      <c r="C210" s="198">
        <f t="shared" si="8"/>
        <v>8.7214100000000006</v>
      </c>
      <c r="D210" s="526" t="s">
        <v>3326</v>
      </c>
      <c r="E210" s="526" t="s">
        <v>4073</v>
      </c>
      <c r="F210" s="526" t="s">
        <v>4074</v>
      </c>
      <c r="G210" s="526" t="s">
        <v>4075</v>
      </c>
      <c r="H210" s="412">
        <v>241.48748000000001</v>
      </c>
      <c r="I210" s="411">
        <v>8.7214100000000006</v>
      </c>
      <c r="J210" s="411">
        <v>29.457999999999998</v>
      </c>
      <c r="K210" s="411">
        <v>3320.0183699999998</v>
      </c>
      <c r="L210" s="526" t="s">
        <v>553</v>
      </c>
      <c r="M210" s="409" t="s">
        <v>588</v>
      </c>
      <c r="N210" s="195">
        <v>207.09610000000001</v>
      </c>
    </row>
    <row r="211" spans="1:14" ht="15" x14ac:dyDescent="0.25">
      <c r="A211" s="410">
        <v>308640</v>
      </c>
      <c r="B211" t="str">
        <f t="shared" si="7"/>
        <v>SEVROLL okrasná lišta S18 s lepidlom 3m strieborná</v>
      </c>
      <c r="C211" s="198">
        <f t="shared" si="8"/>
        <v>11.40493</v>
      </c>
      <c r="D211" s="526" t="s">
        <v>3329</v>
      </c>
      <c r="E211" s="526" t="s">
        <v>4076</v>
      </c>
      <c r="F211" s="526" t="s">
        <v>4077</v>
      </c>
      <c r="G211" s="526" t="s">
        <v>4078</v>
      </c>
      <c r="H211" s="412">
        <v>315.79131999999998</v>
      </c>
      <c r="I211" s="411">
        <v>11.40493</v>
      </c>
      <c r="J211" s="411">
        <v>38.615499999999997</v>
      </c>
      <c r="K211" s="411">
        <v>4341.5628299999998</v>
      </c>
      <c r="L211" s="526" t="s">
        <v>554</v>
      </c>
      <c r="M211" s="409" t="s">
        <v>586</v>
      </c>
      <c r="N211" s="195">
        <v>207.09610000000001</v>
      </c>
    </row>
    <row r="212" spans="1:14" ht="15" x14ac:dyDescent="0.25">
      <c r="A212" s="410">
        <v>197746</v>
      </c>
      <c r="B212" t="str">
        <f t="shared" si="7"/>
        <v>SEVROLL 20214 Optima spodné vedenie 2,4m surová</v>
      </c>
      <c r="C212" s="198">
        <f t="shared" si="8"/>
        <v>9.9083500000000004</v>
      </c>
      <c r="D212" s="526" t="s">
        <v>2972</v>
      </c>
      <c r="E212" s="526" t="s">
        <v>4079</v>
      </c>
      <c r="F212" s="526" t="s">
        <v>4080</v>
      </c>
      <c r="G212" s="526" t="s">
        <v>4081</v>
      </c>
      <c r="H212" s="412">
        <v>274.35264000000001</v>
      </c>
      <c r="I212" s="411">
        <v>9.9083500000000004</v>
      </c>
      <c r="J212" s="411">
        <v>33.433799999999998</v>
      </c>
      <c r="K212" s="411">
        <v>3771.85529</v>
      </c>
      <c r="L212" s="526" t="s">
        <v>554</v>
      </c>
      <c r="M212" s="409" t="s">
        <v>586</v>
      </c>
      <c r="N212" s="195">
        <v>207.09610000000001</v>
      </c>
    </row>
    <row r="213" spans="1:14" ht="15" x14ac:dyDescent="0.25">
      <c r="A213" s="410">
        <v>130994</v>
      </c>
      <c r="B213" t="str">
        <f t="shared" si="7"/>
        <v>SEVROLL 01711 SPOJOVACia LIŠTA H04/18 3M OLIVA</v>
      </c>
      <c r="C213" s="198">
        <f t="shared" si="8"/>
        <v>10.295400000000001</v>
      </c>
      <c r="D213" s="526" t="s">
        <v>4082</v>
      </c>
      <c r="E213" s="526" t="s">
        <v>4083</v>
      </c>
      <c r="F213" s="526" t="s">
        <v>4084</v>
      </c>
      <c r="G213" s="526" t="s">
        <v>4085</v>
      </c>
      <c r="H213" s="412">
        <v>285.06954000000002</v>
      </c>
      <c r="I213" s="411">
        <v>10.295400000000001</v>
      </c>
      <c r="J213" s="411">
        <v>34.912700000000001</v>
      </c>
      <c r="K213" s="411">
        <v>3919.1933899999999</v>
      </c>
      <c r="L213" s="526" t="s">
        <v>553</v>
      </c>
      <c r="M213" s="409" t="s">
        <v>586</v>
      </c>
      <c r="N213" s="195">
        <v>207.09610000000001</v>
      </c>
    </row>
    <row r="214" spans="1:14" ht="15" x14ac:dyDescent="0.25">
      <c r="A214" s="410">
        <v>224155</v>
      </c>
      <c r="B214" t="str">
        <f t="shared" si="7"/>
        <v>SEVROLL 03751 spodná krycia lišta Simple/Blue 1,5m (pre lamino 10mm) oliva</v>
      </c>
      <c r="C214" s="198" t="e">
        <f t="shared" si="8"/>
        <v>#N/A</v>
      </c>
      <c r="D214" s="526" t="s">
        <v>3146</v>
      </c>
      <c r="E214" s="526" t="s">
        <v>4086</v>
      </c>
      <c r="F214" s="526" t="s">
        <v>4087</v>
      </c>
      <c r="G214" s="526" t="s">
        <v>4088</v>
      </c>
      <c r="H214" s="412" t="e">
        <v>#N/A</v>
      </c>
      <c r="I214" s="411" t="e">
        <v>#N/A</v>
      </c>
      <c r="J214" s="411" t="e">
        <v>#N/A</v>
      </c>
      <c r="K214" s="411" t="e">
        <v>#N/A</v>
      </c>
      <c r="L214" s="526" t="e">
        <v>#N/A</v>
      </c>
      <c r="M214" s="409" t="s">
        <v>586</v>
      </c>
      <c r="N214" s="195">
        <v>207.16560000000001</v>
      </c>
    </row>
    <row r="215" spans="1:14" ht="15" x14ac:dyDescent="0.25">
      <c r="A215" s="410">
        <v>284529</v>
      </c>
      <c r="B215" t="str">
        <f t="shared" si="7"/>
        <v>SEVROLL 20299 Pax záslepka profilu (4 ks) biela lesk</v>
      </c>
      <c r="C215" s="198">
        <f t="shared" si="8"/>
        <v>8.9897600000000004</v>
      </c>
      <c r="D215" s="526" t="s">
        <v>3276</v>
      </c>
      <c r="E215" s="526" t="s">
        <v>4089</v>
      </c>
      <c r="F215" s="526" t="s">
        <v>4090</v>
      </c>
      <c r="G215" s="526" t="s">
        <v>4091</v>
      </c>
      <c r="H215" s="412">
        <v>263.83620000000002</v>
      </c>
      <c r="I215" s="411">
        <v>8.9897600000000004</v>
      </c>
      <c r="J215" s="411">
        <v>34.68</v>
      </c>
      <c r="K215" s="411">
        <v>3492.0130800000002</v>
      </c>
      <c r="L215" s="526" t="s">
        <v>554</v>
      </c>
      <c r="M215" s="409" t="s">
        <v>588</v>
      </c>
      <c r="N215" s="195">
        <v>209.05600000000001</v>
      </c>
    </row>
    <row r="216" spans="1:14" ht="15" x14ac:dyDescent="0.25">
      <c r="A216" s="410">
        <v>132956</v>
      </c>
      <c r="B216" t="str">
        <f t="shared" si="7"/>
        <v>SEVROLL SP.VOZÍK WD10 V DUO 60 KG</v>
      </c>
      <c r="C216" s="198">
        <f t="shared" si="8"/>
        <v>0</v>
      </c>
      <c r="D216" s="526" t="s">
        <v>2863</v>
      </c>
      <c r="E216" s="526" t="s">
        <v>4092</v>
      </c>
      <c r="F216" s="526" t="s">
        <v>4093</v>
      </c>
      <c r="G216" s="526" t="s">
        <v>4094</v>
      </c>
      <c r="H216" s="412">
        <v>0</v>
      </c>
      <c r="I216" s="411">
        <v>0</v>
      </c>
      <c r="J216" s="411">
        <v>0</v>
      </c>
      <c r="K216" s="411">
        <v>0</v>
      </c>
      <c r="L216" s="526" t="s">
        <v>555</v>
      </c>
      <c r="M216" s="409" t="s">
        <v>586</v>
      </c>
      <c r="N216" s="195">
        <v>211.01589999999999</v>
      </c>
    </row>
    <row r="217" spans="1:14" ht="15" x14ac:dyDescent="0.25">
      <c r="A217" s="410">
        <v>135505</v>
      </c>
      <c r="B217" t="str">
        <f t="shared" si="7"/>
        <v>SEVROLL 04545 Factor 16 II úchytová lišta 2,7m oliva</v>
      </c>
      <c r="C217" s="198">
        <f t="shared" si="8"/>
        <v>12.675739999999999</v>
      </c>
      <c r="D217" s="526" t="s">
        <v>2888</v>
      </c>
      <c r="E217" s="526" t="s">
        <v>4095</v>
      </c>
      <c r="F217" s="526" t="s">
        <v>2888</v>
      </c>
      <c r="G217" s="526" t="s">
        <v>4096</v>
      </c>
      <c r="H217" s="412">
        <v>350.79986000000002</v>
      </c>
      <c r="I217" s="411">
        <v>12.675739999999999</v>
      </c>
      <c r="J217" s="411">
        <v>79.866</v>
      </c>
      <c r="K217" s="411">
        <v>4825.32287</v>
      </c>
      <c r="L217" s="526" t="s">
        <v>554</v>
      </c>
      <c r="M217" s="409" t="s">
        <v>586</v>
      </c>
      <c r="N217" s="195">
        <v>212.32249999999999</v>
      </c>
    </row>
    <row r="218" spans="1:14" ht="15" x14ac:dyDescent="0.25">
      <c r="A218" s="410">
        <v>135504</v>
      </c>
      <c r="B218" t="str">
        <f t="shared" si="7"/>
        <v>SEVROLL Factor 18 II-úchytová lišta zlatá 2,</v>
      </c>
      <c r="C218" s="198">
        <f t="shared" si="8"/>
        <v>7.3723099999999997</v>
      </c>
      <c r="D218" s="526" t="s">
        <v>2887</v>
      </c>
      <c r="E218" s="526" t="s">
        <v>4097</v>
      </c>
      <c r="F218" s="526" t="s">
        <v>1085</v>
      </c>
      <c r="G218" s="526" t="s">
        <v>4098</v>
      </c>
      <c r="H218" s="412" t="e">
        <v>#N/A</v>
      </c>
      <c r="I218" s="411">
        <v>7.3723099999999997</v>
      </c>
      <c r="J218" s="411">
        <v>0</v>
      </c>
      <c r="K218" s="411">
        <v>0</v>
      </c>
      <c r="L218" s="526" t="e">
        <v>#N/A</v>
      </c>
      <c r="M218" s="409" t="s">
        <v>586</v>
      </c>
      <c r="N218" s="195">
        <v>212.32249999999999</v>
      </c>
    </row>
    <row r="219" spans="1:14" ht="15" x14ac:dyDescent="0.25">
      <c r="A219" s="410">
        <v>224010</v>
      </c>
      <c r="B219" t="str">
        <f t="shared" si="7"/>
        <v>SEVROLL Simple horné vedenie 1,5m strieborná</v>
      </c>
      <c r="C219" s="198">
        <f t="shared" si="8"/>
        <v>12.359640000000001</v>
      </c>
      <c r="D219" s="526" t="s">
        <v>3107</v>
      </c>
      <c r="E219" s="526" t="s">
        <v>4099</v>
      </c>
      <c r="F219" s="526" t="s">
        <v>1076</v>
      </c>
      <c r="G219" s="526" t="s">
        <v>4100</v>
      </c>
      <c r="H219" s="412">
        <v>278.66025000000002</v>
      </c>
      <c r="I219" s="411">
        <v>12.359640000000001</v>
      </c>
      <c r="J219" s="411">
        <v>41.814579999999999</v>
      </c>
      <c r="K219" s="411">
        <v>4753.7065499999999</v>
      </c>
      <c r="L219" s="526" t="s">
        <v>555</v>
      </c>
      <c r="M219" s="409" t="s">
        <v>586</v>
      </c>
      <c r="N219" s="195">
        <v>212.41980000000001</v>
      </c>
    </row>
    <row r="220" spans="1:14" ht="15" x14ac:dyDescent="0.25">
      <c r="A220" s="410">
        <v>308647</v>
      </c>
      <c r="B220" t="str">
        <f t="shared" si="7"/>
        <v>SEVROLL 04586 Gemini II spodné vedenie  1,7m oliva</v>
      </c>
      <c r="C220" s="198">
        <f t="shared" si="8"/>
        <v>10.615349999999999</v>
      </c>
      <c r="D220" s="526" t="s">
        <v>3332</v>
      </c>
      <c r="E220" s="526" t="s">
        <v>4101</v>
      </c>
      <c r="F220" s="526" t="s">
        <v>4102</v>
      </c>
      <c r="G220" s="526" t="s">
        <v>4103</v>
      </c>
      <c r="H220" s="412">
        <v>293.64305999999999</v>
      </c>
      <c r="I220" s="411">
        <v>10.615349999999999</v>
      </c>
      <c r="J220" s="411">
        <v>35.91337</v>
      </c>
      <c r="K220" s="411">
        <v>4040.99305</v>
      </c>
      <c r="L220" s="526" t="s">
        <v>553</v>
      </c>
      <c r="M220" s="409" t="s">
        <v>586</v>
      </c>
      <c r="N220" s="195">
        <v>214.2824</v>
      </c>
    </row>
    <row r="221" spans="1:14" ht="15" x14ac:dyDescent="0.25">
      <c r="A221" s="410">
        <v>346116</v>
      </c>
      <c r="B221" t="str">
        <f t="shared" si="7"/>
        <v>SEVROLL 04356 maska Elegant II 4,05m čierna  kartáčovaná</v>
      </c>
      <c r="C221" s="198">
        <f t="shared" si="8"/>
        <v>10.940469999999999</v>
      </c>
      <c r="D221" s="526" t="s">
        <v>3394</v>
      </c>
      <c r="E221" s="526" t="s">
        <v>4104</v>
      </c>
      <c r="F221" s="526" t="s">
        <v>4105</v>
      </c>
      <c r="G221" s="526" t="s">
        <v>4106</v>
      </c>
      <c r="H221" s="412">
        <v>302.93104</v>
      </c>
      <c r="I221" s="411">
        <v>10.940469999999999</v>
      </c>
      <c r="J221" s="411">
        <v>36.894599999999997</v>
      </c>
      <c r="K221" s="411">
        <v>4164.7568899999997</v>
      </c>
      <c r="L221" s="526" t="s">
        <v>553</v>
      </c>
      <c r="M221" s="409" t="s">
        <v>586</v>
      </c>
      <c r="N221" s="195">
        <v>214.9357</v>
      </c>
    </row>
    <row r="222" spans="1:14" ht="15" x14ac:dyDescent="0.25">
      <c r="A222" s="410">
        <v>346114</v>
      </c>
      <c r="B222" t="str">
        <f t="shared" si="7"/>
        <v>SEVROLL 04351-Y maska Elegant II 4,05m oliva kartáčovaná</v>
      </c>
      <c r="C222" s="198">
        <f t="shared" si="8"/>
        <v>10.940469999999999</v>
      </c>
      <c r="D222" s="526" t="s">
        <v>3392</v>
      </c>
      <c r="E222" s="526" t="s">
        <v>4107</v>
      </c>
      <c r="F222" s="526" t="s">
        <v>3392</v>
      </c>
      <c r="G222" s="526" t="s">
        <v>4108</v>
      </c>
      <c r="H222" s="412">
        <v>302.93104</v>
      </c>
      <c r="I222" s="411">
        <v>10.940469999999999</v>
      </c>
      <c r="J222" s="411">
        <v>36.894599999999997</v>
      </c>
      <c r="K222" s="411">
        <v>4164.7568899999997</v>
      </c>
      <c r="L222" s="526" t="s">
        <v>554</v>
      </c>
      <c r="M222" s="409" t="s">
        <v>586</v>
      </c>
      <c r="N222" s="195">
        <v>214.9357</v>
      </c>
    </row>
    <row r="223" spans="1:14" ht="15" x14ac:dyDescent="0.25">
      <c r="A223" s="415">
        <v>279094</v>
      </c>
      <c r="B223" t="str">
        <f t="shared" si="7"/>
        <v>SEVROLL krycí profil Galaxy 2m</v>
      </c>
      <c r="C223" s="198">
        <f t="shared" si="8"/>
        <v>11.482340000000001</v>
      </c>
      <c r="D223" s="526" t="s">
        <v>3267</v>
      </c>
      <c r="E223" s="526" t="s">
        <v>4109</v>
      </c>
      <c r="F223" s="526" t="s">
        <v>1258</v>
      </c>
      <c r="G223" s="526" t="s">
        <v>4110</v>
      </c>
      <c r="H223" s="412">
        <v>303.06725</v>
      </c>
      <c r="I223" s="411">
        <v>11.482340000000001</v>
      </c>
      <c r="J223" s="411">
        <v>39.507919999999999</v>
      </c>
      <c r="K223" s="411">
        <v>4228.3557700000001</v>
      </c>
      <c r="L223" s="526" t="s">
        <v>553</v>
      </c>
      <c r="M223" s="416" t="s">
        <v>586</v>
      </c>
      <c r="N223" s="195">
        <v>215.19146000000001</v>
      </c>
    </row>
    <row r="224" spans="1:14" ht="15" x14ac:dyDescent="0.25">
      <c r="A224" s="410">
        <v>288125</v>
      </c>
      <c r="B224" t="str">
        <f t="shared" si="7"/>
        <v>SEVROLL 20329 Pax nalepovacia úchytka biela lesk</v>
      </c>
      <c r="C224" s="198">
        <f t="shared" si="8"/>
        <v>7.9473200000000004</v>
      </c>
      <c r="D224" s="526" t="s">
        <v>3297</v>
      </c>
      <c r="E224" s="526" t="s">
        <v>4111</v>
      </c>
      <c r="F224" s="526" t="s">
        <v>4112</v>
      </c>
      <c r="G224" s="526" t="s">
        <v>4113</v>
      </c>
      <c r="H224" s="412">
        <v>220.05368000000001</v>
      </c>
      <c r="I224" s="411">
        <v>7.9473200000000004</v>
      </c>
      <c r="J224" s="411">
        <v>31.518000000000001</v>
      </c>
      <c r="K224" s="411">
        <v>3025.3421699999999</v>
      </c>
      <c r="L224" s="526" t="s">
        <v>553</v>
      </c>
      <c r="M224" s="409" t="s">
        <v>586</v>
      </c>
      <c r="N224" s="195">
        <v>215.589</v>
      </c>
    </row>
    <row r="225" spans="1:14" ht="15" x14ac:dyDescent="0.25">
      <c r="A225" s="410">
        <v>281979</v>
      </c>
      <c r="B225" t="e">
        <f t="shared" si="7"/>
        <v>#N/A</v>
      </c>
      <c r="C225" s="198" t="e">
        <f t="shared" si="8"/>
        <v>#N/A</v>
      </c>
      <c r="D225" s="526" t="e">
        <v>#N/A</v>
      </c>
      <c r="E225" s="526" t="e">
        <v>#N/A</v>
      </c>
      <c r="F225" s="526" t="e">
        <v>#N/A</v>
      </c>
      <c r="G225" s="526" t="e">
        <v>#N/A</v>
      </c>
      <c r="H225" s="412" t="e">
        <v>#N/A</v>
      </c>
      <c r="I225" s="411" t="e">
        <v>#N/A</v>
      </c>
      <c r="J225" s="411" t="e">
        <v>#N/A</v>
      </c>
      <c r="K225" s="411" t="e">
        <v>#N/A</v>
      </c>
      <c r="L225" s="526" t="e">
        <v>#N/A</v>
      </c>
      <c r="M225" s="409" t="s">
        <v>586</v>
      </c>
      <c r="N225" s="195">
        <v>217.5489</v>
      </c>
    </row>
    <row r="226" spans="1:14" ht="15" x14ac:dyDescent="0.25">
      <c r="A226" s="410">
        <v>349811</v>
      </c>
      <c r="B226" t="str">
        <f t="shared" si="7"/>
        <v>SEVROLL 04491 Blue-V spodné vedenie 2,5m oliva</v>
      </c>
      <c r="C226" s="198">
        <f t="shared" si="8"/>
        <v>12.498329999999999</v>
      </c>
      <c r="D226" s="526" t="s">
        <v>3428</v>
      </c>
      <c r="E226" s="526" t="s">
        <v>4114</v>
      </c>
      <c r="F226" s="526" t="s">
        <v>4115</v>
      </c>
      <c r="G226" s="526" t="s">
        <v>4116</v>
      </c>
      <c r="H226" s="412">
        <v>342.06700000000001</v>
      </c>
      <c r="I226" s="411">
        <v>12.498329999999999</v>
      </c>
      <c r="J226" s="411">
        <v>46.504049999999999</v>
      </c>
      <c r="K226" s="411">
        <v>4854.8903799999998</v>
      </c>
      <c r="L226" s="526" t="s">
        <v>554</v>
      </c>
      <c r="M226" s="409" t="s">
        <v>586</v>
      </c>
      <c r="N226" s="195">
        <v>217.67400000000001</v>
      </c>
    </row>
    <row r="227" spans="1:14" ht="15" x14ac:dyDescent="0.25">
      <c r="A227" s="410">
        <v>308690</v>
      </c>
      <c r="B227" t="str">
        <f t="shared" si="7"/>
        <v>SEVROLL Polo úchytová lišta 10mm 2,5m strie</v>
      </c>
      <c r="C227" s="198" t="e">
        <f t="shared" si="8"/>
        <v>#N/A</v>
      </c>
      <c r="D227" s="526" t="s">
        <v>3342</v>
      </c>
      <c r="E227" s="526" t="s">
        <v>4117</v>
      </c>
      <c r="F227" s="526" t="s">
        <v>1141</v>
      </c>
      <c r="G227" s="526" t="s">
        <v>4118</v>
      </c>
      <c r="H227" s="412" t="e">
        <v>#N/A</v>
      </c>
      <c r="I227" s="411" t="e">
        <v>#N/A</v>
      </c>
      <c r="J227" s="411" t="e">
        <v>#N/A</v>
      </c>
      <c r="K227" s="411" t="e">
        <v>#N/A</v>
      </c>
      <c r="L227" s="526" t="e">
        <v>#N/A</v>
      </c>
      <c r="M227" s="409" t="s">
        <v>586</v>
      </c>
      <c r="N227" s="195">
        <v>217.67400000000001</v>
      </c>
    </row>
    <row r="228" spans="1:14" ht="15" x14ac:dyDescent="0.25">
      <c r="A228" s="410">
        <v>308684</v>
      </c>
      <c r="B228" t="e">
        <f t="shared" si="7"/>
        <v>#N/A</v>
      </c>
      <c r="C228" s="198" t="e">
        <f t="shared" si="8"/>
        <v>#N/A</v>
      </c>
      <c r="D228" s="526" t="e">
        <v>#N/A</v>
      </c>
      <c r="E228" s="526" t="e">
        <v>#N/A</v>
      </c>
      <c r="F228" s="526" t="e">
        <v>#N/A</v>
      </c>
      <c r="G228" s="526" t="e">
        <v>#N/A</v>
      </c>
      <c r="H228" s="412" t="e">
        <v>#N/A</v>
      </c>
      <c r="I228" s="411" t="e">
        <v>#N/A</v>
      </c>
      <c r="J228" s="411" t="e">
        <v>#N/A</v>
      </c>
      <c r="K228" s="411" t="e">
        <v>#N/A</v>
      </c>
      <c r="L228" s="526" t="e">
        <v>#N/A</v>
      </c>
      <c r="M228" s="409" t="s">
        <v>586</v>
      </c>
      <c r="N228" s="195">
        <v>218.4246</v>
      </c>
    </row>
    <row r="229" spans="1:14" ht="15" x14ac:dyDescent="0.25">
      <c r="A229" s="410">
        <v>224127</v>
      </c>
      <c r="B229" t="str">
        <f t="shared" si="7"/>
        <v>SEVROLL Simple spodné vedenie 2,5m oliva</v>
      </c>
      <c r="C229" s="198" t="e">
        <f t="shared" si="8"/>
        <v>#N/A</v>
      </c>
      <c r="D229" s="526" t="s">
        <v>3124</v>
      </c>
      <c r="E229" s="526" t="s">
        <v>4119</v>
      </c>
      <c r="F229" s="526" t="s">
        <v>4120</v>
      </c>
      <c r="G229" s="526" t="s">
        <v>4121</v>
      </c>
      <c r="H229" s="412" t="e">
        <v>#N/A</v>
      </c>
      <c r="I229" s="411" t="e">
        <v>#N/A</v>
      </c>
      <c r="J229" s="411" t="e">
        <v>#N/A</v>
      </c>
      <c r="K229" s="411" t="e">
        <v>#N/A</v>
      </c>
      <c r="L229" s="526" t="e">
        <v>#N/A</v>
      </c>
      <c r="M229" s="409" t="s">
        <v>586</v>
      </c>
      <c r="N229" s="195">
        <v>219.92580000000001</v>
      </c>
    </row>
    <row r="230" spans="1:14" ht="15" x14ac:dyDescent="0.25">
      <c r="A230" s="410">
        <v>89188</v>
      </c>
      <c r="B230" t="str">
        <f t="shared" si="7"/>
        <v>SEVROLL spojovaciá lišta "T" 3m strieborná</v>
      </c>
      <c r="C230" s="198">
        <f t="shared" si="8"/>
        <v>9.5729100000000003</v>
      </c>
      <c r="D230" s="526" t="s">
        <v>2681</v>
      </c>
      <c r="E230" s="526" t="s">
        <v>4122</v>
      </c>
      <c r="F230" s="526" t="s">
        <v>1234</v>
      </c>
      <c r="G230" s="526" t="s">
        <v>4123</v>
      </c>
      <c r="H230" s="412">
        <v>265.06466</v>
      </c>
      <c r="I230" s="411">
        <v>9.5729100000000003</v>
      </c>
      <c r="J230" s="411">
        <v>33.609000000000002</v>
      </c>
      <c r="K230" s="411">
        <v>3644.1624099999999</v>
      </c>
      <c r="L230" s="526" t="s">
        <v>553</v>
      </c>
      <c r="M230" s="409" t="s">
        <v>586</v>
      </c>
      <c r="N230" s="195">
        <v>220.81540000000001</v>
      </c>
    </row>
    <row r="231" spans="1:14" ht="15" x14ac:dyDescent="0.25">
      <c r="A231" s="410">
        <v>135503</v>
      </c>
      <c r="B231" t="str">
        <f t="shared" si="7"/>
        <v>SEVROLL 04548 Factor 18 II úchytová lišta 2,7m oliva</v>
      </c>
      <c r="C231" s="198">
        <f t="shared" si="8"/>
        <v>12.54026</v>
      </c>
      <c r="D231" s="526" t="s">
        <v>2886</v>
      </c>
      <c r="E231" s="526" t="s">
        <v>4124</v>
      </c>
      <c r="F231" s="526" t="s">
        <v>2886</v>
      </c>
      <c r="G231" s="526" t="s">
        <v>4125</v>
      </c>
      <c r="H231" s="412">
        <v>347.22755999999998</v>
      </c>
      <c r="I231" s="411">
        <v>12.54026</v>
      </c>
      <c r="J231" s="411">
        <v>42.2928</v>
      </c>
      <c r="K231" s="411">
        <v>4773.7545099999998</v>
      </c>
      <c r="L231" s="526" t="s">
        <v>553</v>
      </c>
      <c r="M231" s="409" t="s">
        <v>586</v>
      </c>
      <c r="N231" s="195">
        <v>223.10194999999999</v>
      </c>
    </row>
    <row r="232" spans="1:14" ht="15" x14ac:dyDescent="0.25">
      <c r="A232" s="410">
        <v>224019</v>
      </c>
      <c r="B232" t="str">
        <f t="shared" si="7"/>
        <v>SEVROLL Simple spodné vedenie 3m strieborná</v>
      </c>
      <c r="C232" s="198">
        <f t="shared" si="8"/>
        <v>11.121090000000001</v>
      </c>
      <c r="D232" s="526" t="s">
        <v>3115</v>
      </c>
      <c r="E232" s="526" t="s">
        <v>4126</v>
      </c>
      <c r="F232" s="526" t="s">
        <v>4127</v>
      </c>
      <c r="G232" s="526" t="s">
        <v>4128</v>
      </c>
      <c r="H232" s="412">
        <v>304.60924999999997</v>
      </c>
      <c r="I232" s="411">
        <v>11.121090000000001</v>
      </c>
      <c r="J232" s="411">
        <v>41.375390000000003</v>
      </c>
      <c r="K232" s="411">
        <v>4319.9130800000003</v>
      </c>
      <c r="L232" s="526" t="s">
        <v>554</v>
      </c>
      <c r="M232" s="409" t="s">
        <v>586</v>
      </c>
      <c r="N232" s="195">
        <v>224.42939999999999</v>
      </c>
    </row>
    <row r="233" spans="1:14" ht="15" x14ac:dyDescent="0.25">
      <c r="A233" s="410">
        <v>180326</v>
      </c>
      <c r="B233" t="str">
        <f t="shared" ref="B233:B296" si="9">IF($A$2=1,D233,IF($A$2=2,F233,IF($A$2=3,G233,IF($A$2=4,E233,"zadat jazyk"))))</f>
        <v>SEVROLL 02815 MAXIM II MASKA 3,5 M strieborná</v>
      </c>
      <c r="C233" s="198">
        <f t="shared" si="8"/>
        <v>4.4574400000000001</v>
      </c>
      <c r="D233" s="526" t="s">
        <v>2938</v>
      </c>
      <c r="E233" s="526" t="s">
        <v>4129</v>
      </c>
      <c r="F233" s="526" t="s">
        <v>4130</v>
      </c>
      <c r="G233" s="526" t="s">
        <v>4131</v>
      </c>
      <c r="H233" s="412">
        <v>101.82776</v>
      </c>
      <c r="I233" s="411">
        <v>4.4574400000000001</v>
      </c>
      <c r="J233" s="411">
        <v>19.956250000000001</v>
      </c>
      <c r="K233" s="411">
        <v>1699.39931</v>
      </c>
      <c r="L233" s="526" t="s">
        <v>555</v>
      </c>
      <c r="M233" s="409" t="s">
        <v>586</v>
      </c>
      <c r="N233" s="195">
        <v>225.38849999999999</v>
      </c>
    </row>
    <row r="234" spans="1:14" ht="15" x14ac:dyDescent="0.25">
      <c r="A234" s="410">
        <v>260076</v>
      </c>
      <c r="B234" t="str">
        <f t="shared" si="9"/>
        <v>SEVROLL uhol. vedenie strieb.</v>
      </c>
      <c r="C234" s="198">
        <f t="shared" si="8"/>
        <v>9.6503200000000007</v>
      </c>
      <c r="D234" s="526" t="s">
        <v>3224</v>
      </c>
      <c r="E234" s="526" t="s">
        <v>4132</v>
      </c>
      <c r="F234" s="526" t="s">
        <v>4133</v>
      </c>
      <c r="G234" s="526" t="s">
        <v>4134</v>
      </c>
      <c r="H234" s="412">
        <v>267.20803999999998</v>
      </c>
      <c r="I234" s="411">
        <v>9.6503200000000007</v>
      </c>
      <c r="J234" s="411">
        <v>35.812199999999997</v>
      </c>
      <c r="K234" s="411">
        <v>3673.6298900000002</v>
      </c>
      <c r="L234" s="526" t="s">
        <v>554</v>
      </c>
      <c r="M234" s="409" t="s">
        <v>586</v>
      </c>
      <c r="N234" s="195">
        <v>227.3484</v>
      </c>
    </row>
    <row r="235" spans="1:14" ht="15" x14ac:dyDescent="0.25">
      <c r="A235" s="410">
        <v>270113</v>
      </c>
      <c r="B235" t="str">
        <f t="shared" si="9"/>
        <v>SEVROLL uholník 22x22mm 3m stieborná</v>
      </c>
      <c r="C235" s="198">
        <f t="shared" si="8"/>
        <v>10.16638</v>
      </c>
      <c r="D235" s="526" t="s">
        <v>3233</v>
      </c>
      <c r="E235" s="526" t="s">
        <v>4135</v>
      </c>
      <c r="F235" s="526" t="s">
        <v>4136</v>
      </c>
      <c r="G235" s="526" t="s">
        <v>4137</v>
      </c>
      <c r="H235" s="412">
        <v>281.49723999999998</v>
      </c>
      <c r="I235" s="411">
        <v>10.16638</v>
      </c>
      <c r="J235" s="411">
        <v>37.790999999999997</v>
      </c>
      <c r="K235" s="411">
        <v>3870.0806899999998</v>
      </c>
      <c r="L235" s="526" t="s">
        <v>554</v>
      </c>
      <c r="M235" s="409" t="s">
        <v>586</v>
      </c>
      <c r="N235" s="195">
        <v>228.0017</v>
      </c>
    </row>
    <row r="236" spans="1:14" ht="15" x14ac:dyDescent="0.25">
      <c r="A236" s="410">
        <v>284599</v>
      </c>
      <c r="B236" t="str">
        <f t="shared" si="9"/>
        <v>SEVROLL Uno úchytová lišta 18mm 2,70m stieborná</v>
      </c>
      <c r="C236" s="198">
        <f t="shared" si="8"/>
        <v>11.817769999999999</v>
      </c>
      <c r="D236" s="526" t="s">
        <v>3284</v>
      </c>
      <c r="E236" s="526" t="s">
        <v>4138</v>
      </c>
      <c r="F236" s="526" t="s">
        <v>4139</v>
      </c>
      <c r="G236" s="526" t="s">
        <v>4140</v>
      </c>
      <c r="H236" s="412">
        <v>323.69150000000002</v>
      </c>
      <c r="I236" s="411">
        <v>11.817769999999999</v>
      </c>
      <c r="J236" s="411">
        <v>40.982089999999999</v>
      </c>
      <c r="K236" s="411">
        <v>4590.5338499999998</v>
      </c>
      <c r="L236" s="526" t="s">
        <v>554</v>
      </c>
      <c r="M236" s="409" t="s">
        <v>586</v>
      </c>
      <c r="N236" s="195">
        <v>230.4342</v>
      </c>
    </row>
    <row r="237" spans="1:14" ht="15" x14ac:dyDescent="0.25">
      <c r="A237" s="410">
        <v>144243</v>
      </c>
      <c r="B237" t="e">
        <f t="shared" si="9"/>
        <v>#N/A</v>
      </c>
      <c r="C237" s="198" t="e">
        <f t="shared" si="8"/>
        <v>#N/A</v>
      </c>
      <c r="D237" s="526" t="e">
        <v>#N/A</v>
      </c>
      <c r="E237" s="526" t="e">
        <v>#N/A</v>
      </c>
      <c r="F237" s="526" t="e">
        <v>#N/A</v>
      </c>
      <c r="G237" s="526" t="e">
        <v>#N/A</v>
      </c>
      <c r="H237" s="412" t="e">
        <v>#N/A</v>
      </c>
      <c r="I237" s="411" t="e">
        <v>#N/A</v>
      </c>
      <c r="J237" s="411" t="e">
        <v>#N/A</v>
      </c>
      <c r="K237" s="411" t="e">
        <v>#N/A</v>
      </c>
      <c r="L237" s="526" t="e">
        <v>#N/A</v>
      </c>
      <c r="M237" s="409" t="s">
        <v>586</v>
      </c>
      <c r="N237" s="195">
        <v>231.26820000000001</v>
      </c>
    </row>
    <row r="238" spans="1:14" ht="15" x14ac:dyDescent="0.25">
      <c r="A238" s="410">
        <v>98033</v>
      </c>
      <c r="B238" t="e">
        <f t="shared" si="9"/>
        <v>#N/A</v>
      </c>
      <c r="C238" s="198" t="e">
        <f t="shared" si="8"/>
        <v>#N/A</v>
      </c>
      <c r="D238" s="526" t="e">
        <v>#N/A</v>
      </c>
      <c r="E238" s="526" t="e">
        <v>#N/A</v>
      </c>
      <c r="F238" s="526" t="e">
        <v>#N/A</v>
      </c>
      <c r="G238" s="526" t="e">
        <v>#N/A</v>
      </c>
      <c r="H238" s="412" t="e">
        <v>#N/A</v>
      </c>
      <c r="I238" s="411" t="e">
        <v>#N/A</v>
      </c>
      <c r="J238" s="411" t="e">
        <v>#N/A</v>
      </c>
      <c r="K238" s="411" t="e">
        <v>#N/A</v>
      </c>
      <c r="L238" s="526" t="e">
        <v>#N/A</v>
      </c>
      <c r="M238" s="409" t="s">
        <v>586</v>
      </c>
      <c r="N238" s="195">
        <v>231.26820000000001</v>
      </c>
    </row>
    <row r="239" spans="1:14" ht="15" x14ac:dyDescent="0.25">
      <c r="A239" s="410">
        <v>89191</v>
      </c>
      <c r="B239" t="e">
        <f t="shared" si="9"/>
        <v>#N/A</v>
      </c>
      <c r="C239" s="198" t="e">
        <f t="shared" si="8"/>
        <v>#N/A</v>
      </c>
      <c r="D239" s="526" t="e">
        <v>#N/A</v>
      </c>
      <c r="E239" s="526" t="e">
        <v>#N/A</v>
      </c>
      <c r="F239" s="526" t="e">
        <v>#N/A</v>
      </c>
      <c r="G239" s="526" t="e">
        <v>#N/A</v>
      </c>
      <c r="H239" s="412" t="e">
        <v>#N/A</v>
      </c>
      <c r="I239" s="411" t="e">
        <v>#N/A</v>
      </c>
      <c r="J239" s="411" t="e">
        <v>#N/A</v>
      </c>
      <c r="K239" s="411" t="e">
        <v>#N/A</v>
      </c>
      <c r="L239" s="526" t="e">
        <v>#N/A</v>
      </c>
      <c r="M239" s="409" t="s">
        <v>586</v>
      </c>
      <c r="N239" s="195">
        <v>231.26820000000001</v>
      </c>
    </row>
    <row r="240" spans="1:14" ht="15" x14ac:dyDescent="0.25">
      <c r="A240" s="410">
        <v>89064</v>
      </c>
      <c r="B240" t="e">
        <f t="shared" si="9"/>
        <v>#N/A</v>
      </c>
      <c r="C240" s="198" t="e">
        <f t="shared" si="8"/>
        <v>#N/A</v>
      </c>
      <c r="D240" s="526" t="e">
        <v>#N/A</v>
      </c>
      <c r="E240" s="526" t="e">
        <v>#N/A</v>
      </c>
      <c r="F240" s="526" t="e">
        <v>#N/A</v>
      </c>
      <c r="G240" s="526" t="e">
        <v>#N/A</v>
      </c>
      <c r="H240" s="412" t="e">
        <v>#N/A</v>
      </c>
      <c r="I240" s="411" t="e">
        <v>#N/A</v>
      </c>
      <c r="J240" s="411" t="e">
        <v>#N/A</v>
      </c>
      <c r="K240" s="411" t="e">
        <v>#N/A</v>
      </c>
      <c r="L240" s="526" t="e">
        <v>#N/A</v>
      </c>
      <c r="M240" s="409" t="s">
        <v>586</v>
      </c>
      <c r="N240" s="195">
        <v>231.26820000000001</v>
      </c>
    </row>
    <row r="241" spans="1:14" ht="15" x14ac:dyDescent="0.25">
      <c r="A241" s="410">
        <v>213258</v>
      </c>
      <c r="B241" t="e">
        <f t="shared" si="9"/>
        <v>#N/A</v>
      </c>
      <c r="C241" s="198" t="e">
        <f t="shared" si="8"/>
        <v>#N/A</v>
      </c>
      <c r="D241" s="526" t="e">
        <v>#N/A</v>
      </c>
      <c r="E241" s="526" t="e">
        <v>#N/A</v>
      </c>
      <c r="F241" s="526" t="e">
        <v>#N/A</v>
      </c>
      <c r="G241" s="526" t="e">
        <v>#N/A</v>
      </c>
      <c r="H241" s="412" t="e">
        <v>#N/A</v>
      </c>
      <c r="I241" s="411" t="e">
        <v>#N/A</v>
      </c>
      <c r="J241" s="411" t="e">
        <v>#N/A</v>
      </c>
      <c r="K241" s="411" t="e">
        <v>#N/A</v>
      </c>
      <c r="L241" s="526" t="e">
        <v>#N/A</v>
      </c>
      <c r="M241" s="409" t="s">
        <v>586</v>
      </c>
      <c r="N241" s="195">
        <v>231.26820000000001</v>
      </c>
    </row>
    <row r="242" spans="1:14" ht="15" x14ac:dyDescent="0.25">
      <c r="A242" s="410">
        <v>98038</v>
      </c>
      <c r="B242" t="e">
        <f t="shared" si="9"/>
        <v>#N/A</v>
      </c>
      <c r="C242" s="198" t="e">
        <f t="shared" si="8"/>
        <v>#N/A</v>
      </c>
      <c r="D242" s="526" t="e">
        <v>#N/A</v>
      </c>
      <c r="E242" s="526" t="e">
        <v>#N/A</v>
      </c>
      <c r="F242" s="526" t="e">
        <v>#N/A</v>
      </c>
      <c r="G242" s="526" t="e">
        <v>#N/A</v>
      </c>
      <c r="H242" s="412" t="e">
        <v>#N/A</v>
      </c>
      <c r="I242" s="411" t="e">
        <v>#N/A</v>
      </c>
      <c r="J242" s="411" t="e">
        <v>#N/A</v>
      </c>
      <c r="K242" s="411" t="e">
        <v>#N/A</v>
      </c>
      <c r="L242" s="526" t="e">
        <v>#N/A</v>
      </c>
      <c r="M242" s="409" t="s">
        <v>586</v>
      </c>
      <c r="N242" s="195">
        <v>231.26820000000001</v>
      </c>
    </row>
    <row r="243" spans="1:14" ht="15" x14ac:dyDescent="0.25">
      <c r="A243" s="410">
        <v>89048</v>
      </c>
      <c r="B243" t="e">
        <f t="shared" si="9"/>
        <v>#N/A</v>
      </c>
      <c r="C243" s="198" t="e">
        <f t="shared" si="8"/>
        <v>#N/A</v>
      </c>
      <c r="D243" s="526" t="e">
        <v>#N/A</v>
      </c>
      <c r="E243" s="526" t="e">
        <v>#N/A</v>
      </c>
      <c r="F243" s="526" t="e">
        <v>#N/A</v>
      </c>
      <c r="G243" s="526" t="e">
        <v>#N/A</v>
      </c>
      <c r="H243" s="412" t="e">
        <v>#N/A</v>
      </c>
      <c r="I243" s="411" t="e">
        <v>#N/A</v>
      </c>
      <c r="J243" s="411" t="e">
        <v>#N/A</v>
      </c>
      <c r="K243" s="411" t="e">
        <v>#N/A</v>
      </c>
      <c r="L243" s="526" t="e">
        <v>#N/A</v>
      </c>
      <c r="M243" s="409" t="s">
        <v>586</v>
      </c>
      <c r="N243" s="195">
        <v>231.26820000000001</v>
      </c>
    </row>
    <row r="244" spans="1:14" ht="15" x14ac:dyDescent="0.25">
      <c r="A244" s="410">
        <v>89263</v>
      </c>
      <c r="B244" t="e">
        <f t="shared" si="9"/>
        <v>#N/A</v>
      </c>
      <c r="C244" s="198" t="e">
        <f t="shared" si="8"/>
        <v>#N/A</v>
      </c>
      <c r="D244" s="526" t="e">
        <v>#N/A</v>
      </c>
      <c r="E244" s="526" t="e">
        <v>#N/A</v>
      </c>
      <c r="F244" s="526" t="e">
        <v>#N/A</v>
      </c>
      <c r="G244" s="526" t="e">
        <v>#N/A</v>
      </c>
      <c r="H244" s="412" t="e">
        <v>#N/A</v>
      </c>
      <c r="I244" s="411" t="e">
        <v>#N/A</v>
      </c>
      <c r="J244" s="411" t="e">
        <v>#N/A</v>
      </c>
      <c r="K244" s="411" t="e">
        <v>#N/A</v>
      </c>
      <c r="L244" s="526" t="e">
        <v>#N/A</v>
      </c>
      <c r="M244" s="409" t="s">
        <v>586</v>
      </c>
      <c r="N244" s="195">
        <v>231.26820000000001</v>
      </c>
    </row>
    <row r="245" spans="1:14" ht="15" x14ac:dyDescent="0.25">
      <c r="A245" s="410">
        <v>213934</v>
      </c>
      <c r="B245" t="e">
        <f t="shared" si="9"/>
        <v>#N/A</v>
      </c>
      <c r="C245" s="198" t="e">
        <f t="shared" si="8"/>
        <v>#N/A</v>
      </c>
      <c r="D245" s="526" t="e">
        <v>#N/A</v>
      </c>
      <c r="E245" s="526" t="e">
        <v>#N/A</v>
      </c>
      <c r="F245" s="526" t="e">
        <v>#N/A</v>
      </c>
      <c r="G245" s="526" t="e">
        <v>#N/A</v>
      </c>
      <c r="H245" s="412" t="e">
        <v>#N/A</v>
      </c>
      <c r="I245" s="411" t="e">
        <v>#N/A</v>
      </c>
      <c r="J245" s="411" t="e">
        <v>#N/A</v>
      </c>
      <c r="K245" s="411" t="e">
        <v>#N/A</v>
      </c>
      <c r="L245" s="526" t="e">
        <v>#N/A</v>
      </c>
      <c r="M245" s="409" t="s">
        <v>586</v>
      </c>
      <c r="N245" s="195">
        <v>231.26820000000001</v>
      </c>
    </row>
    <row r="246" spans="1:14" ht="15" x14ac:dyDescent="0.25">
      <c r="A246" s="410">
        <v>179398</v>
      </c>
      <c r="B246" t="e">
        <f t="shared" si="9"/>
        <v>#N/A</v>
      </c>
      <c r="C246" s="198" t="e">
        <f t="shared" si="8"/>
        <v>#N/A</v>
      </c>
      <c r="D246" s="526" t="e">
        <v>#N/A</v>
      </c>
      <c r="E246" s="526" t="e">
        <v>#N/A</v>
      </c>
      <c r="F246" s="526" t="e">
        <v>#N/A</v>
      </c>
      <c r="G246" s="526" t="e">
        <v>#N/A</v>
      </c>
      <c r="H246" s="412" t="e">
        <v>#N/A</v>
      </c>
      <c r="I246" s="411" t="e">
        <v>#N/A</v>
      </c>
      <c r="J246" s="411" t="e">
        <v>#N/A</v>
      </c>
      <c r="K246" s="411" t="e">
        <v>#N/A</v>
      </c>
      <c r="L246" s="526" t="e">
        <v>#N/A</v>
      </c>
      <c r="M246" s="409" t="s">
        <v>586</v>
      </c>
      <c r="N246" s="195">
        <v>231.26820000000001</v>
      </c>
    </row>
    <row r="247" spans="1:14" ht="15" x14ac:dyDescent="0.25">
      <c r="A247" s="410">
        <v>89041</v>
      </c>
      <c r="B247" t="e">
        <f t="shared" si="9"/>
        <v>#N/A</v>
      </c>
      <c r="C247" s="198" t="e">
        <f t="shared" si="8"/>
        <v>#N/A</v>
      </c>
      <c r="D247" s="526" t="e">
        <v>#N/A</v>
      </c>
      <c r="E247" s="526" t="e">
        <v>#N/A</v>
      </c>
      <c r="F247" s="526" t="e">
        <v>#N/A</v>
      </c>
      <c r="G247" s="526" t="e">
        <v>#N/A</v>
      </c>
      <c r="H247" s="412" t="e">
        <v>#N/A</v>
      </c>
      <c r="I247" s="411" t="e">
        <v>#N/A</v>
      </c>
      <c r="J247" s="411" t="e">
        <v>#N/A</v>
      </c>
      <c r="K247" s="411" t="e">
        <v>#N/A</v>
      </c>
      <c r="L247" s="526" t="e">
        <v>#N/A</v>
      </c>
      <c r="M247" s="409" t="s">
        <v>586</v>
      </c>
      <c r="N247" s="195">
        <v>231.26820000000001</v>
      </c>
    </row>
    <row r="248" spans="1:14" ht="15" x14ac:dyDescent="0.25">
      <c r="A248" s="410">
        <v>144245</v>
      </c>
      <c r="B248" t="e">
        <f t="shared" si="9"/>
        <v>#N/A</v>
      </c>
      <c r="C248" s="198" t="e">
        <f t="shared" si="8"/>
        <v>#N/A</v>
      </c>
      <c r="D248" s="526" t="e">
        <v>#N/A</v>
      </c>
      <c r="E248" s="526" t="e">
        <v>#N/A</v>
      </c>
      <c r="F248" s="526" t="e">
        <v>#N/A</v>
      </c>
      <c r="G248" s="526" t="e">
        <v>#N/A</v>
      </c>
      <c r="H248" s="412" t="e">
        <v>#N/A</v>
      </c>
      <c r="I248" s="411" t="e">
        <v>#N/A</v>
      </c>
      <c r="J248" s="411" t="e">
        <v>#N/A</v>
      </c>
      <c r="K248" s="411" t="e">
        <v>#N/A</v>
      </c>
      <c r="L248" s="526" t="e">
        <v>#N/A</v>
      </c>
      <c r="M248" s="409" t="s">
        <v>586</v>
      </c>
      <c r="N248" s="195">
        <v>231.26820000000001</v>
      </c>
    </row>
    <row r="249" spans="1:14" ht="15" x14ac:dyDescent="0.25">
      <c r="A249" s="410">
        <v>211772</v>
      </c>
      <c r="B249" t="e">
        <f t="shared" si="9"/>
        <v>#N/A</v>
      </c>
      <c r="C249" s="198" t="e">
        <f t="shared" si="8"/>
        <v>#N/A</v>
      </c>
      <c r="D249" s="526" t="e">
        <v>#N/A</v>
      </c>
      <c r="E249" s="526" t="e">
        <v>#N/A</v>
      </c>
      <c r="F249" s="526" t="e">
        <v>#N/A</v>
      </c>
      <c r="G249" s="526" t="e">
        <v>#N/A</v>
      </c>
      <c r="H249" s="412" t="e">
        <v>#N/A</v>
      </c>
      <c r="I249" s="411" t="e">
        <v>#N/A</v>
      </c>
      <c r="J249" s="411" t="e">
        <v>#N/A</v>
      </c>
      <c r="K249" s="411" t="e">
        <v>#N/A</v>
      </c>
      <c r="L249" s="526" t="e">
        <v>#N/A</v>
      </c>
      <c r="M249" s="409" t="s">
        <v>586</v>
      </c>
      <c r="N249" s="195">
        <v>231.26820000000001</v>
      </c>
    </row>
    <row r="250" spans="1:14" ht="15" x14ac:dyDescent="0.25">
      <c r="A250" s="410">
        <v>165482</v>
      </c>
      <c r="B250" t="e">
        <f t="shared" si="9"/>
        <v>#N/A</v>
      </c>
      <c r="C250" s="198" t="e">
        <f t="shared" si="8"/>
        <v>#N/A</v>
      </c>
      <c r="D250" s="526" t="e">
        <v>#N/A</v>
      </c>
      <c r="E250" s="526" t="e">
        <v>#N/A</v>
      </c>
      <c r="F250" s="526" t="e">
        <v>#N/A</v>
      </c>
      <c r="G250" s="526" t="e">
        <v>#N/A</v>
      </c>
      <c r="H250" s="412" t="e">
        <v>#N/A</v>
      </c>
      <c r="I250" s="411" t="e">
        <v>#N/A</v>
      </c>
      <c r="J250" s="411" t="e">
        <v>#N/A</v>
      </c>
      <c r="K250" s="411" t="e">
        <v>#N/A</v>
      </c>
      <c r="L250" s="526" t="e">
        <v>#N/A</v>
      </c>
      <c r="M250" s="409" t="s">
        <v>586</v>
      </c>
      <c r="N250" s="195">
        <v>231.26820000000001</v>
      </c>
    </row>
    <row r="251" spans="1:14" ht="15" x14ac:dyDescent="0.25">
      <c r="A251" s="410">
        <v>215724</v>
      </c>
      <c r="B251" t="e">
        <f t="shared" si="9"/>
        <v>#N/A</v>
      </c>
      <c r="C251" s="198" t="e">
        <f t="shared" si="8"/>
        <v>#N/A</v>
      </c>
      <c r="D251" s="526" t="e">
        <v>#N/A</v>
      </c>
      <c r="E251" s="526" t="e">
        <v>#N/A</v>
      </c>
      <c r="F251" s="526" t="e">
        <v>#N/A</v>
      </c>
      <c r="G251" s="526" t="e">
        <v>#N/A</v>
      </c>
      <c r="H251" s="412" t="e">
        <v>#N/A</v>
      </c>
      <c r="I251" s="411" t="e">
        <v>#N/A</v>
      </c>
      <c r="J251" s="411" t="e">
        <v>#N/A</v>
      </c>
      <c r="K251" s="411" t="e">
        <v>#N/A</v>
      </c>
      <c r="L251" s="526" t="e">
        <v>#N/A</v>
      </c>
      <c r="M251" s="409" t="s">
        <v>586</v>
      </c>
      <c r="N251" s="195">
        <v>231.26820000000001</v>
      </c>
    </row>
    <row r="252" spans="1:14" ht="15" x14ac:dyDescent="0.25">
      <c r="A252" s="410">
        <v>251630</v>
      </c>
      <c r="B252" t="e">
        <f t="shared" si="9"/>
        <v>#N/A</v>
      </c>
      <c r="C252" s="198" t="e">
        <f t="shared" si="8"/>
        <v>#N/A</v>
      </c>
      <c r="D252" s="526" t="e">
        <v>#N/A</v>
      </c>
      <c r="E252" s="526" t="e">
        <v>#N/A</v>
      </c>
      <c r="F252" s="526" t="e">
        <v>#N/A</v>
      </c>
      <c r="G252" s="526" t="e">
        <v>#N/A</v>
      </c>
      <c r="H252" s="412" t="e">
        <v>#N/A</v>
      </c>
      <c r="I252" s="411" t="e">
        <v>#N/A</v>
      </c>
      <c r="J252" s="411" t="e">
        <v>#N/A</v>
      </c>
      <c r="K252" s="411" t="e">
        <v>#N/A</v>
      </c>
      <c r="L252" s="526" t="e">
        <v>#N/A</v>
      </c>
      <c r="M252" s="409" t="s">
        <v>586</v>
      </c>
      <c r="N252" s="195">
        <v>231.26820000000001</v>
      </c>
    </row>
    <row r="253" spans="1:14" ht="15" x14ac:dyDescent="0.25">
      <c r="A253" s="410">
        <v>144246</v>
      </c>
      <c r="B253" t="e">
        <f t="shared" si="9"/>
        <v>#N/A</v>
      </c>
      <c r="C253" s="198" t="e">
        <f t="shared" si="8"/>
        <v>#N/A</v>
      </c>
      <c r="D253" s="526" t="e">
        <v>#N/A</v>
      </c>
      <c r="E253" s="526" t="e">
        <v>#N/A</v>
      </c>
      <c r="F253" s="526" t="e">
        <v>#N/A</v>
      </c>
      <c r="G253" s="526" t="e">
        <v>#N/A</v>
      </c>
      <c r="H253" s="412" t="e">
        <v>#N/A</v>
      </c>
      <c r="I253" s="411" t="e">
        <v>#N/A</v>
      </c>
      <c r="J253" s="411" t="e">
        <v>#N/A</v>
      </c>
      <c r="K253" s="411" t="e">
        <v>#N/A</v>
      </c>
      <c r="L253" s="526" t="e">
        <v>#N/A</v>
      </c>
      <c r="M253" s="409" t="s">
        <v>586</v>
      </c>
      <c r="N253" s="195">
        <v>231.26820000000001</v>
      </c>
    </row>
    <row r="254" spans="1:14" ht="15" x14ac:dyDescent="0.25">
      <c r="A254" s="410">
        <v>154208</v>
      </c>
      <c r="B254" t="e">
        <f t="shared" si="9"/>
        <v>#N/A</v>
      </c>
      <c r="C254" s="198" t="e">
        <f t="shared" si="8"/>
        <v>#N/A</v>
      </c>
      <c r="D254" s="526" t="e">
        <v>#N/A</v>
      </c>
      <c r="E254" s="526" t="e">
        <v>#N/A</v>
      </c>
      <c r="F254" s="526" t="e">
        <v>#N/A</v>
      </c>
      <c r="G254" s="526" t="e">
        <v>#N/A</v>
      </c>
      <c r="H254" s="412" t="e">
        <v>#N/A</v>
      </c>
      <c r="I254" s="411" t="e">
        <v>#N/A</v>
      </c>
      <c r="J254" s="411" t="e">
        <v>#N/A</v>
      </c>
      <c r="K254" s="411" t="e">
        <v>#N/A</v>
      </c>
      <c r="L254" s="526" t="e">
        <v>#N/A</v>
      </c>
      <c r="M254" s="409" t="s">
        <v>586</v>
      </c>
      <c r="N254" s="195">
        <v>231.26820000000001</v>
      </c>
    </row>
    <row r="255" spans="1:14" ht="15" x14ac:dyDescent="0.25">
      <c r="A255" s="410">
        <v>359653</v>
      </c>
      <c r="B255" t="e">
        <f t="shared" si="9"/>
        <v>#N/A</v>
      </c>
      <c r="C255" s="198" t="e">
        <f t="shared" si="8"/>
        <v>#N/A</v>
      </c>
      <c r="D255" s="526" t="e">
        <v>#N/A</v>
      </c>
      <c r="E255" s="526" t="e">
        <v>#N/A</v>
      </c>
      <c r="F255" s="526" t="e">
        <v>#N/A</v>
      </c>
      <c r="G255" s="526" t="e">
        <v>#N/A</v>
      </c>
      <c r="H255" s="412" t="e">
        <v>#N/A</v>
      </c>
      <c r="I255" s="411" t="e">
        <v>#N/A</v>
      </c>
      <c r="J255" s="411" t="e">
        <v>#N/A</v>
      </c>
      <c r="K255" s="411" t="e">
        <v>#N/A</v>
      </c>
      <c r="L255" s="526" t="e">
        <v>#N/A</v>
      </c>
      <c r="M255" s="409" t="s">
        <v>586</v>
      </c>
      <c r="N255" s="195">
        <v>231.26820000000001</v>
      </c>
    </row>
    <row r="256" spans="1:14" ht="15" x14ac:dyDescent="0.25">
      <c r="A256" s="410">
        <v>96406</v>
      </c>
      <c r="B256" t="e">
        <f t="shared" si="9"/>
        <v>#N/A</v>
      </c>
      <c r="C256" s="198" t="e">
        <f t="shared" si="8"/>
        <v>#N/A</v>
      </c>
      <c r="D256" s="526" t="e">
        <v>#N/A</v>
      </c>
      <c r="E256" s="526" t="e">
        <v>#N/A</v>
      </c>
      <c r="F256" s="526" t="e">
        <v>#N/A</v>
      </c>
      <c r="G256" s="526" t="e">
        <v>#N/A</v>
      </c>
      <c r="H256" s="412" t="e">
        <v>#N/A</v>
      </c>
      <c r="I256" s="411" t="e">
        <v>#N/A</v>
      </c>
      <c r="J256" s="411" t="e">
        <v>#N/A</v>
      </c>
      <c r="K256" s="411" t="e">
        <v>#N/A</v>
      </c>
      <c r="L256" s="526" t="e">
        <v>#N/A</v>
      </c>
      <c r="M256" s="409" t="s">
        <v>586</v>
      </c>
      <c r="N256" s="195">
        <v>231.26820000000001</v>
      </c>
    </row>
    <row r="257" spans="1:14" ht="15" x14ac:dyDescent="0.25">
      <c r="A257" s="410">
        <v>95950</v>
      </c>
      <c r="B257" t="e">
        <f t="shared" si="9"/>
        <v>#N/A</v>
      </c>
      <c r="C257" s="198" t="e">
        <f t="shared" si="8"/>
        <v>#N/A</v>
      </c>
      <c r="D257" s="526" t="e">
        <v>#N/A</v>
      </c>
      <c r="E257" s="526" t="e">
        <v>#N/A</v>
      </c>
      <c r="F257" s="526" t="e">
        <v>#N/A</v>
      </c>
      <c r="G257" s="526" t="e">
        <v>#N/A</v>
      </c>
      <c r="H257" s="412" t="e">
        <v>#N/A</v>
      </c>
      <c r="I257" s="411" t="e">
        <v>#N/A</v>
      </c>
      <c r="J257" s="411" t="e">
        <v>#N/A</v>
      </c>
      <c r="K257" s="411" t="e">
        <v>#N/A</v>
      </c>
      <c r="L257" s="526" t="e">
        <v>#N/A</v>
      </c>
      <c r="M257" s="409" t="s">
        <v>586</v>
      </c>
      <c r="N257" s="195">
        <v>231.26820000000001</v>
      </c>
    </row>
    <row r="258" spans="1:14" ht="15" x14ac:dyDescent="0.25">
      <c r="A258" s="410">
        <v>122950</v>
      </c>
      <c r="B258" t="e">
        <f t="shared" si="9"/>
        <v>#N/A</v>
      </c>
      <c r="C258" s="198" t="e">
        <f t="shared" si="8"/>
        <v>#N/A</v>
      </c>
      <c r="D258" s="526" t="e">
        <v>#N/A</v>
      </c>
      <c r="E258" s="526" t="e">
        <v>#N/A</v>
      </c>
      <c r="F258" s="526" t="e">
        <v>#N/A</v>
      </c>
      <c r="G258" s="526" t="e">
        <v>#N/A</v>
      </c>
      <c r="H258" s="412" t="e">
        <v>#N/A</v>
      </c>
      <c r="I258" s="411" t="e">
        <v>#N/A</v>
      </c>
      <c r="J258" s="411" t="e">
        <v>#N/A</v>
      </c>
      <c r="K258" s="411" t="e">
        <v>#N/A</v>
      </c>
      <c r="L258" s="526" t="e">
        <v>#N/A</v>
      </c>
      <c r="M258" s="409" t="s">
        <v>586</v>
      </c>
      <c r="N258" s="195">
        <v>231.26820000000001</v>
      </c>
    </row>
    <row r="259" spans="1:14" ht="15" x14ac:dyDescent="0.25">
      <c r="A259" s="410">
        <v>102834</v>
      </c>
      <c r="B259" t="str">
        <f t="shared" si="9"/>
        <v>SEVROLL SPOJ.LIŠTA H18 2,5M str.</v>
      </c>
      <c r="C259" s="198">
        <f t="shared" ref="C259:C322" si="10">IF($A$2=1,H259,IF($A$2=2,I259,IF($A$2=3,J259,IF($A$2=4,K259,"zadat jazyk"))))</f>
        <v>10.30363</v>
      </c>
      <c r="D259" s="526" t="s">
        <v>2834</v>
      </c>
      <c r="E259" s="526" t="s">
        <v>4141</v>
      </c>
      <c r="F259" s="526" t="s">
        <v>4142</v>
      </c>
      <c r="G259" s="526" t="s">
        <v>4143</v>
      </c>
      <c r="H259" s="412">
        <v>272.31103000000002</v>
      </c>
      <c r="I259" s="411">
        <v>10.30363</v>
      </c>
      <c r="J259" s="411">
        <v>35.524700000000003</v>
      </c>
      <c r="K259" s="411">
        <v>3962.9353999999998</v>
      </c>
      <c r="L259" s="526" t="s">
        <v>555</v>
      </c>
      <c r="M259" s="409" t="s">
        <v>586</v>
      </c>
      <c r="N259" s="195">
        <v>231.26820000000001</v>
      </c>
    </row>
    <row r="260" spans="1:14" ht="15" x14ac:dyDescent="0.25">
      <c r="A260" s="410">
        <v>89187</v>
      </c>
      <c r="B260" t="str">
        <f t="shared" si="9"/>
        <v>SEVROLL spojovaciá lišta "T" 3m oliva</v>
      </c>
      <c r="C260" s="198">
        <f t="shared" si="10"/>
        <v>11.766170000000001</v>
      </c>
      <c r="D260" s="526" t="s">
        <v>2680</v>
      </c>
      <c r="E260" s="526" t="s">
        <v>4144</v>
      </c>
      <c r="F260" s="526" t="s">
        <v>1235</v>
      </c>
      <c r="G260" s="526" t="s">
        <v>4145</v>
      </c>
      <c r="H260" s="412">
        <v>325.79376000000002</v>
      </c>
      <c r="I260" s="411">
        <v>11.766170000000001</v>
      </c>
      <c r="J260" s="411">
        <v>39.915799999999997</v>
      </c>
      <c r="K260" s="411">
        <v>4479.0783099999999</v>
      </c>
      <c r="L260" s="526" t="s">
        <v>553</v>
      </c>
      <c r="M260" s="409" t="s">
        <v>586</v>
      </c>
      <c r="N260" s="195">
        <v>231.26820000000001</v>
      </c>
    </row>
    <row r="261" spans="1:14" ht="15" x14ac:dyDescent="0.25">
      <c r="A261" s="410">
        <v>89015</v>
      </c>
      <c r="B261" t="str">
        <f t="shared" si="9"/>
        <v>SEVROLL 01373 spojovacia lišta T Decor 3m oliva</v>
      </c>
      <c r="C261" s="198">
        <f t="shared" si="10"/>
        <v>11.54684</v>
      </c>
      <c r="D261" s="526" t="s">
        <v>2729</v>
      </c>
      <c r="E261" s="526" t="s">
        <v>4146</v>
      </c>
      <c r="F261" s="526" t="s">
        <v>4147</v>
      </c>
      <c r="G261" s="526" t="s">
        <v>2729</v>
      </c>
      <c r="H261" s="412">
        <v>320.07808</v>
      </c>
      <c r="I261" s="411">
        <v>11.54684</v>
      </c>
      <c r="J261" s="411">
        <v>38.903100000000002</v>
      </c>
      <c r="K261" s="411">
        <v>4395.5868499999997</v>
      </c>
      <c r="L261" s="526" t="s">
        <v>553</v>
      </c>
      <c r="M261" s="409" t="s">
        <v>586</v>
      </c>
      <c r="N261" s="195">
        <v>231.26820000000001</v>
      </c>
    </row>
    <row r="262" spans="1:14" ht="15" x14ac:dyDescent="0.25">
      <c r="A262" s="410">
        <v>308641</v>
      </c>
      <c r="B262" t="str">
        <f t="shared" si="9"/>
        <v>SEVROLL okrasná lišta S18 s lepidlom 3m oliva</v>
      </c>
      <c r="C262" s="198">
        <f t="shared" si="10"/>
        <v>13.62398</v>
      </c>
      <c r="D262" s="526" t="s">
        <v>3330</v>
      </c>
      <c r="E262" s="526" t="s">
        <v>4148</v>
      </c>
      <c r="F262" s="526" t="s">
        <v>4149</v>
      </c>
      <c r="G262" s="526" t="s">
        <v>2392</v>
      </c>
      <c r="H262" s="412">
        <v>377.23487999999998</v>
      </c>
      <c r="I262" s="411">
        <v>13.62398</v>
      </c>
      <c r="J262" s="411">
        <v>46.1</v>
      </c>
      <c r="K262" s="411">
        <v>5186.3009700000002</v>
      </c>
      <c r="L262" s="526" t="s">
        <v>554</v>
      </c>
      <c r="M262" s="409" t="s">
        <v>586</v>
      </c>
      <c r="N262" s="195">
        <v>235.84129999999999</v>
      </c>
    </row>
    <row r="263" spans="1:14" ht="15" x14ac:dyDescent="0.25">
      <c r="A263" s="410">
        <v>223341</v>
      </c>
      <c r="B263" t="str">
        <f t="shared" si="9"/>
        <v>SEVROLL profil "U" 18mm 3m oliva kartáčovaná</v>
      </c>
      <c r="C263" s="198">
        <f t="shared" si="10"/>
        <v>8.4891900000000007</v>
      </c>
      <c r="D263" s="526" t="s">
        <v>3066</v>
      </c>
      <c r="E263" s="526" t="s">
        <v>4150</v>
      </c>
      <c r="F263" s="526" t="s">
        <v>1137</v>
      </c>
      <c r="G263" s="526" t="s">
        <v>4151</v>
      </c>
      <c r="H263" s="412">
        <v>235.05734000000001</v>
      </c>
      <c r="I263" s="411">
        <v>8.4891900000000007</v>
      </c>
      <c r="J263" s="411">
        <v>36.934199999999997</v>
      </c>
      <c r="K263" s="411">
        <v>3231.6155899999999</v>
      </c>
      <c r="L263" s="526" t="s">
        <v>554</v>
      </c>
      <c r="M263" s="409" t="s">
        <v>586</v>
      </c>
      <c r="N263" s="195">
        <v>236.49459999999999</v>
      </c>
    </row>
    <row r="264" spans="1:14" ht="15" x14ac:dyDescent="0.25">
      <c r="A264" s="410">
        <v>223342</v>
      </c>
      <c r="B264" t="str">
        <f t="shared" si="9"/>
        <v>SEVROLL profil "U" 18mm 3m oliva tmavá kartáčovaná</v>
      </c>
      <c r="C264" s="198">
        <f t="shared" si="10"/>
        <v>8.4891900000000007</v>
      </c>
      <c r="D264" s="526" t="s">
        <v>3067</v>
      </c>
      <c r="E264" s="526" t="s">
        <v>4152</v>
      </c>
      <c r="F264" s="526" t="s">
        <v>1136</v>
      </c>
      <c r="G264" s="526" t="s">
        <v>4153</v>
      </c>
      <c r="H264" s="412">
        <v>235.05734000000001</v>
      </c>
      <c r="I264" s="411">
        <v>8.4891900000000007</v>
      </c>
      <c r="J264" s="411">
        <v>36.934199999999997</v>
      </c>
      <c r="K264" s="411">
        <v>3231.6155899999999</v>
      </c>
      <c r="L264" s="526" t="s">
        <v>554</v>
      </c>
      <c r="M264" s="409" t="s">
        <v>586</v>
      </c>
      <c r="N264" s="195">
        <v>236.49459999999999</v>
      </c>
    </row>
    <row r="265" spans="1:14" ht="15" x14ac:dyDescent="0.25">
      <c r="A265" s="410">
        <v>224118</v>
      </c>
      <c r="B265" t="str">
        <f t="shared" si="9"/>
        <v>SEVROLL Simple horné vedenie 1,5m oliva</v>
      </c>
      <c r="C265" s="198" t="e">
        <f t="shared" si="10"/>
        <v>#N/A</v>
      </c>
      <c r="D265" s="526" t="s">
        <v>3117</v>
      </c>
      <c r="E265" s="526" t="s">
        <v>4154</v>
      </c>
      <c r="F265" s="526" t="s">
        <v>4155</v>
      </c>
      <c r="G265" s="526" t="s">
        <v>4156</v>
      </c>
      <c r="H265" s="412" t="e">
        <v>#N/A</v>
      </c>
      <c r="I265" s="411" t="e">
        <v>#N/A</v>
      </c>
      <c r="J265" s="411" t="e">
        <v>#N/A</v>
      </c>
      <c r="K265" s="411" t="e">
        <v>#N/A</v>
      </c>
      <c r="L265" s="526" t="e">
        <v>#N/A</v>
      </c>
      <c r="M265" s="409" t="s">
        <v>586</v>
      </c>
      <c r="N265" s="195">
        <v>237.9402</v>
      </c>
    </row>
    <row r="266" spans="1:14" ht="15" x14ac:dyDescent="0.25">
      <c r="A266" s="410">
        <v>308686</v>
      </c>
      <c r="B266" t="e">
        <f t="shared" si="9"/>
        <v>#N/A</v>
      </c>
      <c r="C266" s="198" t="e">
        <f t="shared" si="10"/>
        <v>#N/A</v>
      </c>
      <c r="D266" s="526" t="e">
        <v>#N/A</v>
      </c>
      <c r="E266" s="526" t="e">
        <v>#N/A</v>
      </c>
      <c r="F266" s="526" t="e">
        <v>#N/A</v>
      </c>
      <c r="G266" s="526" t="e">
        <v>#N/A</v>
      </c>
      <c r="H266" s="412" t="e">
        <v>#N/A</v>
      </c>
      <c r="I266" s="411" t="e">
        <v>#N/A</v>
      </c>
      <c r="J266" s="411" t="e">
        <v>#N/A</v>
      </c>
      <c r="K266" s="411" t="e">
        <v>#N/A</v>
      </c>
      <c r="L266" s="526" t="e">
        <v>#N/A</v>
      </c>
      <c r="M266" s="409" t="s">
        <v>586</v>
      </c>
      <c r="N266" s="195">
        <v>238.6908</v>
      </c>
    </row>
    <row r="267" spans="1:14" ht="15" x14ac:dyDescent="0.25">
      <c r="A267" s="410">
        <v>308691</v>
      </c>
      <c r="B267" t="e">
        <f t="shared" si="9"/>
        <v>#N/A</v>
      </c>
      <c r="C267" s="198" t="e">
        <f t="shared" si="10"/>
        <v>#N/A</v>
      </c>
      <c r="D267" s="526" t="e">
        <v>#N/A</v>
      </c>
      <c r="E267" s="526" t="e">
        <v>#N/A</v>
      </c>
      <c r="F267" s="526" t="e">
        <v>#N/A</v>
      </c>
      <c r="G267" s="526" t="e">
        <v>#N/A</v>
      </c>
      <c r="H267" s="412" t="e">
        <v>#N/A</v>
      </c>
      <c r="I267" s="411" t="e">
        <v>#N/A</v>
      </c>
      <c r="J267" s="411" t="e">
        <v>#N/A</v>
      </c>
      <c r="K267" s="411" t="e">
        <v>#N/A</v>
      </c>
      <c r="L267" s="526" t="e">
        <v>#N/A</v>
      </c>
      <c r="M267" s="409" t="s">
        <v>586</v>
      </c>
      <c r="N267" s="195">
        <v>240.9426</v>
      </c>
    </row>
    <row r="268" spans="1:14" ht="15" x14ac:dyDescent="0.25">
      <c r="A268" s="410">
        <v>223343</v>
      </c>
      <c r="B268" t="str">
        <f t="shared" si="9"/>
        <v>SEVROLL profil "U" 18mm 3m čierna kartáčovaná</v>
      </c>
      <c r="C268" s="198">
        <f t="shared" si="10"/>
        <v>8.4891900000000007</v>
      </c>
      <c r="D268" s="526" t="s">
        <v>3068</v>
      </c>
      <c r="E268" s="526" t="s">
        <v>4157</v>
      </c>
      <c r="F268" s="526" t="s">
        <v>4158</v>
      </c>
      <c r="G268" s="526" t="s">
        <v>4159</v>
      </c>
      <c r="H268" s="412">
        <v>235.05734000000001</v>
      </c>
      <c r="I268" s="411">
        <v>8.4891900000000007</v>
      </c>
      <c r="J268" s="411">
        <v>36.934199999999997</v>
      </c>
      <c r="K268" s="411">
        <v>3231.6155899999999</v>
      </c>
      <c r="L268" s="526" t="s">
        <v>553</v>
      </c>
      <c r="M268" s="409" t="s">
        <v>586</v>
      </c>
      <c r="N268" s="195">
        <v>242.37430000000001</v>
      </c>
    </row>
    <row r="269" spans="1:14" ht="15" x14ac:dyDescent="0.25">
      <c r="A269" s="410">
        <v>162670</v>
      </c>
      <c r="B269" t="str">
        <f t="shared" si="9"/>
        <v>SEVROLL MASKA DOUBLER II 4,05 M striebor</v>
      </c>
      <c r="C269" s="198">
        <f t="shared" si="10"/>
        <v>11.04368</v>
      </c>
      <c r="D269" s="526" t="s">
        <v>2907</v>
      </c>
      <c r="E269" s="526" t="s">
        <v>4160</v>
      </c>
      <c r="F269" s="526" t="s">
        <v>4161</v>
      </c>
      <c r="G269" s="526" t="s">
        <v>4162</v>
      </c>
      <c r="H269" s="412">
        <v>305.78888000000001</v>
      </c>
      <c r="I269" s="411">
        <v>11.04368</v>
      </c>
      <c r="J269" s="411">
        <v>38.943600000000004</v>
      </c>
      <c r="K269" s="411">
        <v>4204.0469700000003</v>
      </c>
      <c r="L269" s="526" t="s">
        <v>553</v>
      </c>
      <c r="M269" s="409" t="s">
        <v>586</v>
      </c>
      <c r="N269" s="195">
        <v>243.68090000000001</v>
      </c>
    </row>
    <row r="270" spans="1:14" ht="15" x14ac:dyDescent="0.25">
      <c r="A270" s="410">
        <v>349796</v>
      </c>
      <c r="B270" t="str">
        <f t="shared" si="9"/>
        <v>SEVROLL 04471 Blue horné vedenie 1,5m strieborná</v>
      </c>
      <c r="C270" s="198">
        <f t="shared" si="10"/>
        <v>11.224309999999999</v>
      </c>
      <c r="D270" s="526" t="s">
        <v>3415</v>
      </c>
      <c r="E270" s="526" t="s">
        <v>4163</v>
      </c>
      <c r="F270" s="526" t="s">
        <v>4164</v>
      </c>
      <c r="G270" s="526" t="s">
        <v>4165</v>
      </c>
      <c r="H270" s="412">
        <v>307.43624999999997</v>
      </c>
      <c r="I270" s="411">
        <v>11.224309999999999</v>
      </c>
      <c r="J270" s="411">
        <v>40.289879999999997</v>
      </c>
      <c r="K270" s="411">
        <v>4360.0050000000001</v>
      </c>
      <c r="L270" s="526" t="s">
        <v>554</v>
      </c>
      <c r="M270" s="409" t="s">
        <v>586</v>
      </c>
      <c r="N270" s="195">
        <v>246.1968</v>
      </c>
    </row>
    <row r="271" spans="1:14" ht="15" x14ac:dyDescent="0.25">
      <c r="A271" s="410">
        <v>215234</v>
      </c>
      <c r="B271" t="str">
        <f t="shared" si="9"/>
        <v>SEVROLL Polo úch.lišta 10mm 2,70m strieborná</v>
      </c>
      <c r="C271" s="198">
        <f t="shared" si="10"/>
        <v>12.927300000000001</v>
      </c>
      <c r="D271" s="526" t="s">
        <v>3034</v>
      </c>
      <c r="E271" s="526" t="s">
        <v>4166</v>
      </c>
      <c r="F271" s="526" t="s">
        <v>1241</v>
      </c>
      <c r="G271" s="526" t="s">
        <v>4167</v>
      </c>
      <c r="H271" s="412">
        <v>354.08175</v>
      </c>
      <c r="I271" s="411">
        <v>12.927300000000001</v>
      </c>
      <c r="J271" s="411">
        <v>45.41854</v>
      </c>
      <c r="K271" s="411">
        <v>5021.5230799999999</v>
      </c>
      <c r="L271" s="526" t="s">
        <v>553</v>
      </c>
      <c r="M271" s="409" t="s">
        <v>586</v>
      </c>
      <c r="N271" s="195">
        <v>246.1968</v>
      </c>
    </row>
    <row r="272" spans="1:14" ht="15" x14ac:dyDescent="0.25">
      <c r="A272" s="410">
        <v>224128</v>
      </c>
      <c r="B272" t="str">
        <f t="shared" si="9"/>
        <v>SEVROLL Simple spodné vedenie 3m oliva</v>
      </c>
      <c r="C272" s="198" t="e">
        <f t="shared" si="10"/>
        <v>#N/A</v>
      </c>
      <c r="D272" s="526" t="s">
        <v>3125</v>
      </c>
      <c r="E272" s="526" t="s">
        <v>4168</v>
      </c>
      <c r="F272" s="526" t="s">
        <v>4169</v>
      </c>
      <c r="G272" s="526" t="s">
        <v>4170</v>
      </c>
      <c r="H272" s="412" t="e">
        <v>#N/A</v>
      </c>
      <c r="I272" s="411" t="e">
        <v>#N/A</v>
      </c>
      <c r="J272" s="411" t="e">
        <v>#N/A</v>
      </c>
      <c r="K272" s="411" t="e">
        <v>#N/A</v>
      </c>
      <c r="L272" s="526" t="e">
        <v>#N/A</v>
      </c>
      <c r="M272" s="409" t="s">
        <v>586</v>
      </c>
      <c r="N272" s="195">
        <v>246.1968</v>
      </c>
    </row>
    <row r="273" spans="1:14" ht="15" x14ac:dyDescent="0.25">
      <c r="A273" s="410">
        <v>351475</v>
      </c>
      <c r="B273" t="str">
        <f t="shared" si="9"/>
        <v>SEVROLL 04760 Gemini II spodné vedenie 1,7m biela lesk</v>
      </c>
      <c r="C273" s="198">
        <f t="shared" si="10"/>
        <v>10.41539</v>
      </c>
      <c r="D273" s="526" t="s">
        <v>3455</v>
      </c>
      <c r="E273" s="526" t="s">
        <v>4171</v>
      </c>
      <c r="F273" s="526" t="s">
        <v>4172</v>
      </c>
      <c r="G273" s="526" t="s">
        <v>4173</v>
      </c>
      <c r="H273" s="412">
        <v>288.64184</v>
      </c>
      <c r="I273" s="411">
        <v>10.41539</v>
      </c>
      <c r="J273" s="411">
        <v>41.921999999999997</v>
      </c>
      <c r="K273" s="411">
        <v>3964.8685399999999</v>
      </c>
      <c r="L273" s="526" t="s">
        <v>554</v>
      </c>
      <c r="M273" s="409" t="s">
        <v>586</v>
      </c>
      <c r="N273" s="195">
        <v>246.94739999999999</v>
      </c>
    </row>
    <row r="274" spans="1:14" ht="15" x14ac:dyDescent="0.25">
      <c r="A274" s="410">
        <v>180411</v>
      </c>
      <c r="B274" t="str">
        <f t="shared" si="9"/>
        <v>SEVROLL 02805 Maxim II spodné vedenie 1,8m strieborná</v>
      </c>
      <c r="C274" s="198" t="e">
        <f t="shared" si="10"/>
        <v>#N/A</v>
      </c>
      <c r="D274" s="526" t="s">
        <v>2939</v>
      </c>
      <c r="E274" s="526" t="s">
        <v>4174</v>
      </c>
      <c r="F274" s="526" t="s">
        <v>4175</v>
      </c>
      <c r="G274" s="526" t="s">
        <v>4176</v>
      </c>
      <c r="H274" s="412" t="e">
        <v>#N/A</v>
      </c>
      <c r="I274" s="411" t="e">
        <v>#N/A</v>
      </c>
      <c r="J274" s="411" t="e">
        <v>#N/A</v>
      </c>
      <c r="K274" s="411" t="e">
        <v>#N/A</v>
      </c>
      <c r="L274" s="526" t="e">
        <v>#N/A</v>
      </c>
      <c r="M274" s="409" t="s">
        <v>586</v>
      </c>
      <c r="N274" s="195">
        <v>246.94739999999999</v>
      </c>
    </row>
    <row r="275" spans="1:14" ht="15" x14ac:dyDescent="0.25">
      <c r="A275" s="410">
        <v>349814</v>
      </c>
      <c r="B275" t="str">
        <f t="shared" si="9"/>
        <v>SEVROLL 04498 Blue-V spodné vedenie  3m strieborná</v>
      </c>
      <c r="C275" s="198">
        <f t="shared" si="10"/>
        <v>11.9984</v>
      </c>
      <c r="D275" s="526" t="s">
        <v>3431</v>
      </c>
      <c r="E275" s="526" t="s">
        <v>4177</v>
      </c>
      <c r="F275" s="526" t="s">
        <v>4178</v>
      </c>
      <c r="G275" s="526" t="s">
        <v>4179</v>
      </c>
      <c r="H275" s="412">
        <v>328.63875000000002</v>
      </c>
      <c r="I275" s="411">
        <v>11.9984</v>
      </c>
      <c r="J275" s="411">
        <v>49.288629999999998</v>
      </c>
      <c r="K275" s="411">
        <v>4660.6949999999997</v>
      </c>
      <c r="L275" s="526" t="s">
        <v>710</v>
      </c>
      <c r="M275" s="409" t="s">
        <v>586</v>
      </c>
      <c r="N275" s="195">
        <v>247.69800000000001</v>
      </c>
    </row>
    <row r="276" spans="1:14" ht="15" x14ac:dyDescent="0.25">
      <c r="A276" s="410">
        <v>98057</v>
      </c>
      <c r="B276" t="str">
        <f t="shared" si="9"/>
        <v>SEVROLL 04592 Gemini II spodné vedenie  2,35m strieborná</v>
      </c>
      <c r="C276" s="198">
        <f t="shared" si="10"/>
        <v>11.10046</v>
      </c>
      <c r="D276" s="526" t="s">
        <v>2793</v>
      </c>
      <c r="E276" s="526" t="s">
        <v>4180</v>
      </c>
      <c r="F276" s="526" t="s">
        <v>4181</v>
      </c>
      <c r="G276" s="526" t="s">
        <v>4182</v>
      </c>
      <c r="H276" s="412">
        <v>307.36068999999998</v>
      </c>
      <c r="I276" s="411">
        <v>11.10046</v>
      </c>
      <c r="J276" s="411">
        <v>41.34393</v>
      </c>
      <c r="K276" s="411">
        <v>4225.6567299999997</v>
      </c>
      <c r="L276" s="526" t="s">
        <v>553</v>
      </c>
      <c r="M276" s="409" t="s">
        <v>586</v>
      </c>
      <c r="N276" s="195">
        <v>248.25399999999999</v>
      </c>
    </row>
    <row r="277" spans="1:14" ht="15" x14ac:dyDescent="0.25">
      <c r="A277" s="410">
        <v>349866</v>
      </c>
      <c r="B277" t="str">
        <f t="shared" si="9"/>
        <v>SEVROLL 04487 Blue-C spodné vedenie 4m strieborná</v>
      </c>
      <c r="C277" s="198">
        <f t="shared" si="10"/>
        <v>13.34015</v>
      </c>
      <c r="D277" s="526" t="s">
        <v>3445</v>
      </c>
      <c r="E277" s="526" t="s">
        <v>4183</v>
      </c>
      <c r="F277" s="526" t="s">
        <v>4184</v>
      </c>
      <c r="G277" s="526" t="s">
        <v>4185</v>
      </c>
      <c r="H277" s="412">
        <v>365.38974999999999</v>
      </c>
      <c r="I277" s="411">
        <v>13.34015</v>
      </c>
      <c r="J277" s="411">
        <v>54.590339999999998</v>
      </c>
      <c r="K277" s="411">
        <v>5181.8911500000004</v>
      </c>
      <c r="L277" s="526" t="s">
        <v>554</v>
      </c>
      <c r="M277" s="409" t="s">
        <v>586</v>
      </c>
      <c r="N277" s="195">
        <v>248.4486</v>
      </c>
    </row>
    <row r="278" spans="1:14" ht="15" x14ac:dyDescent="0.25">
      <c r="A278" s="410">
        <v>215232</v>
      </c>
      <c r="B278" t="str">
        <f t="shared" si="9"/>
        <v>SEVROLL Libra úchytová lišta 18mm 2,70m strieborná</v>
      </c>
      <c r="C278" s="198">
        <f t="shared" si="10"/>
        <v>12.669269999999999</v>
      </c>
      <c r="D278" s="526" t="s">
        <v>3032</v>
      </c>
      <c r="E278" s="526" t="s">
        <v>4186</v>
      </c>
      <c r="F278" s="526" t="s">
        <v>4187</v>
      </c>
      <c r="G278" s="526" t="s">
        <v>4188</v>
      </c>
      <c r="H278" s="412">
        <v>347.01425</v>
      </c>
      <c r="I278" s="411">
        <v>12.669269999999999</v>
      </c>
      <c r="J278" s="411">
        <v>45.355609999999999</v>
      </c>
      <c r="K278" s="411">
        <v>4921.2930800000004</v>
      </c>
      <c r="L278" s="526" t="s">
        <v>554</v>
      </c>
      <c r="M278" s="409" t="s">
        <v>586</v>
      </c>
      <c r="N278" s="195">
        <v>248.4486</v>
      </c>
    </row>
    <row r="279" spans="1:14" ht="15" x14ac:dyDescent="0.25">
      <c r="A279" s="410">
        <v>190753</v>
      </c>
      <c r="B279" t="str">
        <f t="shared" si="9"/>
        <v>SEVROLL 00903 First hornéspodné vedenie 3m oliva</v>
      </c>
      <c r="C279" s="198">
        <f t="shared" si="10"/>
        <v>14.449680000000001</v>
      </c>
      <c r="D279" s="526" t="s">
        <v>2952</v>
      </c>
      <c r="E279" s="526" t="s">
        <v>4189</v>
      </c>
      <c r="F279" s="526" t="s">
        <v>4190</v>
      </c>
      <c r="G279" s="526" t="s">
        <v>4191</v>
      </c>
      <c r="H279" s="412">
        <v>400.0976</v>
      </c>
      <c r="I279" s="411">
        <v>14.449680000000001</v>
      </c>
      <c r="J279" s="411">
        <v>54.3048</v>
      </c>
      <c r="K279" s="411">
        <v>5500.6224000000002</v>
      </c>
      <c r="L279" s="526" t="s">
        <v>554</v>
      </c>
      <c r="M279" s="409" t="s">
        <v>586</v>
      </c>
      <c r="N279" s="195">
        <v>249.56059999999999</v>
      </c>
    </row>
    <row r="280" spans="1:14" ht="15" x14ac:dyDescent="0.25">
      <c r="A280" s="410">
        <v>190752</v>
      </c>
      <c r="B280" t="str">
        <f t="shared" si="9"/>
        <v>SEVROLL 00912 First horné/spodné vedenie 3m strieborná</v>
      </c>
      <c r="C280" s="198">
        <f t="shared" si="10"/>
        <v>13.030519999999999</v>
      </c>
      <c r="D280" s="526" t="s">
        <v>2951</v>
      </c>
      <c r="E280" s="526" t="s">
        <v>4192</v>
      </c>
      <c r="F280" s="526" t="s">
        <v>4193</v>
      </c>
      <c r="G280" s="526" t="s">
        <v>4194</v>
      </c>
      <c r="H280" s="412">
        <v>360.8023</v>
      </c>
      <c r="I280" s="411">
        <v>13.030519999999999</v>
      </c>
      <c r="J280" s="411">
        <v>49.368000000000002</v>
      </c>
      <c r="K280" s="411">
        <v>4960.3827000000001</v>
      </c>
      <c r="L280" s="526" t="s">
        <v>554</v>
      </c>
      <c r="M280" s="409" t="s">
        <v>586</v>
      </c>
      <c r="N280" s="195">
        <v>249.56059999999999</v>
      </c>
    </row>
    <row r="281" spans="1:14" ht="15" x14ac:dyDescent="0.25">
      <c r="A281" s="413">
        <v>340601</v>
      </c>
      <c r="B281" t="e">
        <f t="shared" si="9"/>
        <v>#N/A</v>
      </c>
      <c r="C281" s="198" t="e">
        <f t="shared" si="10"/>
        <v>#N/A</v>
      </c>
      <c r="D281" s="526" t="e">
        <v>#N/A</v>
      </c>
      <c r="E281" s="526" t="e">
        <v>#N/A</v>
      </c>
      <c r="F281" s="526" t="e">
        <v>#N/A</v>
      </c>
      <c r="G281" s="526" t="e">
        <v>#N/A</v>
      </c>
      <c r="H281" s="412" t="e">
        <v>#N/A</v>
      </c>
      <c r="I281" s="411" t="e">
        <v>#N/A</v>
      </c>
      <c r="J281" s="411" t="e">
        <v>#N/A</v>
      </c>
      <c r="K281" s="411" t="e">
        <v>#N/A</v>
      </c>
      <c r="L281" s="526" t="e">
        <v>#N/A</v>
      </c>
      <c r="M281" s="414" t="s">
        <v>586</v>
      </c>
      <c r="N281" s="195">
        <v>250.00540000000001</v>
      </c>
    </row>
    <row r="282" spans="1:14" ht="15" x14ac:dyDescent="0.25">
      <c r="A282" s="410">
        <v>298399</v>
      </c>
      <c r="B282" t="str">
        <f t="shared" si="9"/>
        <v>SEVROLL 02455 uholník 18x36mm 3m strieborná</v>
      </c>
      <c r="C282" s="198">
        <f t="shared" si="10"/>
        <v>10.656639999999999</v>
      </c>
      <c r="D282" s="526" t="s">
        <v>3305</v>
      </c>
      <c r="E282" s="526" t="s">
        <v>4195</v>
      </c>
      <c r="F282" s="526" t="s">
        <v>4196</v>
      </c>
      <c r="G282" s="526" t="s">
        <v>4197</v>
      </c>
      <c r="H282" s="412">
        <v>295.07198</v>
      </c>
      <c r="I282" s="411">
        <v>10.656639999999999</v>
      </c>
      <c r="J282" s="411">
        <v>39.565800000000003</v>
      </c>
      <c r="K282" s="411">
        <v>4056.7088699999999</v>
      </c>
      <c r="L282" s="526" t="s">
        <v>553</v>
      </c>
      <c r="M282" s="409" t="s">
        <v>586</v>
      </c>
      <c r="N282" s="195">
        <v>250.8672</v>
      </c>
    </row>
    <row r="283" spans="1:14" ht="15" x14ac:dyDescent="0.25">
      <c r="A283" s="410">
        <v>346123</v>
      </c>
      <c r="B283" t="str">
        <f t="shared" si="9"/>
        <v>SEVROLL 04317 maska Elegant II 6m biela lesk</v>
      </c>
      <c r="C283" s="198">
        <f t="shared" si="10"/>
        <v>11.67327</v>
      </c>
      <c r="D283" s="526" t="s">
        <v>3401</v>
      </c>
      <c r="E283" s="526" t="s">
        <v>4198</v>
      </c>
      <c r="F283" s="526" t="s">
        <v>4199</v>
      </c>
      <c r="G283" s="526" t="s">
        <v>4200</v>
      </c>
      <c r="H283" s="412">
        <v>322.93592000000001</v>
      </c>
      <c r="I283" s="411">
        <v>11.67327</v>
      </c>
      <c r="J283" s="411">
        <v>43.084800000000001</v>
      </c>
      <c r="K283" s="411">
        <v>4443.7172700000001</v>
      </c>
      <c r="L283" s="526" t="s">
        <v>554</v>
      </c>
      <c r="M283" s="409" t="s">
        <v>586</v>
      </c>
      <c r="N283" s="195">
        <v>253.4804</v>
      </c>
    </row>
    <row r="284" spans="1:14" ht="15" x14ac:dyDescent="0.25">
      <c r="A284" s="410">
        <v>216358</v>
      </c>
      <c r="B284" t="str">
        <f t="shared" si="9"/>
        <v>SEVROLL upevňov.klín Simple 40ks (sklo 4mm)</v>
      </c>
      <c r="C284" s="198" t="e">
        <f t="shared" si="10"/>
        <v>#N/A</v>
      </c>
      <c r="D284" s="526" t="s">
        <v>3041</v>
      </c>
      <c r="E284" s="526" t="s">
        <v>4201</v>
      </c>
      <c r="F284" s="526" t="s">
        <v>1070</v>
      </c>
      <c r="G284" s="526" t="s">
        <v>4202</v>
      </c>
      <c r="H284" s="412" t="e">
        <v>#N/A</v>
      </c>
      <c r="I284" s="411" t="e">
        <v>#N/A</v>
      </c>
      <c r="J284" s="411" t="e">
        <v>#N/A</v>
      </c>
      <c r="K284" s="411" t="e">
        <v>#N/A</v>
      </c>
      <c r="L284" s="526" t="e">
        <v>#N/A</v>
      </c>
      <c r="M284" s="409" t="s">
        <v>679</v>
      </c>
      <c r="N284" s="195">
        <v>253.7028</v>
      </c>
    </row>
    <row r="285" spans="1:14" ht="15" x14ac:dyDescent="0.25">
      <c r="A285" s="410">
        <v>336796</v>
      </c>
      <c r="B285" t="str">
        <f t="shared" si="9"/>
        <v>SEVROLL 04447 spojovacia lišta Simple/Blue H21 3m (pre lamino 18mm) strieborná</v>
      </c>
      <c r="C285" s="198">
        <f t="shared" si="10"/>
        <v>11.32752</v>
      </c>
      <c r="D285" s="526" t="s">
        <v>3369</v>
      </c>
      <c r="E285" s="526" t="s">
        <v>4203</v>
      </c>
      <c r="F285" s="526" t="s">
        <v>4204</v>
      </c>
      <c r="G285" s="526" t="s">
        <v>4205</v>
      </c>
      <c r="H285" s="412">
        <v>310.26325000000003</v>
      </c>
      <c r="I285" s="411">
        <v>11.32752</v>
      </c>
      <c r="J285" s="411">
        <v>46.268070000000002</v>
      </c>
      <c r="K285" s="411">
        <v>4400.0969299999997</v>
      </c>
      <c r="L285" s="526" t="s">
        <v>710</v>
      </c>
      <c r="M285" s="409" t="s">
        <v>586</v>
      </c>
      <c r="N285" s="195">
        <v>254.45339999999999</v>
      </c>
    </row>
    <row r="286" spans="1:14" ht="15" x14ac:dyDescent="0.25">
      <c r="A286" s="413">
        <v>233428</v>
      </c>
      <c r="B286" t="str">
        <f t="shared" si="9"/>
        <v>Sevroll 85003 Fiona II úchytová lišta 2,7m strieborná</v>
      </c>
      <c r="C286" s="198">
        <f t="shared" si="10"/>
        <v>12.6914</v>
      </c>
      <c r="D286" s="526" t="s">
        <v>3190</v>
      </c>
      <c r="E286" s="526" t="s">
        <v>4206</v>
      </c>
      <c r="F286" s="526" t="s">
        <v>4207</v>
      </c>
      <c r="G286" s="526" t="s">
        <v>4208</v>
      </c>
      <c r="H286" s="412">
        <v>359.37338</v>
      </c>
      <c r="I286" s="411">
        <v>12.6914</v>
      </c>
      <c r="J286" s="411">
        <v>54.096670000000003</v>
      </c>
      <c r="K286" s="411">
        <v>4881.3076899999996</v>
      </c>
      <c r="L286" s="526" t="s">
        <v>553</v>
      </c>
      <c r="M286" s="414" t="s">
        <v>586</v>
      </c>
      <c r="N286" s="195">
        <v>254.4812</v>
      </c>
    </row>
    <row r="287" spans="1:14" ht="15" x14ac:dyDescent="0.25">
      <c r="A287" s="410">
        <v>303463</v>
      </c>
      <c r="B287" t="str">
        <f t="shared" si="9"/>
        <v>SEVROLL úchytka Push 90mm brúsený nikel</v>
      </c>
      <c r="C287" s="198">
        <f t="shared" si="10"/>
        <v>12.82409</v>
      </c>
      <c r="D287" s="526" t="s">
        <v>3312</v>
      </c>
      <c r="E287" s="526" t="s">
        <v>4209</v>
      </c>
      <c r="F287" s="526" t="s">
        <v>1115</v>
      </c>
      <c r="G287" s="526" t="s">
        <v>4210</v>
      </c>
      <c r="H287" s="412">
        <v>355.08661999999998</v>
      </c>
      <c r="I287" s="411">
        <v>12.82409</v>
      </c>
      <c r="J287" s="411">
        <v>47.093400000000003</v>
      </c>
      <c r="K287" s="411">
        <v>4881.8025299999999</v>
      </c>
      <c r="L287" s="526" t="s">
        <v>554</v>
      </c>
      <c r="M287" s="409" t="s">
        <v>586</v>
      </c>
      <c r="N287" s="195">
        <v>255.44030000000001</v>
      </c>
    </row>
    <row r="288" spans="1:14" ht="15" x14ac:dyDescent="0.25">
      <c r="A288" s="410">
        <v>349474</v>
      </c>
      <c r="B288" t="str">
        <f t="shared" si="9"/>
        <v>SEVROLL 04512 Era úchytová lišta 18mm 2,70m strieborná</v>
      </c>
      <c r="C288" s="198">
        <f t="shared" si="10"/>
        <v>11.86938</v>
      </c>
      <c r="D288" s="526" t="s">
        <v>3405</v>
      </c>
      <c r="E288" s="526" t="s">
        <v>4211</v>
      </c>
      <c r="F288" s="526" t="s">
        <v>4212</v>
      </c>
      <c r="G288" s="526" t="s">
        <v>4213</v>
      </c>
      <c r="H288" s="412">
        <v>325.10500000000002</v>
      </c>
      <c r="I288" s="411">
        <v>11.86938</v>
      </c>
      <c r="J288" s="411">
        <v>42.932870000000001</v>
      </c>
      <c r="K288" s="411">
        <v>4610.58</v>
      </c>
      <c r="L288" s="526" t="s">
        <v>710</v>
      </c>
      <c r="M288" s="409" t="s">
        <v>586</v>
      </c>
      <c r="N288" s="195">
        <v>256.70519999999999</v>
      </c>
    </row>
    <row r="289" spans="1:14" ht="15" x14ac:dyDescent="0.25">
      <c r="A289" s="415">
        <v>190515</v>
      </c>
      <c r="B289" t="str">
        <f t="shared" si="9"/>
        <v>SEVROLL 50243 Ursus horné vedenie 1,2m surová</v>
      </c>
      <c r="C289" s="198">
        <f t="shared" si="10"/>
        <v>15.352790000000001</v>
      </c>
      <c r="D289" s="526" t="s">
        <v>2950</v>
      </c>
      <c r="E289" s="526" t="s">
        <v>4214</v>
      </c>
      <c r="F289" s="526" t="s">
        <v>4215</v>
      </c>
      <c r="G289" s="526" t="s">
        <v>4216</v>
      </c>
      <c r="H289" s="412">
        <v>405.22474999999997</v>
      </c>
      <c r="I289" s="411">
        <v>15.352790000000001</v>
      </c>
      <c r="J289" s="411">
        <v>52.825180000000003</v>
      </c>
      <c r="K289" s="411">
        <v>5653.6442299999999</v>
      </c>
      <c r="L289" s="526" t="s">
        <v>554</v>
      </c>
      <c r="M289" s="416" t="s">
        <v>586</v>
      </c>
      <c r="N289" s="195">
        <v>256.84142000000003</v>
      </c>
    </row>
    <row r="290" spans="1:14" ht="15" x14ac:dyDescent="0.25">
      <c r="A290" s="410">
        <v>364016</v>
      </c>
      <c r="B290" t="str">
        <f t="shared" si="9"/>
        <v>SEVROLL 04184 okrasná lišta S18 s lepidlom 3m biela lesk</v>
      </c>
      <c r="C290" s="198">
        <f t="shared" si="10"/>
        <v>14.826409999999999</v>
      </c>
      <c r="D290" s="526" t="s">
        <v>3467</v>
      </c>
      <c r="E290" s="526" t="s">
        <v>4217</v>
      </c>
      <c r="F290" s="526" t="s">
        <v>4218</v>
      </c>
      <c r="G290" s="526" t="s">
        <v>4219</v>
      </c>
      <c r="H290" s="412">
        <v>410.81450000000001</v>
      </c>
      <c r="I290" s="411">
        <v>14.826409999999999</v>
      </c>
      <c r="J290" s="411">
        <v>50.182299999999998</v>
      </c>
      <c r="K290" s="411">
        <v>5644.0314600000002</v>
      </c>
      <c r="L290" s="526" t="s">
        <v>554</v>
      </c>
      <c r="M290" s="409" t="s">
        <v>586</v>
      </c>
      <c r="N290" s="195">
        <v>258.05349999999999</v>
      </c>
    </row>
    <row r="291" spans="1:14" ht="15" x14ac:dyDescent="0.25">
      <c r="A291" s="410">
        <v>284977</v>
      </c>
      <c r="B291" t="str">
        <f t="shared" si="9"/>
        <v>SEVROLL 02998 Maxim II maska 3,5m oliva</v>
      </c>
      <c r="C291" s="198" t="e">
        <f t="shared" si="10"/>
        <v>#N/A</v>
      </c>
      <c r="D291" s="526" t="s">
        <v>3296</v>
      </c>
      <c r="E291" s="526" t="s">
        <v>4220</v>
      </c>
      <c r="F291" s="526" t="s">
        <v>3296</v>
      </c>
      <c r="G291" s="526" t="s">
        <v>4221</v>
      </c>
      <c r="H291" s="412" t="e">
        <v>#N/A</v>
      </c>
      <c r="I291" s="411" t="e">
        <v>#N/A</v>
      </c>
      <c r="J291" s="411" t="e">
        <v>#N/A</v>
      </c>
      <c r="K291" s="411" t="e">
        <v>#N/A</v>
      </c>
      <c r="L291" s="526" t="e">
        <v>#N/A</v>
      </c>
      <c r="M291" s="409" t="s">
        <v>586</v>
      </c>
      <c r="N291" s="195">
        <v>258.70679999999999</v>
      </c>
    </row>
    <row r="292" spans="1:14" ht="15" x14ac:dyDescent="0.25">
      <c r="A292" s="410">
        <v>276738</v>
      </c>
      <c r="B292" t="str">
        <f t="shared" si="9"/>
        <v>SEVROLL 03890 spojovacia lišta H08/18 3m biela mat</v>
      </c>
      <c r="C292" s="198">
        <f t="shared" si="10"/>
        <v>11.37912</v>
      </c>
      <c r="D292" s="526" t="s">
        <v>3239</v>
      </c>
      <c r="E292" s="526" t="s">
        <v>4222</v>
      </c>
      <c r="F292" s="526" t="s">
        <v>4223</v>
      </c>
      <c r="G292" s="526" t="s">
        <v>4224</v>
      </c>
      <c r="H292" s="412">
        <v>315.07686000000001</v>
      </c>
      <c r="I292" s="411">
        <v>11.37912</v>
      </c>
      <c r="J292" s="411">
        <v>42.829799999999999</v>
      </c>
      <c r="K292" s="411">
        <v>4331.7402099999999</v>
      </c>
      <c r="L292" s="526" t="s">
        <v>554</v>
      </c>
      <c r="M292" s="409" t="s">
        <v>586</v>
      </c>
      <c r="N292" s="195">
        <v>258.70679999999999</v>
      </c>
    </row>
    <row r="293" spans="1:14" ht="15" x14ac:dyDescent="0.25">
      <c r="A293" s="410">
        <v>349797</v>
      </c>
      <c r="B293" t="str">
        <f t="shared" si="9"/>
        <v>SEVROLL 04465 Blue horné vedenie 1,5m oliva</v>
      </c>
      <c r="C293" s="198">
        <f t="shared" si="10"/>
        <v>14.030390000000001</v>
      </c>
      <c r="D293" s="526" t="s">
        <v>3416</v>
      </c>
      <c r="E293" s="526" t="s">
        <v>4225</v>
      </c>
      <c r="F293" s="526" t="s">
        <v>4226</v>
      </c>
      <c r="G293" s="526" t="s">
        <v>4227</v>
      </c>
      <c r="H293" s="412">
        <v>384.47199999999998</v>
      </c>
      <c r="I293" s="411">
        <v>14.030390000000001</v>
      </c>
      <c r="J293" s="411">
        <v>47.466999999999999</v>
      </c>
      <c r="K293" s="411">
        <v>5450.0065500000001</v>
      </c>
      <c r="L293" s="526" t="s">
        <v>554</v>
      </c>
      <c r="M293" s="409" t="s">
        <v>586</v>
      </c>
      <c r="N293" s="195">
        <v>258.95699999999999</v>
      </c>
    </row>
    <row r="294" spans="1:14" ht="15" x14ac:dyDescent="0.25">
      <c r="A294" s="415">
        <v>128328</v>
      </c>
      <c r="B294" t="str">
        <f t="shared" si="9"/>
        <v>SEVROLL 01971 Exclusive horné vedenie 1,2m strieborná</v>
      </c>
      <c r="C294" s="198">
        <f t="shared" si="10"/>
        <v>12.9015</v>
      </c>
      <c r="D294" s="526" t="s">
        <v>2855</v>
      </c>
      <c r="E294" s="526" t="s">
        <v>4228</v>
      </c>
      <c r="F294" s="526" t="s">
        <v>4229</v>
      </c>
      <c r="G294" s="526" t="s">
        <v>4230</v>
      </c>
      <c r="H294" s="412">
        <v>340.52499999999998</v>
      </c>
      <c r="I294" s="411">
        <v>12.9015</v>
      </c>
      <c r="J294" s="411">
        <v>44.390920000000001</v>
      </c>
      <c r="K294" s="411">
        <v>4750.9615400000002</v>
      </c>
      <c r="L294" s="526" t="s">
        <v>554</v>
      </c>
      <c r="M294" s="416" t="s">
        <v>586</v>
      </c>
      <c r="N294" s="195">
        <v>260.62777999999997</v>
      </c>
    </row>
    <row r="295" spans="1:14" ht="15" x14ac:dyDescent="0.25">
      <c r="A295" s="410">
        <v>224153</v>
      </c>
      <c r="B295" t="str">
        <f t="shared" si="9"/>
        <v>SEVROLL spodná krycia lišta Simple/Blue 2m(pre lamino 10mm) strieborná</v>
      </c>
      <c r="C295" s="198">
        <f t="shared" si="10"/>
        <v>13.10792</v>
      </c>
      <c r="D295" s="526" t="s">
        <v>3144</v>
      </c>
      <c r="E295" s="526" t="s">
        <v>4231</v>
      </c>
      <c r="F295" s="526" t="s">
        <v>4232</v>
      </c>
      <c r="G295" s="526" t="s">
        <v>4233</v>
      </c>
      <c r="H295" s="412">
        <v>359.029</v>
      </c>
      <c r="I295" s="411">
        <v>13.10792</v>
      </c>
      <c r="J295" s="411">
        <v>45.701709999999999</v>
      </c>
      <c r="K295" s="411">
        <v>5091.6838500000003</v>
      </c>
      <c r="L295" s="526" t="s">
        <v>553</v>
      </c>
      <c r="M295" s="409" t="s">
        <v>586</v>
      </c>
      <c r="N295" s="195">
        <v>261.2088</v>
      </c>
    </row>
    <row r="296" spans="1:14" ht="15" x14ac:dyDescent="0.25">
      <c r="A296" s="410">
        <v>284600</v>
      </c>
      <c r="B296" t="str">
        <f t="shared" si="9"/>
        <v>SEVROLL Uno úchytová lišta 18mm 2,70m oliva</v>
      </c>
      <c r="C296" s="198">
        <f t="shared" si="10"/>
        <v>14.34647</v>
      </c>
      <c r="D296" s="526" t="s">
        <v>3285</v>
      </c>
      <c r="E296" s="526" t="s">
        <v>4234</v>
      </c>
      <c r="F296" s="526" t="s">
        <v>1113</v>
      </c>
      <c r="G296" s="526" t="s">
        <v>4235</v>
      </c>
      <c r="H296" s="412">
        <v>392.95299999999997</v>
      </c>
      <c r="I296" s="411">
        <v>14.34647</v>
      </c>
      <c r="J296" s="411">
        <v>48.53633</v>
      </c>
      <c r="K296" s="411">
        <v>5572.7880800000003</v>
      </c>
      <c r="L296" s="526" t="s">
        <v>554</v>
      </c>
      <c r="M296" s="409" t="s">
        <v>586</v>
      </c>
      <c r="N296" s="195">
        <v>261.95940000000002</v>
      </c>
    </row>
    <row r="297" spans="1:14" ht="15" x14ac:dyDescent="0.25">
      <c r="A297" s="410">
        <v>222788</v>
      </c>
      <c r="B297" t="str">
        <f t="shared" ref="B297:B360" si="11">IF($A$2=1,D297,IF($A$2=2,F297,IF($A$2=3,G297,IF($A$2=4,E297,"zadat jazyk"))))</f>
        <v>SEVROLL 04530 Alfa II úchytová lišta 18mm 2,70m strieborná</v>
      </c>
      <c r="C297" s="198">
        <f t="shared" si="10"/>
        <v>12.54026</v>
      </c>
      <c r="D297" s="526" t="s">
        <v>3059</v>
      </c>
      <c r="E297" s="526" t="s">
        <v>4236</v>
      </c>
      <c r="F297" s="526" t="s">
        <v>4237</v>
      </c>
      <c r="G297" s="526" t="s">
        <v>4238</v>
      </c>
      <c r="H297" s="412">
        <v>347.22755999999998</v>
      </c>
      <c r="I297" s="411">
        <v>12.54026</v>
      </c>
      <c r="J297" s="411">
        <v>45.701709999999999</v>
      </c>
      <c r="K297" s="411">
        <v>4773.7545099999998</v>
      </c>
      <c r="L297" s="526" t="s">
        <v>710</v>
      </c>
      <c r="M297" s="409" t="s">
        <v>586</v>
      </c>
      <c r="N297" s="195">
        <v>264.5865</v>
      </c>
    </row>
    <row r="298" spans="1:14" ht="15" x14ac:dyDescent="0.25">
      <c r="A298" s="410">
        <v>238034</v>
      </c>
      <c r="B298" t="str">
        <f t="shared" si="11"/>
        <v>SEVROLL Maxim spojovacia lišta H18 2,5m oliv</v>
      </c>
      <c r="C298" s="198" t="e">
        <f t="shared" si="10"/>
        <v>#N/A</v>
      </c>
      <c r="D298" s="526" t="s">
        <v>3203</v>
      </c>
      <c r="E298" s="526" t="s">
        <v>4239</v>
      </c>
      <c r="F298" s="526" t="s">
        <v>1150</v>
      </c>
      <c r="G298" s="526" t="s">
        <v>4240</v>
      </c>
      <c r="H298" s="412" t="e">
        <v>#N/A</v>
      </c>
      <c r="I298" s="411" t="e">
        <v>#N/A</v>
      </c>
      <c r="J298" s="411" t="e">
        <v>#N/A</v>
      </c>
      <c r="K298" s="411" t="e">
        <v>#N/A</v>
      </c>
      <c r="L298" s="526" t="e">
        <v>#N/A</v>
      </c>
      <c r="M298" s="409" t="s">
        <v>586</v>
      </c>
      <c r="N298" s="195">
        <v>265.2398</v>
      </c>
    </row>
    <row r="299" spans="1:14" ht="15" x14ac:dyDescent="0.25">
      <c r="A299" s="410">
        <v>349856</v>
      </c>
      <c r="B299" t="str">
        <f t="shared" si="11"/>
        <v>SEVROLL 20361 upevňovací klin Blue 40ks (sklo 4mm)</v>
      </c>
      <c r="C299" s="198">
        <f t="shared" si="10"/>
        <v>12.17902</v>
      </c>
      <c r="D299" s="526" t="s">
        <v>3437</v>
      </c>
      <c r="E299" s="526" t="s">
        <v>4241</v>
      </c>
      <c r="F299" s="526" t="s">
        <v>4242</v>
      </c>
      <c r="G299" s="526" t="s">
        <v>4243</v>
      </c>
      <c r="H299" s="412">
        <v>357.84679999999997</v>
      </c>
      <c r="I299" s="411">
        <v>12.17902</v>
      </c>
      <c r="J299" s="411">
        <v>42.618220000000001</v>
      </c>
      <c r="K299" s="411">
        <v>4730.8561499999996</v>
      </c>
      <c r="L299" s="526" t="s">
        <v>553</v>
      </c>
      <c r="M299" s="409" t="s">
        <v>588</v>
      </c>
      <c r="N299" s="195">
        <v>266.46300000000002</v>
      </c>
    </row>
    <row r="300" spans="1:14" ht="15" x14ac:dyDescent="0.25">
      <c r="A300" s="415">
        <v>197753</v>
      </c>
      <c r="B300" t="str">
        <f t="shared" si="11"/>
        <v>SEVROLL Hide N spodné vedenie Hide N 3m stri</v>
      </c>
      <c r="C300" s="198">
        <f t="shared" si="10"/>
        <v>12.61767</v>
      </c>
      <c r="D300" s="526" t="s">
        <v>2976</v>
      </c>
      <c r="E300" s="526" t="s">
        <v>4244</v>
      </c>
      <c r="F300" s="526" t="s">
        <v>1268</v>
      </c>
      <c r="G300" s="526" t="s">
        <v>4245</v>
      </c>
      <c r="H300" s="412">
        <v>333.03345000000002</v>
      </c>
      <c r="I300" s="411">
        <v>12.61767</v>
      </c>
      <c r="J300" s="411">
        <v>43.414319999999996</v>
      </c>
      <c r="K300" s="411">
        <v>4646.4404000000004</v>
      </c>
      <c r="L300" s="526" t="s">
        <v>553</v>
      </c>
      <c r="M300" s="416" t="s">
        <v>586</v>
      </c>
      <c r="N300" s="195">
        <v>266.93838</v>
      </c>
    </row>
    <row r="301" spans="1:14" ht="15" x14ac:dyDescent="0.25">
      <c r="A301" s="410">
        <v>234757</v>
      </c>
      <c r="B301" t="str">
        <f t="shared" si="11"/>
        <v>SEVROLL spojovacia lišta H16 3m strie</v>
      </c>
      <c r="C301" s="198">
        <f t="shared" si="10"/>
        <v>11.89518</v>
      </c>
      <c r="D301" s="526" t="s">
        <v>3192</v>
      </c>
      <c r="E301" s="526" t="s">
        <v>4246</v>
      </c>
      <c r="F301" s="526" t="s">
        <v>4247</v>
      </c>
      <c r="G301" s="526" t="s">
        <v>4248</v>
      </c>
      <c r="H301" s="412">
        <v>329.36606</v>
      </c>
      <c r="I301" s="411">
        <v>11.89518</v>
      </c>
      <c r="J301" s="411">
        <v>48.042000000000002</v>
      </c>
      <c r="K301" s="411">
        <v>4528.1910099999996</v>
      </c>
      <c r="L301" s="526" t="s">
        <v>554</v>
      </c>
      <c r="M301" s="409" t="s">
        <v>586</v>
      </c>
      <c r="N301" s="195">
        <v>267.19970000000001</v>
      </c>
    </row>
    <row r="302" spans="1:14" ht="15" x14ac:dyDescent="0.25">
      <c r="A302" s="410">
        <v>341559</v>
      </c>
      <c r="B302" t="str">
        <f t="shared" si="11"/>
        <v>SEVROLL 04748 Rekord úchytová lišta 18mm 2,70m strieborná</v>
      </c>
      <c r="C302" s="198">
        <f t="shared" si="10"/>
        <v>12.359640000000001</v>
      </c>
      <c r="D302" s="526" t="s">
        <v>3370</v>
      </c>
      <c r="E302" s="526" t="s">
        <v>4249</v>
      </c>
      <c r="F302" s="526" t="s">
        <v>4250</v>
      </c>
      <c r="G302" s="526" t="s">
        <v>4251</v>
      </c>
      <c r="H302" s="412">
        <v>338.53325000000001</v>
      </c>
      <c r="I302" s="411">
        <v>12.359640000000001</v>
      </c>
      <c r="J302" s="411">
        <v>51.239409999999999</v>
      </c>
      <c r="K302" s="411">
        <v>4801.0169299999998</v>
      </c>
      <c r="L302" s="526" t="s">
        <v>710</v>
      </c>
      <c r="M302" s="409" t="s">
        <v>586</v>
      </c>
      <c r="N302" s="195">
        <v>267.21359999999999</v>
      </c>
    </row>
    <row r="303" spans="1:14" ht="15" x14ac:dyDescent="0.25">
      <c r="A303" s="410">
        <v>163133</v>
      </c>
      <c r="B303" t="str">
        <f t="shared" si="11"/>
        <v>SEVROLL 02862 Doubler II maska 4,05m oliva</v>
      </c>
      <c r="C303" s="198">
        <f t="shared" si="10"/>
        <v>13.49497</v>
      </c>
      <c r="D303" s="526" t="s">
        <v>2925</v>
      </c>
      <c r="E303" s="526" t="s">
        <v>4252</v>
      </c>
      <c r="F303" s="526" t="s">
        <v>2925</v>
      </c>
      <c r="G303" s="526" t="s">
        <v>4253</v>
      </c>
      <c r="H303" s="412">
        <v>373.66257999999999</v>
      </c>
      <c r="I303" s="411">
        <v>13.49497</v>
      </c>
      <c r="J303" s="411">
        <v>45.769100000000002</v>
      </c>
      <c r="K303" s="411">
        <v>5137.1882699999996</v>
      </c>
      <c r="L303" s="526" t="s">
        <v>554</v>
      </c>
      <c r="M303" s="409" t="s">
        <v>586</v>
      </c>
      <c r="N303" s="195">
        <v>268.50630000000001</v>
      </c>
    </row>
    <row r="304" spans="1:14" ht="15" x14ac:dyDescent="0.25">
      <c r="A304" s="410">
        <v>349867</v>
      </c>
      <c r="B304" t="str">
        <f t="shared" si="11"/>
        <v>SEVROLL 04481 Blue-C spodné vedenie 4m oliva</v>
      </c>
      <c r="C304" s="198">
        <f t="shared" si="10"/>
        <v>15.76563</v>
      </c>
      <c r="D304" s="526" t="s">
        <v>3446</v>
      </c>
      <c r="E304" s="526" t="s">
        <v>4254</v>
      </c>
      <c r="F304" s="526" t="s">
        <v>4255</v>
      </c>
      <c r="G304" s="526" t="s">
        <v>4256</v>
      </c>
      <c r="H304" s="412">
        <v>431.82425000000001</v>
      </c>
      <c r="I304" s="411">
        <v>15.76563</v>
      </c>
      <c r="J304" s="411">
        <v>60.97757</v>
      </c>
      <c r="K304" s="411">
        <v>6124.0530799999997</v>
      </c>
      <c r="L304" s="526" t="s">
        <v>554</v>
      </c>
      <c r="M304" s="409" t="s">
        <v>586</v>
      </c>
      <c r="N304" s="195">
        <v>271.71719999999999</v>
      </c>
    </row>
    <row r="305" spans="1:14" ht="15" x14ac:dyDescent="0.25">
      <c r="A305" s="410">
        <v>349815</v>
      </c>
      <c r="B305" t="str">
        <f t="shared" si="11"/>
        <v>SEVROLL 04492 Blue-V spodné vedenie  3m oliva</v>
      </c>
      <c r="C305" s="198">
        <f t="shared" si="10"/>
        <v>14.998010000000001</v>
      </c>
      <c r="D305" s="526" t="s">
        <v>3432</v>
      </c>
      <c r="E305" s="526" t="s">
        <v>4257</v>
      </c>
      <c r="F305" s="526" t="s">
        <v>4258</v>
      </c>
      <c r="G305" s="526" t="s">
        <v>4259</v>
      </c>
      <c r="H305" s="412">
        <v>410.62175000000002</v>
      </c>
      <c r="I305" s="411">
        <v>14.998010000000001</v>
      </c>
      <c r="J305" s="411">
        <v>55.219630000000002</v>
      </c>
      <c r="K305" s="411">
        <v>5825.8688499999998</v>
      </c>
      <c r="L305" s="526" t="s">
        <v>553</v>
      </c>
      <c r="M305" s="409" t="s">
        <v>586</v>
      </c>
      <c r="N305" s="195">
        <v>271.71719999999999</v>
      </c>
    </row>
    <row r="306" spans="1:14" ht="15" x14ac:dyDescent="0.25">
      <c r="A306" s="410">
        <v>223549</v>
      </c>
      <c r="B306" t="str">
        <f t="shared" si="11"/>
        <v>SEVROLL Libra úchytová lišta 18mm 2,7m oliva</v>
      </c>
      <c r="C306" s="198">
        <f t="shared" si="10"/>
        <v>16.230090000000001</v>
      </c>
      <c r="D306" s="526" t="s">
        <v>3094</v>
      </c>
      <c r="E306" s="526" t="s">
        <v>4260</v>
      </c>
      <c r="F306" s="526" t="s">
        <v>4261</v>
      </c>
      <c r="G306" s="526" t="s">
        <v>4262</v>
      </c>
      <c r="H306" s="412">
        <v>444.54575</v>
      </c>
      <c r="I306" s="411">
        <v>16.230090000000001</v>
      </c>
      <c r="J306" s="411">
        <v>54.908920000000002</v>
      </c>
      <c r="K306" s="411">
        <v>6304.4669299999996</v>
      </c>
      <c r="L306" s="526" t="s">
        <v>554</v>
      </c>
      <c r="M306" s="409" t="s">
        <v>586</v>
      </c>
      <c r="N306" s="195">
        <v>271.71719999999999</v>
      </c>
    </row>
    <row r="307" spans="1:14" ht="15" x14ac:dyDescent="0.25">
      <c r="A307" s="410">
        <v>89106</v>
      </c>
      <c r="B307" t="str">
        <f t="shared" si="11"/>
        <v>SEVROLL 01023 Gemini horné vedenie 1,7m strieborná</v>
      </c>
      <c r="C307" s="198">
        <f t="shared" si="10"/>
        <v>14.03683</v>
      </c>
      <c r="D307" s="526" t="s">
        <v>2656</v>
      </c>
      <c r="E307" s="526" t="s">
        <v>4263</v>
      </c>
      <c r="F307" s="526" t="s">
        <v>4264</v>
      </c>
      <c r="G307" s="526" t="s">
        <v>2656</v>
      </c>
      <c r="H307" s="412">
        <v>388.66624000000002</v>
      </c>
      <c r="I307" s="411">
        <v>14.03683</v>
      </c>
      <c r="J307" s="411">
        <v>52.183329999999998</v>
      </c>
      <c r="K307" s="411">
        <v>5343.4616900000001</v>
      </c>
      <c r="L307" s="526" t="s">
        <v>553</v>
      </c>
      <c r="M307" s="409" t="s">
        <v>586</v>
      </c>
      <c r="N307" s="195">
        <v>273.07940000000002</v>
      </c>
    </row>
    <row r="308" spans="1:14" ht="15" x14ac:dyDescent="0.25">
      <c r="A308" s="410">
        <v>224156</v>
      </c>
      <c r="B308" t="str">
        <f t="shared" si="11"/>
        <v>SEVROLL 03752 spodná krycia lišta Simple/Blue 2m (pre lamino 10mm) oliva</v>
      </c>
      <c r="C308" s="198" t="e">
        <f t="shared" si="10"/>
        <v>#N/A</v>
      </c>
      <c r="D308" s="526" t="s">
        <v>3147</v>
      </c>
      <c r="E308" s="526" t="s">
        <v>4265</v>
      </c>
      <c r="F308" s="526" t="s">
        <v>4266</v>
      </c>
      <c r="G308" s="526" t="s">
        <v>4267</v>
      </c>
      <c r="H308" s="412" t="e">
        <v>#N/A</v>
      </c>
      <c r="I308" s="411" t="e">
        <v>#N/A</v>
      </c>
      <c r="J308" s="411" t="e">
        <v>#N/A</v>
      </c>
      <c r="K308" s="411" t="e">
        <v>#N/A</v>
      </c>
      <c r="L308" s="526" t="e">
        <v>#N/A</v>
      </c>
      <c r="M308" s="409" t="s">
        <v>586</v>
      </c>
      <c r="N308" s="195">
        <v>273.21839999999997</v>
      </c>
    </row>
    <row r="309" spans="1:14" ht="15" x14ac:dyDescent="0.25">
      <c r="A309" s="410">
        <v>84386</v>
      </c>
      <c r="B309" t="str">
        <f t="shared" si="11"/>
        <v>SEVROLL Elegant II spodné vedenie 2,35m zlatá</v>
      </c>
      <c r="C309" s="198">
        <f t="shared" si="10"/>
        <v>14.24972</v>
      </c>
      <c r="D309" s="526" t="s">
        <v>2764</v>
      </c>
      <c r="E309" s="526" t="s">
        <v>4268</v>
      </c>
      <c r="F309" s="526" t="s">
        <v>4269</v>
      </c>
      <c r="G309" s="526" t="s">
        <v>4270</v>
      </c>
      <c r="H309" s="412">
        <v>388.57118000000003</v>
      </c>
      <c r="I309" s="411">
        <v>14.24972</v>
      </c>
      <c r="J309" s="411">
        <v>53.968200000000003</v>
      </c>
      <c r="K309" s="411">
        <v>5424.4978899999996</v>
      </c>
      <c r="L309" s="526" t="s">
        <v>554</v>
      </c>
      <c r="M309" s="409" t="s">
        <v>586</v>
      </c>
      <c r="N309" s="195">
        <v>275.03930000000003</v>
      </c>
    </row>
    <row r="310" spans="1:14" ht="15" x14ac:dyDescent="0.25">
      <c r="A310" s="410">
        <v>163151</v>
      </c>
      <c r="B310" t="str">
        <f t="shared" si="11"/>
        <v>SEVROLL 02803 Maxim II maska 4,3m strieborná</v>
      </c>
      <c r="C310" s="198">
        <f t="shared" si="10"/>
        <v>12.273440000000001</v>
      </c>
      <c r="D310" s="526" t="s">
        <v>2927</v>
      </c>
      <c r="E310" s="526" t="s">
        <v>4271</v>
      </c>
      <c r="F310" s="526" t="s">
        <v>4272</v>
      </c>
      <c r="G310" s="526" t="s">
        <v>4273</v>
      </c>
      <c r="H310" s="412">
        <v>324.37049000000002</v>
      </c>
      <c r="I310" s="411">
        <v>12.273440000000001</v>
      </c>
      <c r="J310" s="411">
        <v>42.466900000000003</v>
      </c>
      <c r="K310" s="411">
        <v>4720.5554000000002</v>
      </c>
      <c r="L310" s="526" t="s">
        <v>555</v>
      </c>
      <c r="M310" s="409" t="s">
        <v>586</v>
      </c>
      <c r="N310" s="195">
        <v>276.34589999999997</v>
      </c>
    </row>
    <row r="311" spans="1:14" ht="15" x14ac:dyDescent="0.25">
      <c r="A311" s="410">
        <v>308628</v>
      </c>
      <c r="B311" t="str">
        <f t="shared" si="11"/>
        <v>SEVROLL 02456 uholník 18x36mm 3m oliva</v>
      </c>
      <c r="C311" s="198">
        <f t="shared" si="10"/>
        <v>13.32081</v>
      </c>
      <c r="D311" s="526" t="s">
        <v>3323</v>
      </c>
      <c r="E311" s="526" t="s">
        <v>4274</v>
      </c>
      <c r="F311" s="526" t="s">
        <v>4275</v>
      </c>
      <c r="G311" s="526" t="s">
        <v>4276</v>
      </c>
      <c r="H311" s="412">
        <v>368.66136</v>
      </c>
      <c r="I311" s="411">
        <v>13.32081</v>
      </c>
      <c r="J311" s="411">
        <v>46.032600000000002</v>
      </c>
      <c r="K311" s="411">
        <v>5070.8863700000002</v>
      </c>
      <c r="L311" s="526" t="s">
        <v>554</v>
      </c>
      <c r="M311" s="409" t="s">
        <v>586</v>
      </c>
      <c r="N311" s="195">
        <v>277.65249999999997</v>
      </c>
    </row>
    <row r="312" spans="1:14" ht="15" x14ac:dyDescent="0.25">
      <c r="A312" s="415">
        <v>197755</v>
      </c>
      <c r="B312" t="str">
        <f t="shared" si="11"/>
        <v>SEVROLL 02578 Hide N spodné vedenie 3m oliva</v>
      </c>
      <c r="C312" s="198">
        <f t="shared" si="10"/>
        <v>14.785119999999999</v>
      </c>
      <c r="D312" s="526" t="s">
        <v>2977</v>
      </c>
      <c r="E312" s="526" t="s">
        <v>4277</v>
      </c>
      <c r="F312" s="526" t="s">
        <v>4278</v>
      </c>
      <c r="G312" s="526" t="s">
        <v>4279</v>
      </c>
      <c r="H312" s="412">
        <v>390.24164999999999</v>
      </c>
      <c r="I312" s="411">
        <v>14.785119999999999</v>
      </c>
      <c r="J312" s="411">
        <v>50.871980000000001</v>
      </c>
      <c r="K312" s="411">
        <v>5444.6019299999998</v>
      </c>
      <c r="L312" s="526" t="s">
        <v>554</v>
      </c>
      <c r="M312" s="416" t="s">
        <v>586</v>
      </c>
      <c r="N312" s="195">
        <v>279.55957999999998</v>
      </c>
    </row>
    <row r="313" spans="1:14" ht="15" x14ac:dyDescent="0.25">
      <c r="A313" s="410">
        <v>84387</v>
      </c>
      <c r="B313" t="str">
        <f t="shared" si="11"/>
        <v>SEVROLL 04274 Elegant II spodné vedenie  2,35m oliva</v>
      </c>
      <c r="C313" s="198">
        <f t="shared" si="10"/>
        <v>14.24972</v>
      </c>
      <c r="D313" s="526" t="s">
        <v>2765</v>
      </c>
      <c r="E313" s="526" t="s">
        <v>4280</v>
      </c>
      <c r="F313" s="526" t="s">
        <v>4281</v>
      </c>
      <c r="G313" s="526" t="s">
        <v>4282</v>
      </c>
      <c r="H313" s="412">
        <v>388.57118000000003</v>
      </c>
      <c r="I313" s="411">
        <v>14.24972</v>
      </c>
      <c r="J313" s="411">
        <v>53.968200000000003</v>
      </c>
      <c r="K313" s="411">
        <v>5424.4978899999996</v>
      </c>
      <c r="L313" s="526" t="s">
        <v>553</v>
      </c>
      <c r="M313" s="409" t="s">
        <v>586</v>
      </c>
      <c r="N313" s="195">
        <v>280.26569999999998</v>
      </c>
    </row>
    <row r="314" spans="1:14" ht="15" x14ac:dyDescent="0.25">
      <c r="A314" s="410">
        <v>349794</v>
      </c>
      <c r="B314" t="str">
        <f t="shared" si="11"/>
        <v>SEVROLL 04511 Era úchytová lišta 18mm 2,70m oliva</v>
      </c>
      <c r="C314" s="198">
        <f t="shared" si="10"/>
        <v>14.836729999999999</v>
      </c>
      <c r="D314" s="526" t="s">
        <v>3414</v>
      </c>
      <c r="E314" s="526" t="s">
        <v>4283</v>
      </c>
      <c r="F314" s="526" t="s">
        <v>3414</v>
      </c>
      <c r="G314" s="526" t="s">
        <v>4284</v>
      </c>
      <c r="H314" s="412">
        <v>406.38125000000002</v>
      </c>
      <c r="I314" s="411">
        <v>14.836729999999999</v>
      </c>
      <c r="J314" s="411">
        <v>50.194949999999999</v>
      </c>
      <c r="K314" s="411">
        <v>5763.2250000000004</v>
      </c>
      <c r="L314" s="526" t="s">
        <v>553</v>
      </c>
      <c r="M314" s="409" t="s">
        <v>586</v>
      </c>
      <c r="N314" s="195">
        <v>282.22559999999999</v>
      </c>
    </row>
    <row r="315" spans="1:14" ht="15" x14ac:dyDescent="0.25">
      <c r="A315" s="410">
        <v>197743</v>
      </c>
      <c r="B315" t="str">
        <f t="shared" si="11"/>
        <v>SEVROLL 03176 Optima 16 úchytová lišta 2,4m strieborná</v>
      </c>
      <c r="C315" s="198" t="e">
        <f t="shared" si="10"/>
        <v>#N/A</v>
      </c>
      <c r="D315" s="526" t="s">
        <v>4285</v>
      </c>
      <c r="E315" s="526" t="s">
        <v>4286</v>
      </c>
      <c r="F315" s="526" t="s">
        <v>4287</v>
      </c>
      <c r="G315" s="526" t="s">
        <v>4288</v>
      </c>
      <c r="H315" s="412" t="e">
        <v>#N/A</v>
      </c>
      <c r="I315" s="411" t="e">
        <v>#N/A</v>
      </c>
      <c r="J315" s="411" t="e">
        <v>#N/A</v>
      </c>
      <c r="K315" s="411" t="e">
        <v>#N/A</v>
      </c>
      <c r="L315" s="526" t="e">
        <v>#N/A</v>
      </c>
      <c r="M315" s="409" t="s">
        <v>586</v>
      </c>
      <c r="N315" s="195">
        <v>282.22559999999999</v>
      </c>
    </row>
    <row r="316" spans="1:14" ht="15" x14ac:dyDescent="0.25">
      <c r="A316" s="410">
        <v>197744</v>
      </c>
      <c r="B316" t="str">
        <f t="shared" si="11"/>
        <v>SEVROLL 03146 Optima 18 úchytová lišta 2,4m strieborná</v>
      </c>
      <c r="C316" s="198">
        <f t="shared" si="10"/>
        <v>13.49497</v>
      </c>
      <c r="D316" s="526" t="s">
        <v>2970</v>
      </c>
      <c r="E316" s="526" t="s">
        <v>4289</v>
      </c>
      <c r="F316" s="526" t="s">
        <v>4290</v>
      </c>
      <c r="G316" s="526" t="s">
        <v>4291</v>
      </c>
      <c r="H316" s="412">
        <v>373.66257999999999</v>
      </c>
      <c r="I316" s="411">
        <v>13.49497</v>
      </c>
      <c r="J316" s="411">
        <v>45.474499999999999</v>
      </c>
      <c r="K316" s="411">
        <v>5137.1882699999996</v>
      </c>
      <c r="L316" s="526" t="s">
        <v>554</v>
      </c>
      <c r="M316" s="409" t="s">
        <v>586</v>
      </c>
      <c r="N316" s="195">
        <v>282.22559999999999</v>
      </c>
    </row>
    <row r="317" spans="1:14" ht="15" x14ac:dyDescent="0.25">
      <c r="A317" s="410">
        <v>227067</v>
      </c>
      <c r="B317" t="str">
        <f t="shared" si="11"/>
        <v>SEVROLL 20138-SV tĺmič dorazu Sevromatic 10/18mm 14-25kg ľavý</v>
      </c>
      <c r="C317" s="198">
        <f t="shared" si="10"/>
        <v>12.74668</v>
      </c>
      <c r="D317" s="526" t="s">
        <v>3159</v>
      </c>
      <c r="E317" s="526" t="s">
        <v>4292</v>
      </c>
      <c r="F317" s="526" t="s">
        <v>4293</v>
      </c>
      <c r="G317" s="526" t="s">
        <v>4294</v>
      </c>
      <c r="H317" s="412">
        <v>374.52609999999999</v>
      </c>
      <c r="I317" s="411">
        <v>12.74668</v>
      </c>
      <c r="J317" s="411">
        <v>44.777999999999999</v>
      </c>
      <c r="K317" s="411">
        <v>4951.36193</v>
      </c>
      <c r="L317" s="526" t="s">
        <v>710</v>
      </c>
      <c r="M317" s="409" t="s">
        <v>586</v>
      </c>
      <c r="N317" s="195">
        <v>282.87889999999999</v>
      </c>
    </row>
    <row r="318" spans="1:14" ht="15" x14ac:dyDescent="0.25">
      <c r="A318" s="410">
        <v>227068</v>
      </c>
      <c r="B318" t="str">
        <f t="shared" si="11"/>
        <v>SEVROLL 20137-SV tĺmič dorazu Sevromatic 10/18mm 14-25kg pravý</v>
      </c>
      <c r="C318" s="198">
        <f t="shared" si="10"/>
        <v>12.74668</v>
      </c>
      <c r="D318" s="526" t="s">
        <v>3160</v>
      </c>
      <c r="E318" s="526" t="s">
        <v>4295</v>
      </c>
      <c r="F318" s="526" t="s">
        <v>4296</v>
      </c>
      <c r="G318" s="526" t="s">
        <v>4297</v>
      </c>
      <c r="H318" s="412">
        <v>374.52609999999999</v>
      </c>
      <c r="I318" s="411">
        <v>12.74668</v>
      </c>
      <c r="J318" s="411">
        <v>44.777999999999999</v>
      </c>
      <c r="K318" s="411">
        <v>4951.36193</v>
      </c>
      <c r="L318" s="526" t="s">
        <v>710</v>
      </c>
      <c r="M318" s="409" t="s">
        <v>586</v>
      </c>
      <c r="N318" s="195">
        <v>282.87889999999999</v>
      </c>
    </row>
    <row r="319" spans="1:14" ht="15" x14ac:dyDescent="0.25">
      <c r="A319" s="410">
        <v>227069</v>
      </c>
      <c r="B319" t="str">
        <f t="shared" si="11"/>
        <v>SEVROLL 20196-SV tlmič dorazu Sevromatic 10/18mm 25-50kg ľavý</v>
      </c>
      <c r="C319" s="198">
        <f t="shared" si="10"/>
        <v>12.74668</v>
      </c>
      <c r="D319" s="526" t="s">
        <v>3161</v>
      </c>
      <c r="E319" s="526" t="s">
        <v>4298</v>
      </c>
      <c r="F319" s="526" t="s">
        <v>4299</v>
      </c>
      <c r="G319" s="526" t="s">
        <v>4300</v>
      </c>
      <c r="H319" s="412">
        <v>374.52609999999999</v>
      </c>
      <c r="I319" s="411">
        <v>12.74668</v>
      </c>
      <c r="J319" s="411">
        <v>44.777999999999999</v>
      </c>
      <c r="K319" s="411">
        <v>4951.36193</v>
      </c>
      <c r="L319" s="526" t="s">
        <v>710</v>
      </c>
      <c r="M319" s="409" t="s">
        <v>586</v>
      </c>
      <c r="N319" s="195">
        <v>282.87889999999999</v>
      </c>
    </row>
    <row r="320" spans="1:14" ht="15" x14ac:dyDescent="0.25">
      <c r="A320" s="410">
        <v>227070</v>
      </c>
      <c r="B320" t="str">
        <f t="shared" si="11"/>
        <v>SEVROLL 20197-SV tlmič dorazu Sevromatic 10/18mm 25-50kg pravý</v>
      </c>
      <c r="C320" s="198">
        <f t="shared" si="10"/>
        <v>12.74668</v>
      </c>
      <c r="D320" s="526" t="s">
        <v>3162</v>
      </c>
      <c r="E320" s="526" t="s">
        <v>4301</v>
      </c>
      <c r="F320" s="526" t="s">
        <v>4302</v>
      </c>
      <c r="G320" s="526" t="s">
        <v>4303</v>
      </c>
      <c r="H320" s="412">
        <v>374.52609999999999</v>
      </c>
      <c r="I320" s="411">
        <v>12.74668</v>
      </c>
      <c r="J320" s="411">
        <v>44.777999999999999</v>
      </c>
      <c r="K320" s="411">
        <v>4951.36193</v>
      </c>
      <c r="L320" s="526" t="s">
        <v>553</v>
      </c>
      <c r="M320" s="409" t="s">
        <v>586</v>
      </c>
      <c r="N320" s="195">
        <v>282.87889999999999</v>
      </c>
    </row>
    <row r="321" spans="1:14" ht="15" x14ac:dyDescent="0.25">
      <c r="A321" s="410">
        <v>224011</v>
      </c>
      <c r="B321" t="str">
        <f t="shared" si="11"/>
        <v>SEVROLL Simple horné vedenie 2m strieborná</v>
      </c>
      <c r="C321" s="198">
        <f t="shared" si="10"/>
        <v>14.191649999999999</v>
      </c>
      <c r="D321" s="526" t="s">
        <v>3108</v>
      </c>
      <c r="E321" s="526" t="s">
        <v>4304</v>
      </c>
      <c r="F321" s="526" t="s">
        <v>1075</v>
      </c>
      <c r="G321" s="526" t="s">
        <v>4305</v>
      </c>
      <c r="H321" s="412">
        <v>388.71249999999998</v>
      </c>
      <c r="I321" s="411">
        <v>14.191649999999999</v>
      </c>
      <c r="J321" s="411">
        <v>52.592370000000003</v>
      </c>
      <c r="K321" s="411">
        <v>5512.65</v>
      </c>
      <c r="L321" s="526" t="s">
        <v>554</v>
      </c>
      <c r="M321" s="409" t="s">
        <v>586</v>
      </c>
      <c r="N321" s="195">
        <v>282.97620000000001</v>
      </c>
    </row>
    <row r="322" spans="1:14" ht="15" x14ac:dyDescent="0.25">
      <c r="A322" s="415">
        <v>211069</v>
      </c>
      <c r="B322" t="str">
        <f t="shared" si="11"/>
        <v>SEVROLL Exclusive horné vedenie 1,2m oliva</v>
      </c>
      <c r="C322" s="198">
        <f t="shared" si="10"/>
        <v>15.662419999999999</v>
      </c>
      <c r="D322" s="526" t="s">
        <v>3010</v>
      </c>
      <c r="E322" s="526" t="s">
        <v>4306</v>
      </c>
      <c r="F322" s="526" t="s">
        <v>1200</v>
      </c>
      <c r="G322" s="526" t="s">
        <v>4307</v>
      </c>
      <c r="H322" s="412">
        <v>413.39735000000002</v>
      </c>
      <c r="I322" s="411">
        <v>15.662419999999999</v>
      </c>
      <c r="J322" s="411">
        <v>53.890560000000001</v>
      </c>
      <c r="K322" s="411">
        <v>5767.6673000000001</v>
      </c>
      <c r="L322" s="526" t="s">
        <v>554</v>
      </c>
      <c r="M322" s="416" t="s">
        <v>586</v>
      </c>
      <c r="N322" s="195">
        <v>287.13229999999999</v>
      </c>
    </row>
    <row r="323" spans="1:14" ht="15" x14ac:dyDescent="0.25">
      <c r="A323" s="415">
        <v>358314</v>
      </c>
      <c r="B323" t="e">
        <f t="shared" si="11"/>
        <v>#N/A</v>
      </c>
      <c r="C323" s="198" t="e">
        <f t="shared" ref="C323:C386" si="12">IF($A$2=1,H323,IF($A$2=2,I323,IF($A$2=3,J323,IF($A$2=4,K323,"zadat jazyk"))))</f>
        <v>#N/A</v>
      </c>
      <c r="D323" s="526" t="e">
        <v>#N/A</v>
      </c>
      <c r="E323" s="526" t="e">
        <v>#N/A</v>
      </c>
      <c r="F323" s="526" t="e">
        <v>#N/A</v>
      </c>
      <c r="G323" s="526" t="e">
        <v>#N/A</v>
      </c>
      <c r="H323" s="412" t="e">
        <v>#N/A</v>
      </c>
      <c r="I323" s="411" t="e">
        <v>#N/A</v>
      </c>
      <c r="J323" s="411" t="e">
        <v>#N/A</v>
      </c>
      <c r="K323" s="411" t="e">
        <v>#N/A</v>
      </c>
      <c r="L323" s="526" t="e">
        <v>#N/A</v>
      </c>
      <c r="M323" s="416" t="s">
        <v>586</v>
      </c>
      <c r="N323" s="195">
        <v>289.02548000000002</v>
      </c>
    </row>
    <row r="324" spans="1:14" ht="15" x14ac:dyDescent="0.25">
      <c r="A324" s="410">
        <v>216744</v>
      </c>
      <c r="B324" t="str">
        <f t="shared" si="11"/>
        <v>SEVROLL Comfort spodné vedenie 1,7m oliva</v>
      </c>
      <c r="C324" s="198">
        <f t="shared" si="12"/>
        <v>16.797750000000001</v>
      </c>
      <c r="D324" s="526" t="s">
        <v>3046</v>
      </c>
      <c r="E324" s="526" t="s">
        <v>4308</v>
      </c>
      <c r="F324" s="526" t="s">
        <v>1208</v>
      </c>
      <c r="G324" s="526" t="s">
        <v>4309</v>
      </c>
      <c r="H324" s="412">
        <v>465.11345999999998</v>
      </c>
      <c r="I324" s="411">
        <v>16.797750000000001</v>
      </c>
      <c r="J324" s="411">
        <v>62.933999999999997</v>
      </c>
      <c r="K324" s="411">
        <v>6394.47361</v>
      </c>
      <c r="L324" s="526" t="s">
        <v>554</v>
      </c>
      <c r="M324" s="409" t="s">
        <v>586</v>
      </c>
      <c r="N324" s="195">
        <v>289.4119</v>
      </c>
    </row>
    <row r="325" spans="1:14" ht="15" x14ac:dyDescent="0.25">
      <c r="A325" s="410">
        <v>131030</v>
      </c>
      <c r="B325" t="str">
        <f t="shared" si="11"/>
        <v>SEVROLL 00883 Comfort spodné vedenie 1,7m strieborná</v>
      </c>
      <c r="C325" s="198">
        <f t="shared" si="12"/>
        <v>15.14636</v>
      </c>
      <c r="D325" s="526" t="s">
        <v>2861</v>
      </c>
      <c r="E325" s="526" t="s">
        <v>4310</v>
      </c>
      <c r="F325" s="526" t="s">
        <v>4311</v>
      </c>
      <c r="G325" s="526" t="s">
        <v>4312</v>
      </c>
      <c r="H325" s="412">
        <v>419.38801999999998</v>
      </c>
      <c r="I325" s="411">
        <v>15.14636</v>
      </c>
      <c r="J325" s="411">
        <v>57.191400000000002</v>
      </c>
      <c r="K325" s="411">
        <v>5765.8311299999996</v>
      </c>
      <c r="L325" s="526" t="s">
        <v>554</v>
      </c>
      <c r="M325" s="409" t="s">
        <v>586</v>
      </c>
      <c r="N325" s="195">
        <v>289.4119</v>
      </c>
    </row>
    <row r="326" spans="1:14" ht="15" x14ac:dyDescent="0.25">
      <c r="A326" s="410">
        <v>222789</v>
      </c>
      <c r="B326" t="str">
        <f t="shared" si="11"/>
        <v>SEVROLL 04529 Alfa II úchytová lišta 18mm 2,70m oliva</v>
      </c>
      <c r="C326" s="198">
        <f t="shared" si="12"/>
        <v>15.79144</v>
      </c>
      <c r="D326" s="526" t="s">
        <v>3060</v>
      </c>
      <c r="E326" s="526" t="s">
        <v>4313</v>
      </c>
      <c r="F326" s="526" t="s">
        <v>3060</v>
      </c>
      <c r="G326" s="526" t="s">
        <v>4314</v>
      </c>
      <c r="H326" s="412">
        <v>437.24952000000002</v>
      </c>
      <c r="I326" s="411">
        <v>15.79144</v>
      </c>
      <c r="J326" s="411">
        <v>53.424889999999998</v>
      </c>
      <c r="K326" s="411">
        <v>6011.3946299999998</v>
      </c>
      <c r="L326" s="526" t="s">
        <v>553</v>
      </c>
      <c r="M326" s="409" t="s">
        <v>586</v>
      </c>
      <c r="N326" s="195">
        <v>290.71850000000001</v>
      </c>
    </row>
    <row r="327" spans="1:14" ht="15" x14ac:dyDescent="0.25">
      <c r="A327" s="410">
        <v>98055</v>
      </c>
      <c r="B327" t="str">
        <f t="shared" si="11"/>
        <v>SEVROLL Maxim spojovacia lišta H25 1,8m strieborná</v>
      </c>
      <c r="C327" s="198" t="e">
        <f t="shared" si="12"/>
        <v>#N/A</v>
      </c>
      <c r="D327" s="526" t="s">
        <v>2790</v>
      </c>
      <c r="E327" s="526" t="s">
        <v>4315</v>
      </c>
      <c r="F327" s="526" t="s">
        <v>4316</v>
      </c>
      <c r="G327" s="526" t="s">
        <v>4317</v>
      </c>
      <c r="H327" s="412" t="e">
        <v>#N/A</v>
      </c>
      <c r="I327" s="411" t="e">
        <v>#N/A</v>
      </c>
      <c r="J327" s="411" t="e">
        <v>#N/A</v>
      </c>
      <c r="K327" s="411" t="e">
        <v>#N/A</v>
      </c>
      <c r="L327" s="526" t="e">
        <v>#N/A</v>
      </c>
      <c r="M327" s="409" t="s">
        <v>586</v>
      </c>
      <c r="N327" s="195">
        <v>290.71850000000001</v>
      </c>
    </row>
    <row r="328" spans="1:14" ht="15" x14ac:dyDescent="0.25">
      <c r="A328" s="410">
        <v>234760</v>
      </c>
      <c r="B328" t="str">
        <f t="shared" si="11"/>
        <v>SEVROLL spojovacia lišta H16 3m oliva</v>
      </c>
      <c r="C328" s="198">
        <f t="shared" si="12"/>
        <v>14.86899</v>
      </c>
      <c r="D328" s="526" t="s">
        <v>3193</v>
      </c>
      <c r="E328" s="526" t="s">
        <v>4318</v>
      </c>
      <c r="F328" s="526" t="s">
        <v>4319</v>
      </c>
      <c r="G328" s="526" t="s">
        <v>4320</v>
      </c>
      <c r="H328" s="412">
        <v>412.24342000000001</v>
      </c>
      <c r="I328" s="411">
        <v>14.86899</v>
      </c>
      <c r="J328" s="411">
        <v>52.856400000000001</v>
      </c>
      <c r="K328" s="411">
        <v>5660.2387699999999</v>
      </c>
      <c r="L328" s="526" t="s">
        <v>554</v>
      </c>
      <c r="M328" s="409" t="s">
        <v>586</v>
      </c>
      <c r="N328" s="195">
        <v>291.37180000000001</v>
      </c>
    </row>
    <row r="329" spans="1:14" ht="15" x14ac:dyDescent="0.25">
      <c r="A329" s="444">
        <v>89257</v>
      </c>
      <c r="B329" t="str">
        <f t="shared" si="11"/>
        <v>SEVROLL spojovacia lišta H10 3m zlatá</v>
      </c>
      <c r="C329" s="198">
        <f t="shared" si="12"/>
        <v>15.094760000000001</v>
      </c>
      <c r="D329" s="526" t="s">
        <v>2708</v>
      </c>
      <c r="E329" s="526" t="s">
        <v>4321</v>
      </c>
      <c r="F329" s="526" t="s">
        <v>4322</v>
      </c>
      <c r="G329" s="526" t="s">
        <v>4323</v>
      </c>
      <c r="H329" s="412">
        <v>417.95909999999998</v>
      </c>
      <c r="I329" s="411">
        <v>15.094760000000001</v>
      </c>
      <c r="J329" s="411">
        <v>56.915999999999997</v>
      </c>
      <c r="K329" s="411">
        <v>5746.1859000000004</v>
      </c>
      <c r="L329" s="526" t="s">
        <v>554</v>
      </c>
      <c r="M329" s="445" t="s">
        <v>586</v>
      </c>
      <c r="N329" s="195">
        <v>291.37180000000001</v>
      </c>
    </row>
    <row r="330" spans="1:14" ht="15" x14ac:dyDescent="0.25">
      <c r="A330" s="410">
        <v>130609</v>
      </c>
      <c r="B330" t="str">
        <f t="shared" si="11"/>
        <v>SEVROLL 01863 Prince 02 úchytová lišta 2,7m strieborná</v>
      </c>
      <c r="C330" s="198">
        <f t="shared" si="12"/>
        <v>16.02366</v>
      </c>
      <c r="D330" s="526" t="s">
        <v>2859</v>
      </c>
      <c r="E330" s="526" t="s">
        <v>4324</v>
      </c>
      <c r="F330" s="526" t="s">
        <v>4325</v>
      </c>
      <c r="G330" s="526" t="s">
        <v>4326</v>
      </c>
      <c r="H330" s="412">
        <v>443.67966000000001</v>
      </c>
      <c r="I330" s="411">
        <v>16.02366</v>
      </c>
      <c r="J330" s="411">
        <v>54.412799999999997</v>
      </c>
      <c r="K330" s="411">
        <v>6099.7974100000001</v>
      </c>
      <c r="L330" s="526" t="s">
        <v>554</v>
      </c>
      <c r="M330" s="409" t="s">
        <v>586</v>
      </c>
      <c r="N330" s="195">
        <v>296.59820000000002</v>
      </c>
    </row>
    <row r="331" spans="1:14" ht="15" x14ac:dyDescent="0.25">
      <c r="A331" s="410">
        <v>308653</v>
      </c>
      <c r="B331" t="str">
        <f t="shared" si="11"/>
        <v>SEVROLL 04587 Gemini II spodné vedenie  2,35m oliva</v>
      </c>
      <c r="C331" s="198">
        <f t="shared" si="12"/>
        <v>14.67418</v>
      </c>
      <c r="D331" s="526" t="s">
        <v>3333</v>
      </c>
      <c r="E331" s="526" t="s">
        <v>4327</v>
      </c>
      <c r="F331" s="526" t="s">
        <v>4328</v>
      </c>
      <c r="G331" s="526" t="s">
        <v>4329</v>
      </c>
      <c r="H331" s="412">
        <v>406.52773999999999</v>
      </c>
      <c r="I331" s="411">
        <v>14.67418</v>
      </c>
      <c r="J331" s="411">
        <v>49.645020000000002</v>
      </c>
      <c r="K331" s="411">
        <v>5586.0784000000003</v>
      </c>
      <c r="L331" s="526" t="s">
        <v>553</v>
      </c>
      <c r="M331" s="409" t="s">
        <v>586</v>
      </c>
      <c r="N331" s="195">
        <v>297.25150000000002</v>
      </c>
    </row>
    <row r="332" spans="1:14" ht="15" x14ac:dyDescent="0.25">
      <c r="A332" s="410">
        <v>224020</v>
      </c>
      <c r="B332" t="str">
        <f t="shared" si="11"/>
        <v>SEVROLL Simple spodné vedenie 4m strieborná</v>
      </c>
      <c r="C332" s="198">
        <f t="shared" si="12"/>
        <v>14.88833</v>
      </c>
      <c r="D332" s="526" t="s">
        <v>3116</v>
      </c>
      <c r="E332" s="526" t="s">
        <v>4330</v>
      </c>
      <c r="F332" s="526" t="s">
        <v>4331</v>
      </c>
      <c r="G332" s="526" t="s">
        <v>4332</v>
      </c>
      <c r="H332" s="412">
        <v>407.79475000000002</v>
      </c>
      <c r="I332" s="411">
        <v>14.88833</v>
      </c>
      <c r="J332" s="411">
        <v>55.125230000000002</v>
      </c>
      <c r="K332" s="411">
        <v>5783.2711499999996</v>
      </c>
      <c r="L332" s="526" t="s">
        <v>554</v>
      </c>
      <c r="M332" s="409" t="s">
        <v>586</v>
      </c>
      <c r="N332" s="195">
        <v>299.48939999999999</v>
      </c>
    </row>
    <row r="333" spans="1:14" ht="15" x14ac:dyDescent="0.25">
      <c r="A333" s="410">
        <v>222787</v>
      </c>
      <c r="B333" t="str">
        <f t="shared" si="11"/>
        <v>SEVROLL Alfa II úchytová lišta 18mm 2,7m zlatá</v>
      </c>
      <c r="C333" s="198">
        <f t="shared" si="12"/>
        <v>15.79144</v>
      </c>
      <c r="D333" s="526" t="s">
        <v>1215</v>
      </c>
      <c r="E333" s="526" t="s">
        <v>4333</v>
      </c>
      <c r="F333" s="526" t="s">
        <v>4334</v>
      </c>
      <c r="G333" s="526" t="s">
        <v>4335</v>
      </c>
      <c r="H333" s="412">
        <v>437.24952000000002</v>
      </c>
      <c r="I333" s="411">
        <v>15.79144</v>
      </c>
      <c r="J333" s="411">
        <v>53.424889999999998</v>
      </c>
      <c r="K333" s="411">
        <v>6011.3946299999998</v>
      </c>
      <c r="L333" s="526" t="s">
        <v>553</v>
      </c>
      <c r="M333" s="409" t="s">
        <v>586</v>
      </c>
      <c r="N333" s="195">
        <v>299.86470000000003</v>
      </c>
    </row>
    <row r="334" spans="1:14" ht="15" x14ac:dyDescent="0.25">
      <c r="A334" s="410">
        <v>346122</v>
      </c>
      <c r="B334" t="str">
        <f t="shared" si="11"/>
        <v>SEVROLL 04357 maska Elegant II 6m čierna kartáčovaná</v>
      </c>
      <c r="C334" s="198">
        <f t="shared" si="12"/>
        <v>16.204280000000001</v>
      </c>
      <c r="D334" s="526" t="s">
        <v>3400</v>
      </c>
      <c r="E334" s="526" t="s">
        <v>4336</v>
      </c>
      <c r="F334" s="526" t="s">
        <v>4337</v>
      </c>
      <c r="G334" s="526" t="s">
        <v>4338</v>
      </c>
      <c r="H334" s="412">
        <v>448.68088</v>
      </c>
      <c r="I334" s="411">
        <v>16.204280000000001</v>
      </c>
      <c r="J334" s="411">
        <v>54.651800000000001</v>
      </c>
      <c r="K334" s="411">
        <v>6168.5549700000001</v>
      </c>
      <c r="L334" s="526" t="s">
        <v>553</v>
      </c>
      <c r="M334" s="409" t="s">
        <v>586</v>
      </c>
      <c r="N334" s="195">
        <v>303.13119999999998</v>
      </c>
    </row>
    <row r="335" spans="1:14" ht="15" x14ac:dyDescent="0.25">
      <c r="A335" s="410">
        <v>346120</v>
      </c>
      <c r="B335" t="str">
        <f t="shared" si="11"/>
        <v>SEVROLL 04352-Y maska Elegant II 6m oliva kartáčovaná</v>
      </c>
      <c r="C335" s="198">
        <f t="shared" si="12"/>
        <v>16.204280000000001</v>
      </c>
      <c r="D335" s="526" t="s">
        <v>3398</v>
      </c>
      <c r="E335" s="526" t="s">
        <v>4339</v>
      </c>
      <c r="F335" s="526" t="s">
        <v>3398</v>
      </c>
      <c r="G335" s="526" t="s">
        <v>4340</v>
      </c>
      <c r="H335" s="412">
        <v>448.68088</v>
      </c>
      <c r="I335" s="411">
        <v>16.204280000000001</v>
      </c>
      <c r="J335" s="411">
        <v>54.651800000000001</v>
      </c>
      <c r="K335" s="411">
        <v>6168.5549700000001</v>
      </c>
      <c r="L335" s="526" t="s">
        <v>554</v>
      </c>
      <c r="M335" s="409" t="s">
        <v>586</v>
      </c>
      <c r="N335" s="195">
        <v>303.13119999999998</v>
      </c>
    </row>
    <row r="336" spans="1:14" ht="15" x14ac:dyDescent="0.25">
      <c r="A336" s="410">
        <v>346121</v>
      </c>
      <c r="B336" t="str">
        <f t="shared" si="11"/>
        <v>SEVROLL 04362 maska Elegant II 6m oliva tmavá kartáčovaná</v>
      </c>
      <c r="C336" s="198">
        <f t="shared" si="12"/>
        <v>16.204280000000001</v>
      </c>
      <c r="D336" s="526" t="s">
        <v>3399</v>
      </c>
      <c r="E336" s="526" t="s">
        <v>4341</v>
      </c>
      <c r="F336" s="526" t="s">
        <v>3399</v>
      </c>
      <c r="G336" s="526" t="s">
        <v>4342</v>
      </c>
      <c r="H336" s="412">
        <v>448.68088</v>
      </c>
      <c r="I336" s="411">
        <v>16.204280000000001</v>
      </c>
      <c r="J336" s="411">
        <v>54.651800000000001</v>
      </c>
      <c r="K336" s="411">
        <v>6168.5549700000001</v>
      </c>
      <c r="L336" s="526" t="s">
        <v>554</v>
      </c>
      <c r="M336" s="409" t="s">
        <v>586</v>
      </c>
      <c r="N336" s="195">
        <v>303.13119999999998</v>
      </c>
    </row>
    <row r="337" spans="1:14" ht="15" x14ac:dyDescent="0.25">
      <c r="A337" s="410">
        <v>238029</v>
      </c>
      <c r="B337" t="str">
        <f t="shared" si="11"/>
        <v>SEVROLL Maxim II maska 4,3m oliva</v>
      </c>
      <c r="C337" s="198" t="e">
        <f t="shared" si="12"/>
        <v>#N/A</v>
      </c>
      <c r="D337" s="526" t="s">
        <v>3198</v>
      </c>
      <c r="E337" s="526" t="s">
        <v>4343</v>
      </c>
      <c r="F337" s="526" t="s">
        <v>1155</v>
      </c>
      <c r="G337" s="526" t="s">
        <v>4344</v>
      </c>
      <c r="H337" s="412" t="e">
        <v>#N/A</v>
      </c>
      <c r="I337" s="411" t="e">
        <v>#N/A</v>
      </c>
      <c r="J337" s="411" t="e">
        <v>#N/A</v>
      </c>
      <c r="K337" s="411" t="e">
        <v>#N/A</v>
      </c>
      <c r="L337" s="526" t="e">
        <v>#N/A</v>
      </c>
      <c r="M337" s="409" t="s">
        <v>586</v>
      </c>
      <c r="N337" s="195">
        <v>303.13119999999998</v>
      </c>
    </row>
    <row r="338" spans="1:14" ht="15" x14ac:dyDescent="0.25">
      <c r="A338" s="410">
        <v>89237</v>
      </c>
      <c r="B338" t="str">
        <f t="shared" si="11"/>
        <v>SEVROLL 153 SPOJ.LIŠTA "H 10"3M OLIVOVÁ</v>
      </c>
      <c r="C338" s="198">
        <f t="shared" si="12"/>
        <v>15.094760000000001</v>
      </c>
      <c r="D338" s="526" t="s">
        <v>2695</v>
      </c>
      <c r="E338" s="526" t="s">
        <v>4345</v>
      </c>
      <c r="F338" s="526" t="s">
        <v>4346</v>
      </c>
      <c r="G338" s="526" t="s">
        <v>4347</v>
      </c>
      <c r="H338" s="412">
        <v>417.95909999999998</v>
      </c>
      <c r="I338" s="411">
        <v>15.094760000000001</v>
      </c>
      <c r="J338" s="411">
        <v>56.915999999999997</v>
      </c>
      <c r="K338" s="411">
        <v>5746.1859000000004</v>
      </c>
      <c r="L338" s="526" t="s">
        <v>553</v>
      </c>
      <c r="M338" s="409" t="s">
        <v>586</v>
      </c>
      <c r="N338" s="195">
        <v>305.74439999999998</v>
      </c>
    </row>
    <row r="339" spans="1:14" ht="15" x14ac:dyDescent="0.25">
      <c r="A339" s="410">
        <v>89236</v>
      </c>
      <c r="B339" t="str">
        <f t="shared" si="11"/>
        <v>SEVROLL SPOJ.LIŠTA "H10" 3M STR.</v>
      </c>
      <c r="C339" s="198">
        <f t="shared" si="12"/>
        <v>12.075799999999999</v>
      </c>
      <c r="D339" s="526" t="s">
        <v>2694</v>
      </c>
      <c r="E339" s="526" t="s">
        <v>4348</v>
      </c>
      <c r="F339" s="526" t="s">
        <v>4349</v>
      </c>
      <c r="G339" s="526" t="s">
        <v>4350</v>
      </c>
      <c r="H339" s="412">
        <v>334.36727999999999</v>
      </c>
      <c r="I339" s="411">
        <v>12.075799999999999</v>
      </c>
      <c r="J339" s="411">
        <v>51.754800000000003</v>
      </c>
      <c r="K339" s="411">
        <v>4596.9485699999996</v>
      </c>
      <c r="L339" s="526" t="s">
        <v>553</v>
      </c>
      <c r="M339" s="409" t="s">
        <v>586</v>
      </c>
      <c r="N339" s="195">
        <v>305.74439999999998</v>
      </c>
    </row>
    <row r="340" spans="1:14" ht="15" x14ac:dyDescent="0.25">
      <c r="A340" s="410">
        <v>89236</v>
      </c>
      <c r="B340" t="str">
        <f t="shared" si="11"/>
        <v>SEVROLL SPOJ.LIŠTA "H10" 3M STR.</v>
      </c>
      <c r="C340" s="198">
        <f t="shared" si="12"/>
        <v>12.075799999999999</v>
      </c>
      <c r="D340" s="526" t="s">
        <v>2694</v>
      </c>
      <c r="E340" s="526" t="s">
        <v>4348</v>
      </c>
      <c r="F340" s="526" t="s">
        <v>4349</v>
      </c>
      <c r="G340" s="526" t="s">
        <v>4350</v>
      </c>
      <c r="H340" s="412">
        <v>334.36727999999999</v>
      </c>
      <c r="I340" s="411">
        <v>12.075799999999999</v>
      </c>
      <c r="J340" s="411">
        <v>51.754800000000003</v>
      </c>
      <c r="K340" s="411">
        <v>4596.9485699999996</v>
      </c>
      <c r="L340" s="526" t="s">
        <v>553</v>
      </c>
      <c r="M340" s="409" t="s">
        <v>586</v>
      </c>
      <c r="N340" s="195">
        <v>305.74439999999998</v>
      </c>
    </row>
    <row r="341" spans="1:14" ht="15" x14ac:dyDescent="0.25">
      <c r="A341" s="410">
        <v>163106</v>
      </c>
      <c r="B341" t="str">
        <f t="shared" si="11"/>
        <v>SEVROLL 02849 Doubler II spodné vedenie 1,7m strieborná</v>
      </c>
      <c r="C341" s="198">
        <f t="shared" si="12"/>
        <v>14.34647</v>
      </c>
      <c r="D341" s="526" t="s">
        <v>2908</v>
      </c>
      <c r="E341" s="526" t="s">
        <v>4351</v>
      </c>
      <c r="F341" s="526" t="s">
        <v>4352</v>
      </c>
      <c r="G341" s="526" t="s">
        <v>4353</v>
      </c>
      <c r="H341" s="412">
        <v>397.23975999999999</v>
      </c>
      <c r="I341" s="411">
        <v>14.34647</v>
      </c>
      <c r="J341" s="411">
        <v>53.335799999999999</v>
      </c>
      <c r="K341" s="411">
        <v>5461.3323099999998</v>
      </c>
      <c r="L341" s="526" t="s">
        <v>554</v>
      </c>
      <c r="M341" s="409" t="s">
        <v>586</v>
      </c>
      <c r="N341" s="195">
        <v>307.05099999999999</v>
      </c>
    </row>
    <row r="342" spans="1:14" ht="15" x14ac:dyDescent="0.25">
      <c r="A342" s="410">
        <v>154168</v>
      </c>
      <c r="B342" t="str">
        <f t="shared" si="11"/>
        <v>SEVROLL profil "U" pre lamino 36mm strieborná 3m</v>
      </c>
      <c r="C342" s="198">
        <f t="shared" si="12"/>
        <v>13.39176</v>
      </c>
      <c r="D342" s="526" t="s">
        <v>2904</v>
      </c>
      <c r="E342" s="526" t="s">
        <v>4354</v>
      </c>
      <c r="F342" s="526" t="s">
        <v>4355</v>
      </c>
      <c r="G342" s="526" t="s">
        <v>4356</v>
      </c>
      <c r="H342" s="412">
        <v>370.80473999999998</v>
      </c>
      <c r="I342" s="411">
        <v>13.39176</v>
      </c>
      <c r="J342" s="411">
        <v>47.144399999999997</v>
      </c>
      <c r="K342" s="411">
        <v>5097.8981899999999</v>
      </c>
      <c r="L342" s="526" t="s">
        <v>553</v>
      </c>
      <c r="M342" s="409" t="s">
        <v>586</v>
      </c>
      <c r="N342" s="195">
        <v>310.3175</v>
      </c>
    </row>
    <row r="343" spans="1:14" ht="15" x14ac:dyDescent="0.25">
      <c r="A343" s="410">
        <v>299757</v>
      </c>
      <c r="B343" t="str">
        <f t="shared" si="11"/>
        <v>SEVROLL Idea horné/spodné vedenie 2m strieborná</v>
      </c>
      <c r="C343" s="198">
        <f t="shared" si="12"/>
        <v>15.068949999999999</v>
      </c>
      <c r="D343" s="526" t="s">
        <v>3306</v>
      </c>
      <c r="E343" s="526" t="s">
        <v>4357</v>
      </c>
      <c r="F343" s="526" t="s">
        <v>4358</v>
      </c>
      <c r="G343" s="526" t="s">
        <v>4359</v>
      </c>
      <c r="H343" s="412">
        <v>417.24464</v>
      </c>
      <c r="I343" s="411">
        <v>15.068949999999999</v>
      </c>
      <c r="J343" s="411">
        <v>52.1526</v>
      </c>
      <c r="K343" s="411">
        <v>5736.3632900000002</v>
      </c>
      <c r="L343" s="526" t="s">
        <v>554</v>
      </c>
      <c r="M343" s="409" t="s">
        <v>586</v>
      </c>
      <c r="N343" s="195">
        <v>314.89060000000001</v>
      </c>
    </row>
    <row r="344" spans="1:14" ht="15" x14ac:dyDescent="0.25">
      <c r="A344" s="410">
        <v>224119</v>
      </c>
      <c r="B344" t="str">
        <f t="shared" si="11"/>
        <v>SEVROLL Simple horné vedenie 2m oliva</v>
      </c>
      <c r="C344" s="198" t="e">
        <f t="shared" si="12"/>
        <v>#N/A</v>
      </c>
      <c r="D344" s="526" t="s">
        <v>3118</v>
      </c>
      <c r="E344" s="526" t="s">
        <v>4360</v>
      </c>
      <c r="F344" s="526" t="s">
        <v>4361</v>
      </c>
      <c r="G344" s="526" t="s">
        <v>4362</v>
      </c>
      <c r="H344" s="412" t="e">
        <v>#N/A</v>
      </c>
      <c r="I344" s="411" t="e">
        <v>#N/A</v>
      </c>
      <c r="J344" s="411" t="e">
        <v>#N/A</v>
      </c>
      <c r="K344" s="411" t="e">
        <v>#N/A</v>
      </c>
      <c r="L344" s="526" t="e">
        <v>#N/A</v>
      </c>
      <c r="M344" s="409" t="s">
        <v>586</v>
      </c>
      <c r="N344" s="195">
        <v>316.00259999999997</v>
      </c>
    </row>
    <row r="345" spans="1:14" ht="15" x14ac:dyDescent="0.25">
      <c r="A345" s="410">
        <v>89104</v>
      </c>
      <c r="B345" t="str">
        <f t="shared" si="11"/>
        <v>SEVROLL 01030 Gemini horné vedenie 1,7m zlatá</v>
      </c>
      <c r="C345" s="198">
        <f t="shared" si="12"/>
        <v>17.546040000000001</v>
      </c>
      <c r="D345" s="526" t="s">
        <v>2654</v>
      </c>
      <c r="E345" s="526" t="s">
        <v>4363</v>
      </c>
      <c r="F345" s="526" t="s">
        <v>4364</v>
      </c>
      <c r="G345" s="526" t="s">
        <v>4365</v>
      </c>
      <c r="H345" s="412">
        <v>485.83280000000002</v>
      </c>
      <c r="I345" s="411">
        <v>17.546040000000001</v>
      </c>
      <c r="J345" s="411">
        <v>66.766980000000004</v>
      </c>
      <c r="K345" s="411">
        <v>6679.3271999999997</v>
      </c>
      <c r="L345" s="526" t="s">
        <v>554</v>
      </c>
      <c r="M345" s="409" t="s">
        <v>586</v>
      </c>
      <c r="N345" s="195">
        <v>316.19720000000001</v>
      </c>
    </row>
    <row r="346" spans="1:14" ht="15" x14ac:dyDescent="0.25">
      <c r="A346" s="410">
        <v>84412</v>
      </c>
      <c r="B346" t="str">
        <f t="shared" si="11"/>
        <v>SEVROLL 04593 Gemini II spodné vedenie  3m strieborná</v>
      </c>
      <c r="C346" s="198">
        <f t="shared" si="12"/>
        <v>14.165850000000001</v>
      </c>
      <c r="D346" s="526" t="s">
        <v>2779</v>
      </c>
      <c r="E346" s="526" t="s">
        <v>4366</v>
      </c>
      <c r="F346" s="526" t="s">
        <v>4367</v>
      </c>
      <c r="G346" s="526" t="s">
        <v>4368</v>
      </c>
      <c r="H346" s="412">
        <v>392.23854</v>
      </c>
      <c r="I346" s="411">
        <v>14.165850000000001</v>
      </c>
      <c r="J346" s="411">
        <v>52.749690000000001</v>
      </c>
      <c r="K346" s="411">
        <v>5392.5743899999998</v>
      </c>
      <c r="L346" s="526" t="s">
        <v>553</v>
      </c>
      <c r="M346" s="409" t="s">
        <v>586</v>
      </c>
      <c r="N346" s="195">
        <v>316.19720000000001</v>
      </c>
    </row>
    <row r="347" spans="1:14" ht="15" x14ac:dyDescent="0.25">
      <c r="A347" s="410">
        <v>102820</v>
      </c>
      <c r="B347" t="str">
        <f t="shared" si="11"/>
        <v>SEVROLL 02021 Maxim vodiaca lišta 1,8m strieborná</v>
      </c>
      <c r="C347" s="198">
        <f t="shared" si="12"/>
        <v>14.218</v>
      </c>
      <c r="D347" s="526" t="s">
        <v>2824</v>
      </c>
      <c r="E347" s="526" t="s">
        <v>4369</v>
      </c>
      <c r="F347" s="526" t="s">
        <v>4370</v>
      </c>
      <c r="G347" s="526" t="s">
        <v>4371</v>
      </c>
      <c r="H347" s="412" t="e">
        <v>#N/A</v>
      </c>
      <c r="I347" s="411">
        <v>14.218</v>
      </c>
      <c r="J347" s="411">
        <v>51.122399999999999</v>
      </c>
      <c r="K347" s="411">
        <v>5468.4623099999999</v>
      </c>
      <c r="L347" s="526" t="e">
        <v>#N/A</v>
      </c>
      <c r="M347" s="409" t="s">
        <v>586</v>
      </c>
      <c r="N347" s="195">
        <v>320.11700000000002</v>
      </c>
    </row>
    <row r="348" spans="1:14" ht="15" x14ac:dyDescent="0.25">
      <c r="A348" s="410">
        <v>163111</v>
      </c>
      <c r="B348" t="str">
        <f t="shared" si="11"/>
        <v>SEVROLL 02844 Doubler II spodné vedenie 1,7m oliva</v>
      </c>
      <c r="C348" s="198">
        <f t="shared" si="12"/>
        <v>17.93309</v>
      </c>
      <c r="D348" s="526" t="s">
        <v>2912</v>
      </c>
      <c r="E348" s="526" t="s">
        <v>4372</v>
      </c>
      <c r="F348" s="526" t="s">
        <v>4373</v>
      </c>
      <c r="G348" s="526" t="s">
        <v>4374</v>
      </c>
      <c r="H348" s="412">
        <v>496.54969999999997</v>
      </c>
      <c r="I348" s="411">
        <v>17.93309</v>
      </c>
      <c r="J348" s="411">
        <v>60.417000000000002</v>
      </c>
      <c r="K348" s="411">
        <v>6826.6652999999997</v>
      </c>
      <c r="L348" s="526" t="s">
        <v>554</v>
      </c>
      <c r="M348" s="409" t="s">
        <v>586</v>
      </c>
      <c r="N348" s="195">
        <v>322.07690000000002</v>
      </c>
    </row>
    <row r="349" spans="1:14" ht="15" x14ac:dyDescent="0.25">
      <c r="A349" s="415">
        <v>279095</v>
      </c>
      <c r="B349" t="str">
        <f t="shared" si="11"/>
        <v>SEVROLL krycí profil Galaxy 3m</v>
      </c>
      <c r="C349" s="198">
        <f t="shared" si="12"/>
        <v>17.210599999999999</v>
      </c>
      <c r="D349" s="526" t="s">
        <v>3268</v>
      </c>
      <c r="E349" s="526" t="s">
        <v>4375</v>
      </c>
      <c r="F349" s="526" t="s">
        <v>1257</v>
      </c>
      <c r="G349" s="526" t="s">
        <v>4376</v>
      </c>
      <c r="H349" s="412">
        <v>454.26035000000002</v>
      </c>
      <c r="I349" s="411">
        <v>17.210599999999999</v>
      </c>
      <c r="J349" s="411">
        <v>59.217480000000002</v>
      </c>
      <c r="K349" s="411">
        <v>6337.7826999999997</v>
      </c>
      <c r="L349" s="526" t="s">
        <v>553</v>
      </c>
      <c r="M349" s="416" t="s">
        <v>586</v>
      </c>
      <c r="N349" s="195">
        <v>323.10271999999998</v>
      </c>
    </row>
    <row r="350" spans="1:14" ht="15" x14ac:dyDescent="0.25">
      <c r="A350" s="415">
        <v>223506</v>
      </c>
      <c r="B350" t="str">
        <f t="shared" si="11"/>
        <v>SEVROLL Herkules 2 horné vedenie 1,2m alu</v>
      </c>
      <c r="C350" s="198" t="e">
        <f t="shared" si="12"/>
        <v>#N/A</v>
      </c>
      <c r="D350" s="526" t="s">
        <v>3074</v>
      </c>
      <c r="E350" s="526" t="s">
        <v>4377</v>
      </c>
      <c r="F350" s="526" t="s">
        <v>4378</v>
      </c>
      <c r="G350" s="526" t="s">
        <v>4379</v>
      </c>
      <c r="H350" s="412" t="e">
        <v>#N/A</v>
      </c>
      <c r="I350" s="411" t="e">
        <v>#N/A</v>
      </c>
      <c r="J350" s="411" t="e">
        <v>#N/A</v>
      </c>
      <c r="K350" s="411" t="e">
        <v>#N/A</v>
      </c>
      <c r="L350" s="526" t="e">
        <v>#N/A</v>
      </c>
      <c r="M350" s="416" t="s">
        <v>586</v>
      </c>
      <c r="N350" s="195">
        <v>323.73378000000002</v>
      </c>
    </row>
    <row r="351" spans="1:14" ht="15" x14ac:dyDescent="0.25">
      <c r="A351" s="410">
        <v>96421</v>
      </c>
      <c r="B351" t="str">
        <f t="shared" si="11"/>
        <v>SEVROLL 04382 Fox II úchytová lišta 2,7m strieborná</v>
      </c>
      <c r="C351" s="198">
        <f t="shared" si="12"/>
        <v>16.63777</v>
      </c>
      <c r="D351" s="526" t="s">
        <v>2791</v>
      </c>
      <c r="E351" s="526" t="s">
        <v>4380</v>
      </c>
      <c r="F351" s="526" t="s">
        <v>4381</v>
      </c>
      <c r="G351" s="526" t="s">
        <v>4382</v>
      </c>
      <c r="H351" s="412">
        <v>460.82670000000002</v>
      </c>
      <c r="I351" s="411">
        <v>16.63777</v>
      </c>
      <c r="J351" s="411">
        <v>61.863</v>
      </c>
      <c r="K351" s="411">
        <v>6333.57377</v>
      </c>
      <c r="L351" s="526" t="s">
        <v>553</v>
      </c>
      <c r="M351" s="409" t="s">
        <v>586</v>
      </c>
      <c r="N351" s="195">
        <v>324.03680000000003</v>
      </c>
    </row>
    <row r="352" spans="1:14" ht="15" x14ac:dyDescent="0.25">
      <c r="A352" s="410">
        <v>349475</v>
      </c>
      <c r="B352" t="str">
        <f t="shared" si="11"/>
        <v>SEVROLL 04472 Blue horné vedenie  2m strieborná</v>
      </c>
      <c r="C352" s="198">
        <f t="shared" si="12"/>
        <v>14.96574</v>
      </c>
      <c r="D352" s="526" t="s">
        <v>3406</v>
      </c>
      <c r="E352" s="526" t="s">
        <v>4383</v>
      </c>
      <c r="F352" s="526" t="s">
        <v>4384</v>
      </c>
      <c r="G352" s="526" t="s">
        <v>4385</v>
      </c>
      <c r="H352" s="412">
        <v>409.91500000000002</v>
      </c>
      <c r="I352" s="411">
        <v>14.96574</v>
      </c>
      <c r="J352" s="411">
        <v>53.662149999999997</v>
      </c>
      <c r="K352" s="411">
        <v>5813.34</v>
      </c>
      <c r="L352" s="526" t="s">
        <v>710</v>
      </c>
      <c r="M352" s="409" t="s">
        <v>586</v>
      </c>
      <c r="N352" s="195">
        <v>325.7604</v>
      </c>
    </row>
    <row r="353" spans="1:14" ht="15" x14ac:dyDescent="0.25">
      <c r="A353" s="410">
        <v>224129</v>
      </c>
      <c r="B353" t="str">
        <f t="shared" si="11"/>
        <v>SEVROLL Simple spodné vedenie 4m oliva</v>
      </c>
      <c r="C353" s="198" t="e">
        <f t="shared" si="12"/>
        <v>#N/A</v>
      </c>
      <c r="D353" s="526" t="s">
        <v>3126</v>
      </c>
      <c r="E353" s="526" t="s">
        <v>4386</v>
      </c>
      <c r="F353" s="526" t="s">
        <v>4387</v>
      </c>
      <c r="G353" s="526" t="s">
        <v>4388</v>
      </c>
      <c r="H353" s="412" t="e">
        <v>#N/A</v>
      </c>
      <c r="I353" s="411" t="e">
        <v>#N/A</v>
      </c>
      <c r="J353" s="411" t="e">
        <v>#N/A</v>
      </c>
      <c r="K353" s="411" t="e">
        <v>#N/A</v>
      </c>
      <c r="L353" s="526" t="e">
        <v>#N/A</v>
      </c>
      <c r="M353" s="409" t="s">
        <v>586</v>
      </c>
      <c r="N353" s="195">
        <v>328.76280000000003</v>
      </c>
    </row>
    <row r="354" spans="1:14" ht="15" x14ac:dyDescent="0.25">
      <c r="A354" s="410">
        <v>349819</v>
      </c>
      <c r="B354" t="str">
        <f t="shared" si="11"/>
        <v>SEVROLL 04499 Blue-V spodné vedenie  4m strieborná</v>
      </c>
      <c r="C354" s="198">
        <f t="shared" si="12"/>
        <v>15.997859999999999</v>
      </c>
      <c r="D354" s="526" t="s">
        <v>3436</v>
      </c>
      <c r="E354" s="526" t="s">
        <v>4389</v>
      </c>
      <c r="F354" s="526" t="s">
        <v>4390</v>
      </c>
      <c r="G354" s="526" t="s">
        <v>2433</v>
      </c>
      <c r="H354" s="412">
        <v>438.185</v>
      </c>
      <c r="I354" s="411">
        <v>15.997859999999999</v>
      </c>
      <c r="J354" s="411">
        <v>65.728660000000005</v>
      </c>
      <c r="K354" s="411">
        <v>6214.26</v>
      </c>
      <c r="L354" s="526" t="s">
        <v>710</v>
      </c>
      <c r="M354" s="409" t="s">
        <v>586</v>
      </c>
      <c r="N354" s="195">
        <v>330.26400000000001</v>
      </c>
    </row>
    <row r="355" spans="1:14" ht="15" x14ac:dyDescent="0.25">
      <c r="A355" s="410">
        <v>89105</v>
      </c>
      <c r="B355" t="str">
        <f t="shared" si="11"/>
        <v>SEVROLL 01008 Gemini horné vedenie 1,7m oliva</v>
      </c>
      <c r="C355" s="198">
        <f t="shared" si="12"/>
        <v>17.546040000000001</v>
      </c>
      <c r="D355" s="526" t="s">
        <v>2655</v>
      </c>
      <c r="E355" s="526" t="s">
        <v>4391</v>
      </c>
      <c r="F355" s="526" t="s">
        <v>4392</v>
      </c>
      <c r="G355" s="526" t="s">
        <v>2655</v>
      </c>
      <c r="H355" s="412">
        <v>485.83280000000002</v>
      </c>
      <c r="I355" s="411">
        <v>17.546040000000001</v>
      </c>
      <c r="J355" s="411">
        <v>66.766980000000004</v>
      </c>
      <c r="K355" s="411">
        <v>6679.3271999999997</v>
      </c>
      <c r="L355" s="526" t="s">
        <v>553</v>
      </c>
      <c r="M355" s="409" t="s">
        <v>586</v>
      </c>
      <c r="N355" s="195">
        <v>331.87639999999999</v>
      </c>
    </row>
    <row r="356" spans="1:14" ht="15" x14ac:dyDescent="0.25">
      <c r="A356" s="410">
        <v>227193</v>
      </c>
      <c r="B356" t="str">
        <f t="shared" si="11"/>
        <v>SEVROLL spojovacia lišta H10 Decor 3m oliva</v>
      </c>
      <c r="C356" s="198">
        <f t="shared" si="12"/>
        <v>16.642939999999999</v>
      </c>
      <c r="D356" s="526" t="s">
        <v>3165</v>
      </c>
      <c r="E356" s="526" t="s">
        <v>4393</v>
      </c>
      <c r="F356" s="526" t="s">
        <v>1126</v>
      </c>
      <c r="G356" s="526" t="s">
        <v>4394</v>
      </c>
      <c r="H356" s="412">
        <v>460.82670000000002</v>
      </c>
      <c r="I356" s="411">
        <v>16.642939999999999</v>
      </c>
      <c r="J356" s="411">
        <v>56.483800000000002</v>
      </c>
      <c r="K356" s="411">
        <v>6335.5383000000002</v>
      </c>
      <c r="L356" s="526" t="s">
        <v>554</v>
      </c>
      <c r="M356" s="409" t="s">
        <v>586</v>
      </c>
      <c r="N356" s="195">
        <v>331.87639999999999</v>
      </c>
    </row>
    <row r="357" spans="1:14" ht="15" x14ac:dyDescent="0.25">
      <c r="A357" s="410">
        <v>308630</v>
      </c>
      <c r="B357" t="str">
        <f t="shared" si="11"/>
        <v>SEVROLL 02461 uholník 36x36mm 3m strieborná</v>
      </c>
      <c r="C357" s="198">
        <f t="shared" si="12"/>
        <v>14.114240000000001</v>
      </c>
      <c r="D357" s="526" t="s">
        <v>3325</v>
      </c>
      <c r="E357" s="526" t="s">
        <v>4395</v>
      </c>
      <c r="F357" s="526" t="s">
        <v>4396</v>
      </c>
      <c r="G357" s="526" t="s">
        <v>4397</v>
      </c>
      <c r="H357" s="412">
        <v>390.80962</v>
      </c>
      <c r="I357" s="411">
        <v>14.114240000000001</v>
      </c>
      <c r="J357" s="411">
        <v>52.53</v>
      </c>
      <c r="K357" s="411">
        <v>5372.9295300000003</v>
      </c>
      <c r="L357" s="526" t="s">
        <v>553</v>
      </c>
      <c r="M357" s="409" t="s">
        <v>586</v>
      </c>
      <c r="N357" s="195">
        <v>332.52969999999999</v>
      </c>
    </row>
    <row r="358" spans="1:14" ht="15" x14ac:dyDescent="0.25">
      <c r="A358" s="410">
        <v>351387</v>
      </c>
      <c r="B358" t="str">
        <f t="shared" si="11"/>
        <v>SEVROLL zámok na posuvné dvere 18 mm (rovnaký kľúč)</v>
      </c>
      <c r="C358" s="198">
        <f t="shared" si="12"/>
        <v>15.72176</v>
      </c>
      <c r="D358" s="526" t="s">
        <v>3454</v>
      </c>
      <c r="E358" s="526" t="s">
        <v>4398</v>
      </c>
      <c r="F358" s="526" t="s">
        <v>4399</v>
      </c>
      <c r="G358" s="526" t="s">
        <v>4400</v>
      </c>
      <c r="H358" s="412">
        <v>461.71334999999999</v>
      </c>
      <c r="I358" s="411">
        <v>15.72176</v>
      </c>
      <c r="J358" s="411">
        <v>66.84</v>
      </c>
      <c r="K358" s="411">
        <v>6107.0138500000003</v>
      </c>
      <c r="L358" s="526" t="s">
        <v>554</v>
      </c>
      <c r="M358" s="409" t="s">
        <v>586</v>
      </c>
      <c r="N358" s="195">
        <v>333.18299999999999</v>
      </c>
    </row>
    <row r="359" spans="1:14" ht="15" x14ac:dyDescent="0.25">
      <c r="A359" s="410">
        <v>238036</v>
      </c>
      <c r="B359" t="str">
        <f t="shared" si="11"/>
        <v>SEVROLL Maxim spojovacia lišta H25 1,8m oliv</v>
      </c>
      <c r="C359" s="198" t="e">
        <f t="shared" si="12"/>
        <v>#N/A</v>
      </c>
      <c r="D359" s="526" t="s">
        <v>3204</v>
      </c>
      <c r="E359" s="526" t="s">
        <v>4401</v>
      </c>
      <c r="F359" s="526" t="s">
        <v>1149</v>
      </c>
      <c r="G359" s="526" t="s">
        <v>4402</v>
      </c>
      <c r="H359" s="412" t="e">
        <v>#N/A</v>
      </c>
      <c r="I359" s="411" t="e">
        <v>#N/A</v>
      </c>
      <c r="J359" s="411" t="e">
        <v>#N/A</v>
      </c>
      <c r="K359" s="411" t="e">
        <v>#N/A</v>
      </c>
      <c r="L359" s="526" t="e">
        <v>#N/A</v>
      </c>
      <c r="M359" s="409" t="s">
        <v>586</v>
      </c>
      <c r="N359" s="195">
        <v>334.4896</v>
      </c>
    </row>
    <row r="360" spans="1:14" ht="15" x14ac:dyDescent="0.25">
      <c r="A360" s="410">
        <v>308528</v>
      </c>
      <c r="B360" t="str">
        <f t="shared" si="11"/>
        <v>SEVROLL profil "U" na DTD 36mm oliva 3m</v>
      </c>
      <c r="C360" s="198">
        <f t="shared" si="12"/>
        <v>16.739709999999999</v>
      </c>
      <c r="D360" s="526" t="s">
        <v>3320</v>
      </c>
      <c r="E360" s="526" t="s">
        <v>4403</v>
      </c>
      <c r="F360" s="526" t="s">
        <v>1132</v>
      </c>
      <c r="G360" s="526" t="s">
        <v>4404</v>
      </c>
      <c r="H360" s="412">
        <v>463.68454000000003</v>
      </c>
      <c r="I360" s="411">
        <v>16.739709999999999</v>
      </c>
      <c r="J360" s="411">
        <v>56.7956</v>
      </c>
      <c r="K360" s="411">
        <v>6372.3731200000002</v>
      </c>
      <c r="L360" s="526" t="s">
        <v>554</v>
      </c>
      <c r="M360" s="409" t="s">
        <v>586</v>
      </c>
      <c r="N360" s="195">
        <v>339.06270000000001</v>
      </c>
    </row>
    <row r="361" spans="1:14" ht="15" x14ac:dyDescent="0.25">
      <c r="A361" s="410">
        <v>182206</v>
      </c>
      <c r="B361" t="e">
        <f t="shared" ref="B361:B424" si="13">IF($A$2=1,D361,IF($A$2=2,F361,IF($A$2=3,G361,IF($A$2=4,E361,"zadat jazyk"))))</f>
        <v>#N/A</v>
      </c>
      <c r="C361" s="198" t="e">
        <f t="shared" si="12"/>
        <v>#N/A</v>
      </c>
      <c r="D361" s="526" t="e">
        <v>#N/A</v>
      </c>
      <c r="E361" s="526" t="e">
        <v>#N/A</v>
      </c>
      <c r="F361" s="526" t="e">
        <v>#N/A</v>
      </c>
      <c r="G361" s="526" t="e">
        <v>#N/A</v>
      </c>
      <c r="H361" s="412" t="e">
        <v>#N/A</v>
      </c>
      <c r="I361" s="411" t="e">
        <v>#N/A</v>
      </c>
      <c r="J361" s="411" t="e">
        <v>#N/A</v>
      </c>
      <c r="K361" s="411" t="e">
        <v>#N/A</v>
      </c>
      <c r="L361" s="526" t="e">
        <v>#N/A</v>
      </c>
      <c r="M361" s="409" t="s">
        <v>586</v>
      </c>
      <c r="N361" s="195">
        <v>340.36930000000001</v>
      </c>
    </row>
    <row r="362" spans="1:14" ht="15" x14ac:dyDescent="0.25">
      <c r="A362" s="410">
        <v>252626</v>
      </c>
      <c r="B362" t="e">
        <f t="shared" si="13"/>
        <v>#N/A</v>
      </c>
      <c r="C362" s="198" t="e">
        <f t="shared" si="12"/>
        <v>#N/A</v>
      </c>
      <c r="D362" s="526" t="e">
        <v>#N/A</v>
      </c>
      <c r="E362" s="526" t="e">
        <v>#N/A</v>
      </c>
      <c r="F362" s="526" t="e">
        <v>#N/A</v>
      </c>
      <c r="G362" s="526" t="e">
        <v>#N/A</v>
      </c>
      <c r="H362" s="412" t="e">
        <v>#N/A</v>
      </c>
      <c r="I362" s="411" t="e">
        <v>#N/A</v>
      </c>
      <c r="J362" s="411" t="e">
        <v>#N/A</v>
      </c>
      <c r="K362" s="411" t="e">
        <v>#N/A</v>
      </c>
      <c r="L362" s="526" t="e">
        <v>#N/A</v>
      </c>
      <c r="M362" s="409" t="s">
        <v>586</v>
      </c>
      <c r="N362" s="195">
        <v>340.36930000000001</v>
      </c>
    </row>
    <row r="363" spans="1:14" ht="15" x14ac:dyDescent="0.25">
      <c r="A363" s="410">
        <v>351476</v>
      </c>
      <c r="B363" t="str">
        <f t="shared" si="13"/>
        <v>SEVROLL 04761 Gemini II spodné vedenie 2,35m biela lesk</v>
      </c>
      <c r="C363" s="198">
        <f t="shared" si="12"/>
        <v>14.430569999999999</v>
      </c>
      <c r="D363" s="526" t="s">
        <v>3456</v>
      </c>
      <c r="E363" s="526" t="s">
        <v>4405</v>
      </c>
      <c r="F363" s="526" t="s">
        <v>4406</v>
      </c>
      <c r="G363" s="526" t="s">
        <v>4407</v>
      </c>
      <c r="H363" s="412">
        <v>400.0976</v>
      </c>
      <c r="I363" s="411">
        <v>14.430569999999999</v>
      </c>
      <c r="J363" s="411">
        <v>57.9054</v>
      </c>
      <c r="K363" s="411">
        <v>5493.3538099999996</v>
      </c>
      <c r="L363" s="526" t="s">
        <v>554</v>
      </c>
      <c r="M363" s="409" t="s">
        <v>586</v>
      </c>
      <c r="N363" s="195">
        <v>342.98250000000002</v>
      </c>
    </row>
    <row r="364" spans="1:14" ht="15" x14ac:dyDescent="0.25">
      <c r="A364" s="410">
        <v>89029</v>
      </c>
      <c r="B364" t="str">
        <f t="shared" si="13"/>
        <v>SEVROLL 01255 Single horné vedenie 1,7m strieborná</v>
      </c>
      <c r="C364" s="198">
        <f t="shared" si="12"/>
        <v>14.836729999999999</v>
      </c>
      <c r="D364" s="526" t="s">
        <v>2751</v>
      </c>
      <c r="E364" s="526" t="s">
        <v>4408</v>
      </c>
      <c r="F364" s="526" t="s">
        <v>4409</v>
      </c>
      <c r="G364" s="526" t="s">
        <v>2751</v>
      </c>
      <c r="H364" s="412">
        <v>391.60374999999999</v>
      </c>
      <c r="I364" s="411">
        <v>14.836729999999999</v>
      </c>
      <c r="J364" s="411">
        <v>51.049550000000004</v>
      </c>
      <c r="K364" s="411">
        <v>5463.6057700000001</v>
      </c>
      <c r="L364" s="526" t="s">
        <v>553</v>
      </c>
      <c r="M364" s="409" t="s">
        <v>586</v>
      </c>
      <c r="N364" s="195">
        <v>343.63580000000002</v>
      </c>
    </row>
    <row r="365" spans="1:14" ht="15" x14ac:dyDescent="0.25">
      <c r="A365" s="410">
        <v>135552</v>
      </c>
      <c r="B365" t="str">
        <f t="shared" si="13"/>
        <v>SEVROLL Minicomfort II úch.lišta 2,7m str.</v>
      </c>
      <c r="C365" s="198">
        <f t="shared" si="12"/>
        <v>16.410710000000002</v>
      </c>
      <c r="D365" s="526" t="s">
        <v>2893</v>
      </c>
      <c r="E365" s="526" t="s">
        <v>4410</v>
      </c>
      <c r="F365" s="526" t="s">
        <v>1248</v>
      </c>
      <c r="G365" s="526" t="s">
        <v>4411</v>
      </c>
      <c r="H365" s="412">
        <v>454.39656000000002</v>
      </c>
      <c r="I365" s="411">
        <v>16.410710000000002</v>
      </c>
      <c r="J365" s="411">
        <v>64.535399999999996</v>
      </c>
      <c r="K365" s="411">
        <v>6247.1355100000001</v>
      </c>
      <c r="L365" s="526" t="s">
        <v>553</v>
      </c>
      <c r="M365" s="409" t="s">
        <v>586</v>
      </c>
      <c r="N365" s="195">
        <v>346.24900000000002</v>
      </c>
    </row>
    <row r="366" spans="1:14" ht="15" x14ac:dyDescent="0.25">
      <c r="A366" s="410">
        <v>246893</v>
      </c>
      <c r="B366" t="str">
        <f t="shared" si="13"/>
        <v>SEVROLL Oaza II úch.lišta 2,7m strieborná</v>
      </c>
      <c r="C366" s="198">
        <f t="shared" si="12"/>
        <v>14.29486</v>
      </c>
      <c r="D366" s="526" t="s">
        <v>3211</v>
      </c>
      <c r="E366" s="526" t="s">
        <v>4412</v>
      </c>
      <c r="F366" s="526" t="s">
        <v>1246</v>
      </c>
      <c r="G366" s="526" t="s">
        <v>4413</v>
      </c>
      <c r="H366" s="412">
        <v>416.53017999999997</v>
      </c>
      <c r="I366" s="411">
        <v>14.29486</v>
      </c>
      <c r="J366" s="411">
        <v>64.823660000000004</v>
      </c>
      <c r="K366" s="411">
        <v>5441.6870900000004</v>
      </c>
      <c r="L366" s="526" t="s">
        <v>553</v>
      </c>
      <c r="M366" s="409" t="s">
        <v>586</v>
      </c>
      <c r="N366" s="195">
        <v>347.55560000000003</v>
      </c>
    </row>
    <row r="367" spans="1:14" ht="15" x14ac:dyDescent="0.25">
      <c r="A367" s="410">
        <v>246895</v>
      </c>
      <c r="B367" t="str">
        <f t="shared" si="13"/>
        <v>SEVROLL Oaza II úchytová lišta 2,7m zlatá</v>
      </c>
      <c r="C367" s="198">
        <f t="shared" si="12"/>
        <v>12.11327</v>
      </c>
      <c r="D367" s="526" t="s">
        <v>3213</v>
      </c>
      <c r="E367" s="526" t="s">
        <v>4414</v>
      </c>
      <c r="F367" s="526" t="s">
        <v>1147</v>
      </c>
      <c r="G367" s="526" t="s">
        <v>4415</v>
      </c>
      <c r="H367" s="412" t="e">
        <v>#N/A</v>
      </c>
      <c r="I367" s="411">
        <v>12.11327</v>
      </c>
      <c r="J367" s="411">
        <v>0</v>
      </c>
      <c r="K367" s="411">
        <v>0</v>
      </c>
      <c r="L367" s="526" t="e">
        <v>#N/A</v>
      </c>
      <c r="M367" s="409" t="s">
        <v>586</v>
      </c>
      <c r="N367" s="195">
        <v>348.86219999999997</v>
      </c>
    </row>
    <row r="368" spans="1:14" ht="15" x14ac:dyDescent="0.25">
      <c r="A368" s="410">
        <v>224154</v>
      </c>
      <c r="B368" t="str">
        <f t="shared" si="13"/>
        <v>SEVROLL 03748 spodná krycia lišta Simple/Blue 2,5m (pre lamino 10mm) strieborná</v>
      </c>
      <c r="C368" s="198">
        <f t="shared" si="12"/>
        <v>16.255890000000001</v>
      </c>
      <c r="D368" s="526" t="s">
        <v>3145</v>
      </c>
      <c r="E368" s="526" t="s">
        <v>4416</v>
      </c>
      <c r="F368" s="526" t="s">
        <v>4417</v>
      </c>
      <c r="G368" s="526" t="s">
        <v>4418</v>
      </c>
      <c r="H368" s="412">
        <v>445.2525</v>
      </c>
      <c r="I368" s="411">
        <v>16.255890000000001</v>
      </c>
      <c r="J368" s="411">
        <v>57.107480000000002</v>
      </c>
      <c r="K368" s="411">
        <v>6314.49</v>
      </c>
      <c r="L368" s="526" t="s">
        <v>554</v>
      </c>
      <c r="M368" s="409" t="s">
        <v>586</v>
      </c>
      <c r="N368" s="195">
        <v>349.029</v>
      </c>
    </row>
    <row r="369" spans="1:14" ht="15" x14ac:dyDescent="0.25">
      <c r="A369" s="410">
        <v>228221</v>
      </c>
      <c r="B369" t="str">
        <f t="shared" si="13"/>
        <v>SEVROLL Universal 16 úchytová lišta 2,7m str</v>
      </c>
      <c r="C369" s="198">
        <f t="shared" si="12"/>
        <v>15.84304</v>
      </c>
      <c r="D369" s="526" t="s">
        <v>3176</v>
      </c>
      <c r="E369" s="526" t="s">
        <v>4419</v>
      </c>
      <c r="F369" s="526" t="s">
        <v>1114</v>
      </c>
      <c r="G369" s="526" t="s">
        <v>4420</v>
      </c>
      <c r="H369" s="412">
        <v>438.67844000000002</v>
      </c>
      <c r="I369" s="411">
        <v>15.84304</v>
      </c>
      <c r="J369" s="411">
        <v>55.712400000000002</v>
      </c>
      <c r="K369" s="411">
        <v>6031.0394900000001</v>
      </c>
      <c r="L369" s="526" t="s">
        <v>554</v>
      </c>
      <c r="M369" s="409" t="s">
        <v>586</v>
      </c>
      <c r="N369" s="195">
        <v>349.51549999999997</v>
      </c>
    </row>
    <row r="370" spans="1:14" ht="15" x14ac:dyDescent="0.25">
      <c r="A370" s="410">
        <v>84389</v>
      </c>
      <c r="B370" t="str">
        <f t="shared" si="13"/>
        <v>SEVROLL Elegant II spodné vedenie 3m zlatá</v>
      </c>
      <c r="C370" s="198">
        <f t="shared" si="12"/>
        <v>18.191120000000002</v>
      </c>
      <c r="D370" s="526" t="s">
        <v>2767</v>
      </c>
      <c r="E370" s="526" t="s">
        <v>4421</v>
      </c>
      <c r="F370" s="526" t="s">
        <v>4422</v>
      </c>
      <c r="G370" s="526" t="s">
        <v>4423</v>
      </c>
      <c r="H370" s="412">
        <v>503.6943</v>
      </c>
      <c r="I370" s="411">
        <v>18.191120000000002</v>
      </c>
      <c r="J370" s="411">
        <v>68.931600000000003</v>
      </c>
      <c r="K370" s="411">
        <v>6924.8906999999999</v>
      </c>
      <c r="L370" s="526" t="s">
        <v>553</v>
      </c>
      <c r="M370" s="409" t="s">
        <v>586</v>
      </c>
      <c r="N370" s="195">
        <v>350.82209999999998</v>
      </c>
    </row>
    <row r="371" spans="1:14" ht="15" x14ac:dyDescent="0.25">
      <c r="A371" s="415">
        <v>279081</v>
      </c>
      <c r="B371" t="e">
        <f t="shared" si="13"/>
        <v>#N/A</v>
      </c>
      <c r="C371" s="198" t="e">
        <f t="shared" si="12"/>
        <v>#N/A</v>
      </c>
      <c r="D371" s="526" t="e">
        <v>#N/A</v>
      </c>
      <c r="E371" s="526" t="e">
        <v>#N/A</v>
      </c>
      <c r="F371" s="526" t="e">
        <v>#N/A</v>
      </c>
      <c r="G371" s="526" t="e">
        <v>#N/A</v>
      </c>
      <c r="H371" s="412" t="e">
        <v>#N/A</v>
      </c>
      <c r="I371" s="411" t="e">
        <v>#N/A</v>
      </c>
      <c r="J371" s="411" t="e">
        <v>#N/A</v>
      </c>
      <c r="K371" s="411" t="e">
        <v>#N/A</v>
      </c>
      <c r="L371" s="526" t="e">
        <v>#N/A</v>
      </c>
      <c r="M371" s="416" t="s">
        <v>587</v>
      </c>
      <c r="N371" s="195">
        <v>352.13148000000001</v>
      </c>
    </row>
    <row r="372" spans="1:14" ht="15" x14ac:dyDescent="0.25">
      <c r="A372" s="410">
        <v>224012</v>
      </c>
      <c r="B372" t="str">
        <f t="shared" si="13"/>
        <v>SEVROLL Simple horné vedenie 2,5m strieborná</v>
      </c>
      <c r="C372" s="198">
        <f t="shared" si="12"/>
        <v>17.739560000000001</v>
      </c>
      <c r="D372" s="526" t="s">
        <v>3109</v>
      </c>
      <c r="E372" s="526" t="s">
        <v>4424</v>
      </c>
      <c r="F372" s="526" t="s">
        <v>4425</v>
      </c>
      <c r="G372" s="526" t="s">
        <v>4426</v>
      </c>
      <c r="H372" s="412">
        <v>486.24400000000003</v>
      </c>
      <c r="I372" s="411">
        <v>17.739560000000001</v>
      </c>
      <c r="J372" s="411">
        <v>65.697199999999995</v>
      </c>
      <c r="K372" s="411">
        <v>6890.8127000000004</v>
      </c>
      <c r="L372" s="526" t="s">
        <v>554</v>
      </c>
      <c r="M372" s="409" t="s">
        <v>586</v>
      </c>
      <c r="N372" s="195">
        <v>354.28320000000002</v>
      </c>
    </row>
    <row r="373" spans="1:14" ht="15" x14ac:dyDescent="0.25">
      <c r="A373" s="410">
        <v>96427</v>
      </c>
      <c r="B373" t="str">
        <f t="shared" si="13"/>
        <v>SEVROLL 04377 Fox II úchytová lišta 2,7m oliva</v>
      </c>
      <c r="C373" s="198">
        <f t="shared" si="12"/>
        <v>20.616599999999998</v>
      </c>
      <c r="D373" s="526" t="s">
        <v>2805</v>
      </c>
      <c r="E373" s="526" t="s">
        <v>4427</v>
      </c>
      <c r="F373" s="526" t="s">
        <v>2805</v>
      </c>
      <c r="G373" s="526" t="s">
        <v>4428</v>
      </c>
      <c r="H373" s="412">
        <v>570.85353999999995</v>
      </c>
      <c r="I373" s="411">
        <v>20.616599999999998</v>
      </c>
      <c r="J373" s="411">
        <v>70.060599999999994</v>
      </c>
      <c r="K373" s="411">
        <v>7848.20939</v>
      </c>
      <c r="L373" s="526" t="s">
        <v>553</v>
      </c>
      <c r="M373" s="409" t="s">
        <v>586</v>
      </c>
      <c r="N373" s="195">
        <v>356.70179999999999</v>
      </c>
    </row>
    <row r="374" spans="1:14" ht="15" x14ac:dyDescent="0.25">
      <c r="A374" s="410">
        <v>96428</v>
      </c>
      <c r="B374" t="str">
        <f t="shared" si="13"/>
        <v>SEVROLL Fox úchytová lišta 2,7m zlatá</v>
      </c>
      <c r="C374" s="198">
        <f t="shared" si="12"/>
        <v>20.616599999999998</v>
      </c>
      <c r="D374" s="526" t="s">
        <v>2806</v>
      </c>
      <c r="E374" s="526" t="s">
        <v>4429</v>
      </c>
      <c r="F374" s="526" t="s">
        <v>4430</v>
      </c>
      <c r="G374" s="526" t="s">
        <v>4431</v>
      </c>
      <c r="H374" s="412">
        <v>570.85353999999995</v>
      </c>
      <c r="I374" s="411">
        <v>20.616599999999998</v>
      </c>
      <c r="J374" s="411">
        <v>70.060599999999994</v>
      </c>
      <c r="K374" s="411">
        <v>7848.20939</v>
      </c>
      <c r="L374" s="526" t="s">
        <v>554</v>
      </c>
      <c r="M374" s="409" t="s">
        <v>586</v>
      </c>
      <c r="N374" s="195">
        <v>356.70179999999999</v>
      </c>
    </row>
    <row r="375" spans="1:14" ht="15" x14ac:dyDescent="0.25">
      <c r="A375" s="410">
        <v>84390</v>
      </c>
      <c r="B375" t="str">
        <f t="shared" si="13"/>
        <v>SEVROLL 04275 Elegant II spodné vedenie  3m oliva</v>
      </c>
      <c r="C375" s="198">
        <f t="shared" si="12"/>
        <v>18.191120000000002</v>
      </c>
      <c r="D375" s="526" t="s">
        <v>2768</v>
      </c>
      <c r="E375" s="526" t="s">
        <v>4432</v>
      </c>
      <c r="F375" s="526" t="s">
        <v>4433</v>
      </c>
      <c r="G375" s="526" t="s">
        <v>4434</v>
      </c>
      <c r="H375" s="412">
        <v>503.6943</v>
      </c>
      <c r="I375" s="411">
        <v>18.191120000000002</v>
      </c>
      <c r="J375" s="411">
        <v>68.931600000000003</v>
      </c>
      <c r="K375" s="411">
        <v>6924.8906999999999</v>
      </c>
      <c r="L375" s="526" t="s">
        <v>553</v>
      </c>
      <c r="M375" s="409" t="s">
        <v>586</v>
      </c>
      <c r="N375" s="195">
        <v>358.00839999999999</v>
      </c>
    </row>
    <row r="376" spans="1:14" ht="15" x14ac:dyDescent="0.25">
      <c r="A376" s="410">
        <v>180412</v>
      </c>
      <c r="B376" t="str">
        <f t="shared" si="13"/>
        <v>SEVROLL Maxim II spodné vedenie 2,5m str.</v>
      </c>
      <c r="C376" s="198" t="e">
        <f t="shared" si="12"/>
        <v>#N/A</v>
      </c>
      <c r="D376" s="526" t="s">
        <v>2940</v>
      </c>
      <c r="E376" s="526" t="s">
        <v>4435</v>
      </c>
      <c r="F376" s="526" t="s">
        <v>1254</v>
      </c>
      <c r="G376" s="526" t="s">
        <v>4436</v>
      </c>
      <c r="H376" s="412" t="e">
        <v>#N/A</v>
      </c>
      <c r="I376" s="411" t="e">
        <v>#N/A</v>
      </c>
      <c r="J376" s="411" t="e">
        <v>#N/A</v>
      </c>
      <c r="K376" s="411" t="e">
        <v>#N/A</v>
      </c>
      <c r="L376" s="526" t="e">
        <v>#N/A</v>
      </c>
      <c r="M376" s="409" t="s">
        <v>586</v>
      </c>
      <c r="N376" s="195">
        <v>359.315</v>
      </c>
    </row>
    <row r="377" spans="1:14" ht="15" x14ac:dyDescent="0.25">
      <c r="A377" s="410">
        <v>89028</v>
      </c>
      <c r="B377" t="str">
        <f t="shared" si="13"/>
        <v>SEVROLL 01246 Single horné vedenie 1,7m oliva</v>
      </c>
      <c r="C377" s="198">
        <f t="shared" si="12"/>
        <v>18.087900000000001</v>
      </c>
      <c r="D377" s="526" t="s">
        <v>2750</v>
      </c>
      <c r="E377" s="526" t="s">
        <v>4437</v>
      </c>
      <c r="F377" s="526" t="s">
        <v>4438</v>
      </c>
      <c r="G377" s="526" t="s">
        <v>4439</v>
      </c>
      <c r="H377" s="412">
        <v>477.41604999999998</v>
      </c>
      <c r="I377" s="411">
        <v>18.087900000000001</v>
      </c>
      <c r="J377" s="411">
        <v>62.236049999999999</v>
      </c>
      <c r="K377" s="411">
        <v>6660.84807</v>
      </c>
      <c r="L377" s="526" t="s">
        <v>554</v>
      </c>
      <c r="M377" s="409" t="s">
        <v>586</v>
      </c>
      <c r="N377" s="195">
        <v>359.315</v>
      </c>
    </row>
    <row r="378" spans="1:14" ht="15" x14ac:dyDescent="0.25">
      <c r="A378" s="410">
        <v>349798</v>
      </c>
      <c r="B378" t="str">
        <f t="shared" si="13"/>
        <v>SEVROLL 04466 Blue horné vedenie  2m oliva</v>
      </c>
      <c r="C378" s="198">
        <f t="shared" si="12"/>
        <v>18.707180000000001</v>
      </c>
      <c r="D378" s="526" t="s">
        <v>3417</v>
      </c>
      <c r="E378" s="526" t="s">
        <v>4440</v>
      </c>
      <c r="F378" s="526" t="s">
        <v>4441</v>
      </c>
      <c r="G378" s="526" t="s">
        <v>4442</v>
      </c>
      <c r="H378" s="412">
        <v>512.39374999999995</v>
      </c>
      <c r="I378" s="411">
        <v>18.707180000000001</v>
      </c>
      <c r="J378" s="411">
        <v>63.289290000000001</v>
      </c>
      <c r="K378" s="411">
        <v>7266.6750000000002</v>
      </c>
      <c r="L378" s="526" t="s">
        <v>553</v>
      </c>
      <c r="M378" s="409" t="s">
        <v>586</v>
      </c>
      <c r="N378" s="195">
        <v>360.28800000000001</v>
      </c>
    </row>
    <row r="379" spans="1:14" ht="15" x14ac:dyDescent="0.25">
      <c r="A379" s="410">
        <v>163128</v>
      </c>
      <c r="B379" t="str">
        <f t="shared" si="13"/>
        <v>SEVROLL 02868 Doubler II maska 6m strieborná</v>
      </c>
      <c r="C379" s="198">
        <f t="shared" si="12"/>
        <v>16.410710000000002</v>
      </c>
      <c r="D379" s="526" t="s">
        <v>2921</v>
      </c>
      <c r="E379" s="526" t="s">
        <v>4443</v>
      </c>
      <c r="F379" s="526" t="s">
        <v>4444</v>
      </c>
      <c r="G379" s="526" t="s">
        <v>4445</v>
      </c>
      <c r="H379" s="412">
        <v>454.39656000000002</v>
      </c>
      <c r="I379" s="411">
        <v>16.410710000000002</v>
      </c>
      <c r="J379" s="411">
        <v>57.7014</v>
      </c>
      <c r="K379" s="411">
        <v>6247.1355100000001</v>
      </c>
      <c r="L379" s="526" t="s">
        <v>554</v>
      </c>
      <c r="M379" s="409" t="s">
        <v>586</v>
      </c>
      <c r="N379" s="195">
        <v>361.2749</v>
      </c>
    </row>
    <row r="380" spans="1:14" ht="15" x14ac:dyDescent="0.25">
      <c r="A380" s="410">
        <v>135532</v>
      </c>
      <c r="B380" t="str">
        <f t="shared" si="13"/>
        <v>SEVROLL 05544 Victoria II úchytová lišta 18mm 2,7m strieborná</v>
      </c>
      <c r="C380" s="198">
        <f t="shared" si="12"/>
        <v>16.359100000000002</v>
      </c>
      <c r="D380" s="526" t="s">
        <v>2890</v>
      </c>
      <c r="E380" s="526" t="s">
        <v>4446</v>
      </c>
      <c r="F380" s="526" t="s">
        <v>4447</v>
      </c>
      <c r="G380" s="526" t="s">
        <v>4448</v>
      </c>
      <c r="H380" s="412">
        <v>452.96764000000002</v>
      </c>
      <c r="I380" s="411">
        <v>16.359100000000002</v>
      </c>
      <c r="J380" s="411">
        <v>58.884599999999999</v>
      </c>
      <c r="K380" s="411">
        <v>6227.4902899999997</v>
      </c>
      <c r="L380" s="526" t="s">
        <v>553</v>
      </c>
      <c r="M380" s="409" t="s">
        <v>586</v>
      </c>
      <c r="N380" s="195">
        <v>361.2749</v>
      </c>
    </row>
    <row r="381" spans="1:14" ht="15" x14ac:dyDescent="0.25">
      <c r="A381" s="410">
        <v>349816</v>
      </c>
      <c r="B381" t="str">
        <f t="shared" si="13"/>
        <v>SEVROLL 04493 Blue-V spodné vedenie  4m oliva</v>
      </c>
      <c r="C381" s="198">
        <f t="shared" si="12"/>
        <v>19.997330000000002</v>
      </c>
      <c r="D381" s="526" t="s">
        <v>3433</v>
      </c>
      <c r="E381" s="526" t="s">
        <v>4449</v>
      </c>
      <c r="F381" s="526" t="s">
        <v>4450</v>
      </c>
      <c r="G381" s="526" t="s">
        <v>4451</v>
      </c>
      <c r="H381" s="412">
        <v>547.73125000000005</v>
      </c>
      <c r="I381" s="411">
        <v>19.997330000000002</v>
      </c>
      <c r="J381" s="411">
        <v>73.594700000000003</v>
      </c>
      <c r="K381" s="411">
        <v>7767.8249999999998</v>
      </c>
      <c r="L381" s="526" t="s">
        <v>553</v>
      </c>
      <c r="M381" s="409" t="s">
        <v>586</v>
      </c>
      <c r="N381" s="195">
        <v>361.78919999999999</v>
      </c>
    </row>
    <row r="382" spans="1:14" ht="15" x14ac:dyDescent="0.25">
      <c r="A382" s="410">
        <v>276742</v>
      </c>
      <c r="B382" t="str">
        <f t="shared" si="13"/>
        <v>SEVROLL 04556 Faworyt II úchytová lišta 2,7m biela mat</v>
      </c>
      <c r="C382" s="198">
        <f t="shared" si="12"/>
        <v>16.22184</v>
      </c>
      <c r="D382" s="526" t="s">
        <v>3241</v>
      </c>
      <c r="E382" s="526" t="s">
        <v>4452</v>
      </c>
      <c r="F382" s="526" t="s">
        <v>4453</v>
      </c>
      <c r="G382" s="526" t="s">
        <v>4454</v>
      </c>
      <c r="H382" s="412">
        <v>449.39533999999998</v>
      </c>
      <c r="I382" s="411">
        <v>16.22184</v>
      </c>
      <c r="J382" s="411">
        <v>60.088200000000001</v>
      </c>
      <c r="K382" s="411">
        <v>6175.2344300000004</v>
      </c>
      <c r="L382" s="526" t="s">
        <v>553</v>
      </c>
      <c r="M382" s="409" t="s">
        <v>586</v>
      </c>
      <c r="N382" s="195">
        <v>362.58150000000001</v>
      </c>
    </row>
    <row r="383" spans="1:14" ht="15" x14ac:dyDescent="0.25">
      <c r="A383" s="410">
        <v>135553</v>
      </c>
      <c r="B383" t="str">
        <f t="shared" si="13"/>
        <v>SEVROLL 02740 Minicomfort II úchytová lišta 2,7m oliva</v>
      </c>
      <c r="C383" s="198">
        <f t="shared" si="12"/>
        <v>19.69286</v>
      </c>
      <c r="D383" s="526" t="s">
        <v>2894</v>
      </c>
      <c r="E383" s="526" t="s">
        <v>4455</v>
      </c>
      <c r="F383" s="526" t="s">
        <v>2894</v>
      </c>
      <c r="G383" s="526" t="s">
        <v>4456</v>
      </c>
      <c r="H383" s="412">
        <v>545.13297999999998</v>
      </c>
      <c r="I383" s="411">
        <v>19.69286</v>
      </c>
      <c r="J383" s="411">
        <v>71.002200000000002</v>
      </c>
      <c r="K383" s="411">
        <v>7496.5624100000005</v>
      </c>
      <c r="L383" s="526" t="s">
        <v>554</v>
      </c>
      <c r="M383" s="409" t="s">
        <v>586</v>
      </c>
      <c r="N383" s="195">
        <v>362.58150000000001</v>
      </c>
    </row>
    <row r="384" spans="1:14" ht="15" x14ac:dyDescent="0.25">
      <c r="A384" s="410">
        <v>135344</v>
      </c>
      <c r="B384" t="str">
        <f t="shared" si="13"/>
        <v>SEVROLL Julia II úch.lišta 2,7m strieborná</v>
      </c>
      <c r="C384" s="198">
        <f t="shared" si="12"/>
        <v>17.27769</v>
      </c>
      <c r="D384" s="526" t="s">
        <v>2881</v>
      </c>
      <c r="E384" s="526" t="s">
        <v>4457</v>
      </c>
      <c r="F384" s="526" t="s">
        <v>1260</v>
      </c>
      <c r="G384" s="526" t="s">
        <v>4458</v>
      </c>
      <c r="H384" s="412">
        <v>478.68819999999999</v>
      </c>
      <c r="I384" s="411">
        <v>17.27769</v>
      </c>
      <c r="J384" s="411">
        <v>65.637</v>
      </c>
      <c r="K384" s="411">
        <v>6577.1727600000004</v>
      </c>
      <c r="L384" s="526" t="s">
        <v>553</v>
      </c>
      <c r="M384" s="409" t="s">
        <v>586</v>
      </c>
      <c r="N384" s="195">
        <v>364.54140000000001</v>
      </c>
    </row>
    <row r="385" spans="1:14" ht="15" x14ac:dyDescent="0.25">
      <c r="A385" s="410">
        <v>135366</v>
      </c>
      <c r="B385" t="str">
        <f t="shared" si="13"/>
        <v>SEVROLL ROMEO II ÚCH.LIŠTA 2,7 M STR.</v>
      </c>
      <c r="C385" s="198">
        <f t="shared" si="12"/>
        <v>17.27769</v>
      </c>
      <c r="D385" s="526" t="s">
        <v>2884</v>
      </c>
      <c r="E385" s="526" t="s">
        <v>4459</v>
      </c>
      <c r="F385" s="526" t="s">
        <v>2203</v>
      </c>
      <c r="G385" s="526" t="s">
        <v>4460</v>
      </c>
      <c r="H385" s="412">
        <v>478.68819999999999</v>
      </c>
      <c r="I385" s="411">
        <v>17.27769</v>
      </c>
      <c r="J385" s="411">
        <v>65.637</v>
      </c>
      <c r="K385" s="411">
        <v>6577.1727600000004</v>
      </c>
      <c r="L385" s="526" t="s">
        <v>553</v>
      </c>
      <c r="M385" s="409" t="s">
        <v>586</v>
      </c>
      <c r="N385" s="195">
        <v>364.54140000000001</v>
      </c>
    </row>
    <row r="386" spans="1:14" ht="15" x14ac:dyDescent="0.25">
      <c r="A386" s="410">
        <v>246894</v>
      </c>
      <c r="B386" t="str">
        <f t="shared" si="13"/>
        <v>SEVROLL Oaza II úch. Lišta 2,7m oliva</v>
      </c>
      <c r="C386" s="198">
        <f t="shared" si="12"/>
        <v>16.72034</v>
      </c>
      <c r="D386" s="526" t="s">
        <v>3212</v>
      </c>
      <c r="E386" s="526" t="s">
        <v>4461</v>
      </c>
      <c r="F386" s="526" t="s">
        <v>1247</v>
      </c>
      <c r="G386" s="526" t="s">
        <v>4462</v>
      </c>
      <c r="H386" s="412">
        <v>462.97008</v>
      </c>
      <c r="I386" s="411">
        <v>16.72034</v>
      </c>
      <c r="J386" s="411">
        <v>72.050979999999996</v>
      </c>
      <c r="K386" s="411">
        <v>6365.0057699999998</v>
      </c>
      <c r="L386" s="526" t="s">
        <v>553</v>
      </c>
      <c r="M386" s="409" t="s">
        <v>586</v>
      </c>
      <c r="N386" s="195">
        <v>366.50130000000001</v>
      </c>
    </row>
    <row r="387" spans="1:14" ht="15" x14ac:dyDescent="0.25">
      <c r="A387" s="410">
        <v>308629</v>
      </c>
      <c r="B387" t="str">
        <f t="shared" si="13"/>
        <v>SEVROLL uholník 02462 36x36mm 3m oliva</v>
      </c>
      <c r="C387" s="198">
        <f t="shared" ref="C387:C450" si="14">IF($A$2=1,H387,IF($A$2=2,I387,IF($A$2=3,J387,IF($A$2=4,K387,"zadat jazyk"))))</f>
        <v>17.642810000000001</v>
      </c>
      <c r="D387" s="526" t="s">
        <v>3324</v>
      </c>
      <c r="E387" s="526" t="s">
        <v>4463</v>
      </c>
      <c r="F387" s="526" t="s">
        <v>4464</v>
      </c>
      <c r="G387" s="526" t="s">
        <v>4465</v>
      </c>
      <c r="H387" s="412">
        <v>488.69063999999997</v>
      </c>
      <c r="I387" s="411">
        <v>17.642810000000001</v>
      </c>
      <c r="J387" s="411">
        <v>60.822600000000001</v>
      </c>
      <c r="K387" s="411">
        <v>6716.1620199999998</v>
      </c>
      <c r="L387" s="526" t="s">
        <v>554</v>
      </c>
      <c r="M387" s="409" t="s">
        <v>586</v>
      </c>
      <c r="N387" s="195">
        <v>366.50130000000001</v>
      </c>
    </row>
    <row r="388" spans="1:14" ht="15" x14ac:dyDescent="0.25">
      <c r="A388" s="410">
        <v>216363</v>
      </c>
      <c r="B388" t="str">
        <f t="shared" si="13"/>
        <v>SEVROLL 20356 zámok na posuvné dvere 10/18mm</v>
      </c>
      <c r="C388" s="198">
        <f t="shared" si="14"/>
        <v>15.72176</v>
      </c>
      <c r="D388" s="526" t="s">
        <v>3043</v>
      </c>
      <c r="E388" s="526" t="s">
        <v>4466</v>
      </c>
      <c r="F388" s="526" t="s">
        <v>4467</v>
      </c>
      <c r="G388" s="526" t="s">
        <v>4468</v>
      </c>
      <c r="H388" s="412">
        <v>461.94080000000002</v>
      </c>
      <c r="I388" s="411">
        <v>15.72176</v>
      </c>
      <c r="J388" s="411">
        <v>66.840599999999995</v>
      </c>
      <c r="K388" s="411">
        <v>6107.0138500000003</v>
      </c>
      <c r="L388" s="526" t="s">
        <v>553</v>
      </c>
      <c r="M388" s="409" t="s">
        <v>586</v>
      </c>
      <c r="N388" s="195">
        <v>366.50130000000001</v>
      </c>
    </row>
    <row r="389" spans="1:14" ht="15" x14ac:dyDescent="0.25">
      <c r="A389" s="410">
        <v>180418</v>
      </c>
      <c r="B389" t="str">
        <f t="shared" si="13"/>
        <v>SEVROLL 02891 Maxim II maska 6m strieborná</v>
      </c>
      <c r="C389" s="198" t="e">
        <f t="shared" si="14"/>
        <v>#N/A</v>
      </c>
      <c r="D389" s="526" t="s">
        <v>2944</v>
      </c>
      <c r="E389" s="526" t="s">
        <v>4469</v>
      </c>
      <c r="F389" s="526" t="s">
        <v>4470</v>
      </c>
      <c r="G389" s="526" t="s">
        <v>4471</v>
      </c>
      <c r="H389" s="412" t="e">
        <v>#N/A</v>
      </c>
      <c r="I389" s="411" t="e">
        <v>#N/A</v>
      </c>
      <c r="J389" s="411" t="e">
        <v>#N/A</v>
      </c>
      <c r="K389" s="411" t="e">
        <v>#N/A</v>
      </c>
      <c r="L389" s="526" t="e">
        <v>#N/A</v>
      </c>
      <c r="M389" s="409" t="s">
        <v>586</v>
      </c>
      <c r="N389" s="195">
        <v>367.15460000000002</v>
      </c>
    </row>
    <row r="390" spans="1:14" ht="15" x14ac:dyDescent="0.25">
      <c r="A390" s="410">
        <v>90106</v>
      </c>
      <c r="B390" t="str">
        <f t="shared" si="13"/>
        <v>SEVROLL 04535 Universal 18 úchytová lišta 2,7m strieborná</v>
      </c>
      <c r="C390" s="198">
        <f t="shared" si="14"/>
        <v>16.66874</v>
      </c>
      <c r="D390" s="526" t="s">
        <v>2652</v>
      </c>
      <c r="E390" s="526" t="s">
        <v>4472</v>
      </c>
      <c r="F390" s="526" t="s">
        <v>4473</v>
      </c>
      <c r="G390" s="526" t="s">
        <v>4474</v>
      </c>
      <c r="H390" s="412">
        <v>461.54115999999999</v>
      </c>
      <c r="I390" s="411">
        <v>16.66874</v>
      </c>
      <c r="J390" s="411">
        <v>56.258600000000001</v>
      </c>
      <c r="K390" s="411">
        <v>6345.3609100000003</v>
      </c>
      <c r="L390" s="526" t="s">
        <v>553</v>
      </c>
      <c r="M390" s="409" t="s">
        <v>586</v>
      </c>
      <c r="N390" s="195">
        <v>367.15460000000002</v>
      </c>
    </row>
    <row r="391" spans="1:14" ht="15" x14ac:dyDescent="0.25">
      <c r="A391" s="410">
        <v>349868</v>
      </c>
      <c r="B391" t="str">
        <f t="shared" si="13"/>
        <v>SEVROLL 04488 Blue-C spodné vedenie 6m strieborná</v>
      </c>
      <c r="C391" s="198">
        <f t="shared" si="14"/>
        <v>20.177949999999999</v>
      </c>
      <c r="D391" s="526" t="s">
        <v>3447</v>
      </c>
      <c r="E391" s="526" t="s">
        <v>4475</v>
      </c>
      <c r="F391" s="526" t="s">
        <v>4476</v>
      </c>
      <c r="G391" s="526" t="s">
        <v>4477</v>
      </c>
      <c r="H391" s="412">
        <v>552.67849999999999</v>
      </c>
      <c r="I391" s="411">
        <v>20.177949999999999</v>
      </c>
      <c r="J391" s="411">
        <v>82.766509999999997</v>
      </c>
      <c r="K391" s="411">
        <v>7837.9861499999997</v>
      </c>
      <c r="L391" s="526" t="s">
        <v>554</v>
      </c>
      <c r="M391" s="409" t="s">
        <v>586</v>
      </c>
      <c r="N391" s="195">
        <v>375.3</v>
      </c>
    </row>
    <row r="392" spans="1:14" ht="15" x14ac:dyDescent="0.25">
      <c r="A392" s="410">
        <v>89109</v>
      </c>
      <c r="B392" t="str">
        <f t="shared" si="13"/>
        <v>SEVROLL 01025 Gemini horné vedenie 2,35m strieborná</v>
      </c>
      <c r="C392" s="198">
        <f t="shared" si="14"/>
        <v>19.378050000000002</v>
      </c>
      <c r="D392" s="526" t="s">
        <v>2659</v>
      </c>
      <c r="E392" s="526" t="s">
        <v>4478</v>
      </c>
      <c r="F392" s="526" t="s">
        <v>4479</v>
      </c>
      <c r="G392" s="526" t="s">
        <v>2659</v>
      </c>
      <c r="H392" s="412">
        <v>536.55945999999994</v>
      </c>
      <c r="I392" s="411">
        <v>19.378050000000002</v>
      </c>
      <c r="J392" s="411">
        <v>72.115889999999993</v>
      </c>
      <c r="K392" s="411">
        <v>7376.7276099999999</v>
      </c>
      <c r="L392" s="526" t="s">
        <v>710</v>
      </c>
      <c r="M392" s="409" t="s">
        <v>586</v>
      </c>
      <c r="N392" s="195">
        <v>377.60739999999998</v>
      </c>
    </row>
    <row r="393" spans="1:14" ht="15" x14ac:dyDescent="0.25">
      <c r="A393" s="410">
        <v>135538</v>
      </c>
      <c r="B393" t="str">
        <f t="shared" si="13"/>
        <v>SEVROLL Viktoria II úch.list.18mm 2,7m zlatá</v>
      </c>
      <c r="C393" s="198">
        <f t="shared" si="14"/>
        <v>13.13405</v>
      </c>
      <c r="D393" s="526" t="s">
        <v>2892</v>
      </c>
      <c r="E393" s="526" t="s">
        <v>4480</v>
      </c>
      <c r="F393" s="526" t="s">
        <v>1069</v>
      </c>
      <c r="G393" s="526" t="s">
        <v>4481</v>
      </c>
      <c r="H393" s="412" t="e">
        <v>#N/A</v>
      </c>
      <c r="I393" s="411">
        <v>13.13405</v>
      </c>
      <c r="J393" s="411">
        <v>0</v>
      </c>
      <c r="K393" s="411">
        <v>0</v>
      </c>
      <c r="L393" s="526" t="e">
        <v>#N/A</v>
      </c>
      <c r="M393" s="409" t="s">
        <v>586</v>
      </c>
      <c r="N393" s="195">
        <v>378.26069999999999</v>
      </c>
    </row>
    <row r="394" spans="1:14" ht="15" x14ac:dyDescent="0.25">
      <c r="A394" s="410">
        <v>308657</v>
      </c>
      <c r="B394" t="str">
        <f t="shared" si="13"/>
        <v>SEVROLL 04588 Gemini II spodné vedenie  3m oliva</v>
      </c>
      <c r="C394" s="198">
        <f t="shared" si="14"/>
        <v>18.732980000000001</v>
      </c>
      <c r="D394" s="526" t="s">
        <v>3334</v>
      </c>
      <c r="E394" s="526" t="s">
        <v>4482</v>
      </c>
      <c r="F394" s="526" t="s">
        <v>4483</v>
      </c>
      <c r="G394" s="526" t="s">
        <v>4484</v>
      </c>
      <c r="H394" s="412">
        <v>518.69795999999997</v>
      </c>
      <c r="I394" s="411">
        <v>18.732980000000001</v>
      </c>
      <c r="J394" s="411">
        <v>63.37659</v>
      </c>
      <c r="K394" s="411">
        <v>7131.1641099999997</v>
      </c>
      <c r="L394" s="526" t="s">
        <v>553</v>
      </c>
      <c r="M394" s="409" t="s">
        <v>586</v>
      </c>
      <c r="N394" s="195">
        <v>379.56729999999999</v>
      </c>
    </row>
    <row r="395" spans="1:14" ht="15" x14ac:dyDescent="0.25">
      <c r="A395" s="410">
        <v>252569</v>
      </c>
      <c r="B395" t="str">
        <f t="shared" si="13"/>
        <v>SEVROLL 04554 Faworyt II úchytová lišta 2,7m biela lesk</v>
      </c>
      <c r="C395" s="198">
        <f t="shared" si="14"/>
        <v>16.22184</v>
      </c>
      <c r="D395" s="526" t="s">
        <v>3221</v>
      </c>
      <c r="E395" s="526" t="s">
        <v>4485</v>
      </c>
      <c r="F395" s="526" t="s">
        <v>4486</v>
      </c>
      <c r="G395" s="526" t="s">
        <v>4487</v>
      </c>
      <c r="H395" s="412">
        <v>449.39533999999998</v>
      </c>
      <c r="I395" s="411">
        <v>16.22184</v>
      </c>
      <c r="J395" s="411">
        <v>60.088200000000001</v>
      </c>
      <c r="K395" s="411">
        <v>6175.2344300000004</v>
      </c>
      <c r="L395" s="526" t="s">
        <v>553</v>
      </c>
      <c r="M395" s="409" t="s">
        <v>586</v>
      </c>
      <c r="N395" s="195">
        <v>380.87389999999999</v>
      </c>
    </row>
    <row r="396" spans="1:14" ht="15" x14ac:dyDescent="0.25">
      <c r="A396" s="410">
        <v>135345</v>
      </c>
      <c r="B396" t="str">
        <f t="shared" si="13"/>
        <v>SEVROLL Julia II úch.lišta 2,7m zlatá</v>
      </c>
      <c r="C396" s="198">
        <f t="shared" si="14"/>
        <v>13.655749999999999</v>
      </c>
      <c r="D396" s="526" t="s">
        <v>2882</v>
      </c>
      <c r="E396" s="526" t="s">
        <v>4488</v>
      </c>
      <c r="F396" s="526" t="s">
        <v>1170</v>
      </c>
      <c r="G396" s="526" t="s">
        <v>4489</v>
      </c>
      <c r="H396" s="412" t="e">
        <v>#N/A</v>
      </c>
      <c r="I396" s="411">
        <v>13.655749999999999</v>
      </c>
      <c r="J396" s="411">
        <v>0</v>
      </c>
      <c r="K396" s="411">
        <v>0</v>
      </c>
      <c r="L396" s="526" t="e">
        <v>#N/A</v>
      </c>
      <c r="M396" s="409" t="s">
        <v>586</v>
      </c>
      <c r="N396" s="195">
        <v>381.52719999999999</v>
      </c>
    </row>
    <row r="397" spans="1:14" ht="15" x14ac:dyDescent="0.25">
      <c r="A397" s="410">
        <v>135367</v>
      </c>
      <c r="B397" t="str">
        <f t="shared" si="13"/>
        <v>SEVROLL Romeo II úchytová lišta 2,7m zlatá</v>
      </c>
      <c r="C397" s="198">
        <f t="shared" si="14"/>
        <v>13.655749999999999</v>
      </c>
      <c r="D397" s="526" t="s">
        <v>2885</v>
      </c>
      <c r="E397" s="526" t="s">
        <v>4490</v>
      </c>
      <c r="F397" s="526" t="s">
        <v>1129</v>
      </c>
      <c r="G397" s="526" t="s">
        <v>4491</v>
      </c>
      <c r="H397" s="412" t="e">
        <v>#N/A</v>
      </c>
      <c r="I397" s="411">
        <v>13.655749999999999</v>
      </c>
      <c r="J397" s="411">
        <v>0</v>
      </c>
      <c r="K397" s="411">
        <v>0</v>
      </c>
      <c r="L397" s="526" t="e">
        <v>#N/A</v>
      </c>
      <c r="M397" s="409" t="s">
        <v>586</v>
      </c>
      <c r="N397" s="195">
        <v>381.52719999999999</v>
      </c>
    </row>
    <row r="398" spans="1:14" ht="15" x14ac:dyDescent="0.25">
      <c r="A398" s="415">
        <v>134487</v>
      </c>
      <c r="B398" t="str">
        <f t="shared" si="13"/>
        <v>SEVROLL 50244 Ursus horné vedenie 1,8m surová</v>
      </c>
      <c r="C398" s="198">
        <f t="shared" si="14"/>
        <v>22.52657</v>
      </c>
      <c r="D398" s="526" t="s">
        <v>2865</v>
      </c>
      <c r="E398" s="526" t="s">
        <v>4492</v>
      </c>
      <c r="F398" s="526" t="s">
        <v>4493</v>
      </c>
      <c r="G398" s="526" t="s">
        <v>4494</v>
      </c>
      <c r="H398" s="412" t="e">
        <v>#N/A</v>
      </c>
      <c r="I398" s="411">
        <v>22.52657</v>
      </c>
      <c r="J398" s="411">
        <v>79.193380000000005</v>
      </c>
      <c r="K398" s="411">
        <v>8475.7153999999991</v>
      </c>
      <c r="L398" s="526" t="e">
        <v>#N/A</v>
      </c>
      <c r="M398" s="416" t="s">
        <v>586</v>
      </c>
      <c r="N398" s="195">
        <v>385.57765999999998</v>
      </c>
    </row>
    <row r="399" spans="1:14" ht="15" x14ac:dyDescent="0.25">
      <c r="A399" s="410">
        <v>349799</v>
      </c>
      <c r="B399" t="str">
        <f t="shared" si="13"/>
        <v>SEVROLL 04473 Blue horné vedenie 2,5m strieborná</v>
      </c>
      <c r="C399" s="198">
        <f t="shared" si="14"/>
        <v>18.707180000000001</v>
      </c>
      <c r="D399" s="526" t="s">
        <v>3418</v>
      </c>
      <c r="E399" s="526" t="s">
        <v>4495</v>
      </c>
      <c r="F399" s="526" t="s">
        <v>4496</v>
      </c>
      <c r="G399" s="526" t="s">
        <v>4497</v>
      </c>
      <c r="H399" s="412">
        <v>512.39374999999995</v>
      </c>
      <c r="I399" s="411">
        <v>18.707180000000001</v>
      </c>
      <c r="J399" s="411">
        <v>67.065889999999996</v>
      </c>
      <c r="K399" s="411">
        <v>7266.6750000000002</v>
      </c>
      <c r="L399" s="526" t="s">
        <v>554</v>
      </c>
      <c r="M399" s="409" t="s">
        <v>586</v>
      </c>
      <c r="N399" s="195">
        <v>385.80840000000001</v>
      </c>
    </row>
    <row r="400" spans="1:14" ht="15" x14ac:dyDescent="0.25">
      <c r="A400" s="413">
        <v>248418</v>
      </c>
      <c r="B400" t="e">
        <f t="shared" si="13"/>
        <v>#N/A</v>
      </c>
      <c r="C400" s="198" t="e">
        <f t="shared" si="14"/>
        <v>#N/A</v>
      </c>
      <c r="D400" s="526" t="e">
        <v>#N/A</v>
      </c>
      <c r="E400" s="526" t="e">
        <v>#N/A</v>
      </c>
      <c r="F400" s="526" t="e">
        <v>#N/A</v>
      </c>
      <c r="G400" s="526" t="e">
        <v>#N/A</v>
      </c>
      <c r="H400" s="412" t="e">
        <v>#N/A</v>
      </c>
      <c r="I400" s="411" t="e">
        <v>#N/A</v>
      </c>
      <c r="J400" s="411" t="e">
        <v>#N/A</v>
      </c>
      <c r="K400" s="411" t="e">
        <v>#N/A</v>
      </c>
      <c r="L400" s="526" t="e">
        <v>#N/A</v>
      </c>
      <c r="M400" s="414" t="s">
        <v>586</v>
      </c>
      <c r="N400" s="195">
        <v>387.47640000000001</v>
      </c>
    </row>
    <row r="401" spans="1:14" ht="15" x14ac:dyDescent="0.25">
      <c r="A401" s="415">
        <v>308673</v>
      </c>
      <c r="B401" t="str">
        <f t="shared" si="13"/>
        <v>SEVROLL02676 Hide M dolné vedenie 6m strieborná</v>
      </c>
      <c r="C401" s="198">
        <f t="shared" si="14"/>
        <v>17.391220000000001</v>
      </c>
      <c r="D401" s="526" t="s">
        <v>3339</v>
      </c>
      <c r="E401" s="526" t="s">
        <v>4498</v>
      </c>
      <c r="F401" s="526" t="s">
        <v>4499</v>
      </c>
      <c r="G401" s="526" t="s">
        <v>4500</v>
      </c>
      <c r="H401" s="412">
        <v>459.02769999999998</v>
      </c>
      <c r="I401" s="411">
        <v>17.391220000000001</v>
      </c>
      <c r="J401" s="411">
        <v>59.838949999999997</v>
      </c>
      <c r="K401" s="411">
        <v>6404.2961599999999</v>
      </c>
      <c r="L401" s="526" t="s">
        <v>554</v>
      </c>
      <c r="M401" s="416" t="s">
        <v>586</v>
      </c>
      <c r="N401" s="195">
        <v>388.1019</v>
      </c>
    </row>
    <row r="402" spans="1:14" ht="15" x14ac:dyDescent="0.25">
      <c r="A402" s="410">
        <v>284974</v>
      </c>
      <c r="B402" t="str">
        <f t="shared" si="13"/>
        <v>SEVROLL Maxim II spodné vedenie 2,5m oliva</v>
      </c>
      <c r="C402" s="198" t="e">
        <f t="shared" si="14"/>
        <v>#N/A</v>
      </c>
      <c r="D402" s="526" t="s">
        <v>3293</v>
      </c>
      <c r="E402" s="526" t="s">
        <v>4501</v>
      </c>
      <c r="F402" s="526" t="s">
        <v>1154</v>
      </c>
      <c r="G402" s="526" t="s">
        <v>4502</v>
      </c>
      <c r="H402" s="412" t="e">
        <v>#N/A</v>
      </c>
      <c r="I402" s="411" t="e">
        <v>#N/A</v>
      </c>
      <c r="J402" s="411" t="e">
        <v>#N/A</v>
      </c>
      <c r="K402" s="411" t="e">
        <v>#N/A</v>
      </c>
      <c r="L402" s="526" t="e">
        <v>#N/A</v>
      </c>
      <c r="M402" s="409" t="s">
        <v>586</v>
      </c>
      <c r="N402" s="195">
        <v>394.59320000000002</v>
      </c>
    </row>
    <row r="403" spans="1:14" ht="15" x14ac:dyDescent="0.25">
      <c r="A403" s="410">
        <v>276730</v>
      </c>
      <c r="B403" t="str">
        <f t="shared" si="13"/>
        <v>SEVROLL 04532 Alfa II úchytová lišta 18mm 2,7m biela lesk</v>
      </c>
      <c r="C403" s="198">
        <f t="shared" si="14"/>
        <v>16.302330000000001</v>
      </c>
      <c r="D403" s="526" t="s">
        <v>3236</v>
      </c>
      <c r="E403" s="526" t="s">
        <v>4503</v>
      </c>
      <c r="F403" s="526" t="s">
        <v>4504</v>
      </c>
      <c r="G403" s="526" t="s">
        <v>4505</v>
      </c>
      <c r="H403" s="412">
        <v>451.53872000000001</v>
      </c>
      <c r="I403" s="411">
        <v>16.302330000000001</v>
      </c>
      <c r="J403" s="411">
        <v>66.463200000000001</v>
      </c>
      <c r="K403" s="411">
        <v>6205.8809199999996</v>
      </c>
      <c r="L403" s="526" t="s">
        <v>553</v>
      </c>
      <c r="M403" s="409" t="s">
        <v>586</v>
      </c>
      <c r="N403" s="195">
        <v>395.89980000000003</v>
      </c>
    </row>
    <row r="404" spans="1:14" ht="15" x14ac:dyDescent="0.25">
      <c r="A404" s="410">
        <v>212762</v>
      </c>
      <c r="B404" t="str">
        <f t="shared" si="13"/>
        <v>SEVROLL Line spodné vedenie 2m alu surová</v>
      </c>
      <c r="C404" s="198">
        <f t="shared" si="14"/>
        <v>17.700859999999999</v>
      </c>
      <c r="D404" s="526" t="s">
        <v>3019</v>
      </c>
      <c r="E404" s="526" t="s">
        <v>4506</v>
      </c>
      <c r="F404" s="526" t="s">
        <v>1163</v>
      </c>
      <c r="G404" s="526" t="s">
        <v>4507</v>
      </c>
      <c r="H404" s="412">
        <v>490.11955999999998</v>
      </c>
      <c r="I404" s="411">
        <v>17.700859999999999</v>
      </c>
      <c r="J404" s="411">
        <v>62.423999999999999</v>
      </c>
      <c r="K404" s="411">
        <v>6738.2625099999996</v>
      </c>
      <c r="L404" s="526" t="s">
        <v>554</v>
      </c>
      <c r="M404" s="409" t="s">
        <v>586</v>
      </c>
      <c r="N404" s="195">
        <v>397.20639999999997</v>
      </c>
    </row>
    <row r="405" spans="1:14" ht="15" x14ac:dyDescent="0.25">
      <c r="A405" s="410">
        <v>135534</v>
      </c>
      <c r="B405" t="str">
        <f t="shared" si="13"/>
        <v>SEVROLL 04542 Victoria II úchytová lišta 18mm 2,7m oliva</v>
      </c>
      <c r="C405" s="198">
        <f t="shared" si="14"/>
        <v>20.448879999999999</v>
      </c>
      <c r="D405" s="526" t="s">
        <v>2891</v>
      </c>
      <c r="E405" s="526" t="s">
        <v>4508</v>
      </c>
      <c r="F405" s="526" t="s">
        <v>2891</v>
      </c>
      <c r="G405" s="526" t="s">
        <v>4509</v>
      </c>
      <c r="H405" s="412">
        <v>566.56677999999999</v>
      </c>
      <c r="I405" s="411">
        <v>20.448879999999999</v>
      </c>
      <c r="J405" s="411">
        <v>69.193200000000004</v>
      </c>
      <c r="K405" s="411">
        <v>7784.3631500000001</v>
      </c>
      <c r="L405" s="526" t="s">
        <v>553</v>
      </c>
      <c r="M405" s="409" t="s">
        <v>586</v>
      </c>
      <c r="N405" s="195">
        <v>397.20639999999997</v>
      </c>
    </row>
    <row r="406" spans="1:14" ht="15" x14ac:dyDescent="0.25">
      <c r="A406" s="410">
        <v>163134</v>
      </c>
      <c r="B406" t="str">
        <f t="shared" si="13"/>
        <v>SEVROLL 02863 Doubler II maska 6m oliva</v>
      </c>
      <c r="C406" s="198">
        <f t="shared" si="14"/>
        <v>19.971520000000002</v>
      </c>
      <c r="D406" s="526" t="s">
        <v>2926</v>
      </c>
      <c r="E406" s="526" t="s">
        <v>4510</v>
      </c>
      <c r="F406" s="526" t="s">
        <v>2926</v>
      </c>
      <c r="G406" s="526" t="s">
        <v>4511</v>
      </c>
      <c r="H406" s="412">
        <v>552.99203999999997</v>
      </c>
      <c r="I406" s="411">
        <v>19.971520000000002</v>
      </c>
      <c r="J406" s="411">
        <v>67.808899999999994</v>
      </c>
      <c r="K406" s="411">
        <v>7602.6458899999998</v>
      </c>
      <c r="L406" s="526" t="s">
        <v>554</v>
      </c>
      <c r="M406" s="409" t="s">
        <v>586</v>
      </c>
      <c r="N406" s="195">
        <v>397.85969999999998</v>
      </c>
    </row>
    <row r="407" spans="1:14" ht="15" x14ac:dyDescent="0.25">
      <c r="A407" s="410">
        <v>135342</v>
      </c>
      <c r="B407" t="str">
        <f t="shared" si="13"/>
        <v>SEVROLL Julia II úch.lišta 2,7m oliva</v>
      </c>
      <c r="C407" s="198">
        <f t="shared" si="14"/>
        <v>21.597110000000001</v>
      </c>
      <c r="D407" s="526" t="s">
        <v>2880</v>
      </c>
      <c r="E407" s="526" t="s">
        <v>4512</v>
      </c>
      <c r="F407" s="526" t="s">
        <v>1261</v>
      </c>
      <c r="G407" s="526" t="s">
        <v>4513</v>
      </c>
      <c r="H407" s="412">
        <v>598.00301999999999</v>
      </c>
      <c r="I407" s="411">
        <v>21.597110000000001</v>
      </c>
      <c r="J407" s="411">
        <v>72.893100000000004</v>
      </c>
      <c r="K407" s="411">
        <v>8221.4661300000007</v>
      </c>
      <c r="L407" s="526" t="s">
        <v>553</v>
      </c>
      <c r="M407" s="409" t="s">
        <v>586</v>
      </c>
      <c r="N407" s="195">
        <v>400.47289999999998</v>
      </c>
    </row>
    <row r="408" spans="1:14" ht="15" x14ac:dyDescent="0.25">
      <c r="A408" s="410">
        <v>135365</v>
      </c>
      <c r="B408" t="str">
        <f t="shared" si="13"/>
        <v>SEVROLL Romeo II úch.lišta 2,7m oliva</v>
      </c>
      <c r="C408" s="198">
        <f t="shared" si="14"/>
        <v>22.11317</v>
      </c>
      <c r="D408" s="526" t="s">
        <v>2883</v>
      </c>
      <c r="E408" s="526" t="s">
        <v>4514</v>
      </c>
      <c r="F408" s="526" t="s">
        <v>1236</v>
      </c>
      <c r="G408" s="526" t="s">
        <v>4515</v>
      </c>
      <c r="H408" s="412">
        <v>612.29222000000004</v>
      </c>
      <c r="I408" s="411">
        <v>22.11317</v>
      </c>
      <c r="J408" s="411">
        <v>75.016199999999998</v>
      </c>
      <c r="K408" s="411">
        <v>8417.9169299999994</v>
      </c>
      <c r="L408" s="526" t="s">
        <v>553</v>
      </c>
      <c r="M408" s="409" t="s">
        <v>586</v>
      </c>
      <c r="N408" s="195">
        <v>400.47289999999998</v>
      </c>
    </row>
    <row r="409" spans="1:14" ht="15" x14ac:dyDescent="0.25">
      <c r="A409" s="410">
        <v>224157</v>
      </c>
      <c r="B409" t="str">
        <f t="shared" si="13"/>
        <v>SEVROLL 03753 spodná krycia lišta Simple/Blue 2,5m (pre lamino 10mm) oliva</v>
      </c>
      <c r="C409" s="198" t="e">
        <f t="shared" si="14"/>
        <v>#N/A</v>
      </c>
      <c r="D409" s="526" t="s">
        <v>3148</v>
      </c>
      <c r="E409" s="526" t="s">
        <v>4516</v>
      </c>
      <c r="F409" s="526" t="s">
        <v>4517</v>
      </c>
      <c r="G409" s="526" t="s">
        <v>4518</v>
      </c>
      <c r="H409" s="412" t="e">
        <v>#N/A</v>
      </c>
      <c r="I409" s="411" t="e">
        <v>#N/A</v>
      </c>
      <c r="J409" s="411" t="e">
        <v>#N/A</v>
      </c>
      <c r="K409" s="411" t="e">
        <v>#N/A</v>
      </c>
      <c r="L409" s="526" t="e">
        <v>#N/A</v>
      </c>
      <c r="M409" s="409" t="s">
        <v>586</v>
      </c>
      <c r="N409" s="195">
        <v>400.82040000000001</v>
      </c>
    </row>
    <row r="410" spans="1:14" ht="15" x14ac:dyDescent="0.25">
      <c r="A410" s="410">
        <v>90105</v>
      </c>
      <c r="B410" t="str">
        <f t="shared" si="13"/>
        <v>SEVROLL 04534 Universal 18 úchytová lišta 2,7m oliva</v>
      </c>
      <c r="C410" s="198">
        <f t="shared" si="14"/>
        <v>20.835920000000002</v>
      </c>
      <c r="D410" s="526" t="s">
        <v>3513</v>
      </c>
      <c r="E410" s="526" t="s">
        <v>4519</v>
      </c>
      <c r="F410" s="526" t="s">
        <v>3513</v>
      </c>
      <c r="G410" s="526" t="s">
        <v>4520</v>
      </c>
      <c r="H410" s="412">
        <v>576.92645000000005</v>
      </c>
      <c r="I410" s="411">
        <v>20.835920000000002</v>
      </c>
      <c r="J410" s="411">
        <v>70.316999999999993</v>
      </c>
      <c r="K410" s="411">
        <v>7931.7012500000001</v>
      </c>
      <c r="L410" s="526" t="s">
        <v>553</v>
      </c>
      <c r="M410" s="409" t="s">
        <v>586</v>
      </c>
      <c r="N410" s="195">
        <v>402.43279999999999</v>
      </c>
    </row>
    <row r="411" spans="1:14" ht="15" x14ac:dyDescent="0.25">
      <c r="A411" s="415">
        <v>223507</v>
      </c>
      <c r="B411" t="str">
        <f t="shared" si="13"/>
        <v>SEVROLL Herkules 2 horné vedenie 1,5m alu</v>
      </c>
      <c r="C411" s="198" t="e">
        <f t="shared" si="14"/>
        <v>#N/A</v>
      </c>
      <c r="D411" s="526" t="s">
        <v>3075</v>
      </c>
      <c r="E411" s="526" t="s">
        <v>4521</v>
      </c>
      <c r="F411" s="526" t="s">
        <v>4522</v>
      </c>
      <c r="G411" s="526" t="s">
        <v>4523</v>
      </c>
      <c r="H411" s="412" t="e">
        <v>#N/A</v>
      </c>
      <c r="I411" s="411" t="e">
        <v>#N/A</v>
      </c>
      <c r="J411" s="411" t="e">
        <v>#N/A</v>
      </c>
      <c r="K411" s="411" t="e">
        <v>#N/A</v>
      </c>
      <c r="L411" s="526" t="e">
        <v>#N/A</v>
      </c>
      <c r="M411" s="416" t="s">
        <v>586</v>
      </c>
      <c r="N411" s="195">
        <v>403.24734000000001</v>
      </c>
    </row>
    <row r="412" spans="1:14" ht="15" x14ac:dyDescent="0.25">
      <c r="A412" s="410">
        <v>224120</v>
      </c>
      <c r="B412" t="str">
        <f t="shared" si="13"/>
        <v>SEVROLL Simple horné vedenie 2,5m oliva</v>
      </c>
      <c r="C412" s="198" t="e">
        <f t="shared" si="14"/>
        <v>#N/A</v>
      </c>
      <c r="D412" s="526" t="s">
        <v>3119</v>
      </c>
      <c r="E412" s="526" t="s">
        <v>4524</v>
      </c>
      <c r="F412" s="526" t="s">
        <v>4525</v>
      </c>
      <c r="G412" s="526" t="s">
        <v>4526</v>
      </c>
      <c r="H412" s="412" t="e">
        <v>#N/A</v>
      </c>
      <c r="I412" s="411" t="e">
        <v>#N/A</v>
      </c>
      <c r="J412" s="411" t="e">
        <v>#N/A</v>
      </c>
      <c r="K412" s="411" t="e">
        <v>#N/A</v>
      </c>
      <c r="L412" s="526" t="e">
        <v>#N/A</v>
      </c>
      <c r="M412" s="409" t="s">
        <v>586</v>
      </c>
      <c r="N412" s="195">
        <v>407.57580000000002</v>
      </c>
    </row>
    <row r="413" spans="1:14" ht="15" x14ac:dyDescent="0.25">
      <c r="A413" s="410">
        <v>349869</v>
      </c>
      <c r="B413" t="str">
        <f t="shared" si="13"/>
        <v>SEVROLL 04482 Blue-C spodné vedenie 6m oliva</v>
      </c>
      <c r="C413" s="198">
        <f t="shared" si="14"/>
        <v>23.738759999999999</v>
      </c>
      <c r="D413" s="526" t="s">
        <v>3448</v>
      </c>
      <c r="E413" s="526" t="s">
        <v>4527</v>
      </c>
      <c r="F413" s="526" t="s">
        <v>4528</v>
      </c>
      <c r="G413" s="526" t="s">
        <v>4529</v>
      </c>
      <c r="H413" s="412">
        <v>650.21</v>
      </c>
      <c r="I413" s="411">
        <v>23.738759999999999</v>
      </c>
      <c r="J413" s="411">
        <v>92.095640000000003</v>
      </c>
      <c r="K413" s="411">
        <v>9221.16</v>
      </c>
      <c r="L413" s="526" t="s">
        <v>554</v>
      </c>
      <c r="M413" s="409" t="s">
        <v>586</v>
      </c>
      <c r="N413" s="195">
        <v>409.82760000000002</v>
      </c>
    </row>
    <row r="414" spans="1:14" ht="15" x14ac:dyDescent="0.25">
      <c r="A414" s="410">
        <v>98072</v>
      </c>
      <c r="B414" t="str">
        <f t="shared" si="13"/>
        <v>SEVROLL Gemini Gemini-2 úchytová lišta 2,7m</v>
      </c>
      <c r="C414" s="198">
        <f t="shared" si="14"/>
        <v>23.416219999999999</v>
      </c>
      <c r="D414" s="526" t="s">
        <v>2801</v>
      </c>
      <c r="E414" s="526" t="s">
        <v>4530</v>
      </c>
      <c r="F414" s="526" t="s">
        <v>1187</v>
      </c>
      <c r="G414" s="526" t="s">
        <v>4531</v>
      </c>
      <c r="H414" s="412">
        <v>648.72968000000003</v>
      </c>
      <c r="I414" s="411">
        <v>23.416219999999999</v>
      </c>
      <c r="J414" s="411">
        <v>86.852999999999994</v>
      </c>
      <c r="K414" s="411">
        <v>8913.9552500000009</v>
      </c>
      <c r="L414" s="526" t="s">
        <v>554</v>
      </c>
      <c r="M414" s="409" t="s">
        <v>586</v>
      </c>
      <c r="N414" s="195">
        <v>414.19220000000001</v>
      </c>
    </row>
    <row r="415" spans="1:14" ht="15" x14ac:dyDescent="0.25">
      <c r="A415" s="410">
        <v>98075</v>
      </c>
      <c r="B415" t="str">
        <f t="shared" si="13"/>
        <v>SEVROLL System 10 II úchytová lišta 2,7m zlatá</v>
      </c>
      <c r="C415" s="198">
        <f t="shared" si="14"/>
        <v>23.32591</v>
      </c>
      <c r="D415" s="526" t="s">
        <v>2804</v>
      </c>
      <c r="E415" s="526" t="s">
        <v>4532</v>
      </c>
      <c r="F415" s="526" t="s">
        <v>1121</v>
      </c>
      <c r="G415" s="526" t="s">
        <v>4533</v>
      </c>
      <c r="H415" s="412">
        <v>645.87184000000002</v>
      </c>
      <c r="I415" s="411">
        <v>23.32591</v>
      </c>
      <c r="J415" s="411">
        <v>82.701599999999999</v>
      </c>
      <c r="K415" s="411">
        <v>8879.5760900000005</v>
      </c>
      <c r="L415" s="526" t="s">
        <v>554</v>
      </c>
      <c r="M415" s="409" t="s">
        <v>586</v>
      </c>
      <c r="N415" s="195">
        <v>414.19220000000001</v>
      </c>
    </row>
    <row r="416" spans="1:14" ht="15" x14ac:dyDescent="0.25">
      <c r="A416" s="410">
        <v>205160</v>
      </c>
      <c r="B416" t="str">
        <f t="shared" si="13"/>
        <v>SEVROLL 03104 spojovacia lišta H10 3m oliva tmavá kartáčovaná</v>
      </c>
      <c r="C416" s="198">
        <f t="shared" si="14"/>
        <v>21.44229</v>
      </c>
      <c r="D416" s="526" t="s">
        <v>2993</v>
      </c>
      <c r="E416" s="526" t="s">
        <v>4534</v>
      </c>
      <c r="F416" s="526" t="s">
        <v>4535</v>
      </c>
      <c r="G416" s="526" t="s">
        <v>4536</v>
      </c>
      <c r="H416" s="412">
        <v>593.71626000000003</v>
      </c>
      <c r="I416" s="411">
        <v>21.44229</v>
      </c>
      <c r="J416" s="411">
        <v>72.378100000000003</v>
      </c>
      <c r="K416" s="411">
        <v>8162.5308100000002</v>
      </c>
      <c r="L416" s="526" t="s">
        <v>554</v>
      </c>
      <c r="M416" s="409" t="s">
        <v>586</v>
      </c>
      <c r="N416" s="195">
        <v>416.80540000000002</v>
      </c>
    </row>
    <row r="417" spans="1:14" ht="15" x14ac:dyDescent="0.25">
      <c r="A417" s="410">
        <v>89255</v>
      </c>
      <c r="B417" t="str">
        <f t="shared" si="13"/>
        <v>SEVROLL spodná krycia lišta 2,35m 10mm zlatá</v>
      </c>
      <c r="C417" s="198">
        <f t="shared" si="14"/>
        <v>24.51285</v>
      </c>
      <c r="D417" s="526" t="s">
        <v>2705</v>
      </c>
      <c r="E417" s="526" t="s">
        <v>4537</v>
      </c>
      <c r="F417" s="526" t="s">
        <v>4538</v>
      </c>
      <c r="G417" s="526" t="s">
        <v>4539</v>
      </c>
      <c r="H417" s="412">
        <v>678.73699999999997</v>
      </c>
      <c r="I417" s="411">
        <v>24.51285</v>
      </c>
      <c r="J417" s="411">
        <v>83.0655</v>
      </c>
      <c r="K417" s="411">
        <v>9331.4130000000005</v>
      </c>
      <c r="L417" s="526" t="s">
        <v>554</v>
      </c>
      <c r="M417" s="409" t="s">
        <v>586</v>
      </c>
      <c r="N417" s="195">
        <v>424.64499999999998</v>
      </c>
    </row>
    <row r="418" spans="1:14" ht="15" x14ac:dyDescent="0.25">
      <c r="A418" s="410">
        <v>98062</v>
      </c>
      <c r="B418" t="str">
        <f t="shared" si="13"/>
        <v>SEVROLL Prince 01 úchytová lišta 2,7m strieborná</v>
      </c>
      <c r="C418" s="198">
        <f t="shared" si="14"/>
        <v>21.958349999999999</v>
      </c>
      <c r="D418" s="526" t="s">
        <v>2796</v>
      </c>
      <c r="E418" s="526" t="s">
        <v>4540</v>
      </c>
      <c r="F418" s="526" t="s">
        <v>4541</v>
      </c>
      <c r="G418" s="526" t="s">
        <v>4542</v>
      </c>
      <c r="H418" s="412">
        <v>608.00545999999997</v>
      </c>
      <c r="I418" s="411">
        <v>21.958349999999999</v>
      </c>
      <c r="J418" s="411">
        <v>74.534199999999998</v>
      </c>
      <c r="K418" s="411">
        <v>8358.9816100000007</v>
      </c>
      <c r="L418" s="526" t="s">
        <v>554</v>
      </c>
      <c r="M418" s="409" t="s">
        <v>586</v>
      </c>
      <c r="N418" s="195">
        <v>424.70337999999998</v>
      </c>
    </row>
    <row r="419" spans="1:14" ht="15" x14ac:dyDescent="0.25">
      <c r="A419" s="410">
        <v>163107</v>
      </c>
      <c r="B419" t="str">
        <f t="shared" si="13"/>
        <v>SEVROLL Doubler II spodné vedenie 2,35m str.</v>
      </c>
      <c r="C419" s="198">
        <f t="shared" si="14"/>
        <v>19.868310000000001</v>
      </c>
      <c r="D419" s="526" t="s">
        <v>2909</v>
      </c>
      <c r="E419" s="526" t="s">
        <v>4543</v>
      </c>
      <c r="F419" s="526" t="s">
        <v>1281</v>
      </c>
      <c r="G419" s="526" t="s">
        <v>4544</v>
      </c>
      <c r="H419" s="412">
        <v>550.13419999999996</v>
      </c>
      <c r="I419" s="411">
        <v>19.868310000000001</v>
      </c>
      <c r="J419" s="411">
        <v>73.745999999999995</v>
      </c>
      <c r="K419" s="411">
        <v>7563.3558000000003</v>
      </c>
      <c r="L419" s="526" t="s">
        <v>553</v>
      </c>
      <c r="M419" s="409" t="s">
        <v>586</v>
      </c>
      <c r="N419" s="195">
        <v>425.29829999999998</v>
      </c>
    </row>
    <row r="420" spans="1:14" ht="15" x14ac:dyDescent="0.25">
      <c r="A420" s="410">
        <v>349800</v>
      </c>
      <c r="B420" t="str">
        <f t="shared" si="13"/>
        <v>SEVROLL 04467 Blue horné vedenie 2,5m oliva</v>
      </c>
      <c r="C420" s="198">
        <f t="shared" si="14"/>
        <v>23.383980000000001</v>
      </c>
      <c r="D420" s="526" t="s">
        <v>3419</v>
      </c>
      <c r="E420" s="526" t="s">
        <v>4545</v>
      </c>
      <c r="F420" s="526" t="s">
        <v>4546</v>
      </c>
      <c r="G420" s="526" t="s">
        <v>4547</v>
      </c>
      <c r="H420" s="412">
        <v>640.31550000000004</v>
      </c>
      <c r="I420" s="411">
        <v>23.383980000000001</v>
      </c>
      <c r="J420" s="411">
        <v>79.111639999999994</v>
      </c>
      <c r="K420" s="411">
        <v>9083.3438499999993</v>
      </c>
      <c r="L420" s="526" t="s">
        <v>554</v>
      </c>
      <c r="M420" s="409" t="s">
        <v>586</v>
      </c>
      <c r="N420" s="195">
        <v>425.59019999999998</v>
      </c>
    </row>
    <row r="421" spans="1:14" ht="15" x14ac:dyDescent="0.25">
      <c r="A421" s="410">
        <v>224013</v>
      </c>
      <c r="B421" t="str">
        <f t="shared" si="13"/>
        <v>SEVROLL Simple horné vedene 3m strieborná</v>
      </c>
      <c r="C421" s="198">
        <f t="shared" si="14"/>
        <v>21.287479999999999</v>
      </c>
      <c r="D421" s="526" t="s">
        <v>3110</v>
      </c>
      <c r="E421" s="526" t="s">
        <v>4548</v>
      </c>
      <c r="F421" s="526" t="s">
        <v>4549</v>
      </c>
      <c r="G421" s="526" t="s">
        <v>4550</v>
      </c>
      <c r="H421" s="412">
        <v>583.06875000000002</v>
      </c>
      <c r="I421" s="411">
        <v>21.287479999999999</v>
      </c>
      <c r="J421" s="411">
        <v>78.849220000000003</v>
      </c>
      <c r="K421" s="411">
        <v>8268.9750000000004</v>
      </c>
      <c r="L421" s="526" t="s">
        <v>554</v>
      </c>
      <c r="M421" s="409" t="s">
        <v>586</v>
      </c>
      <c r="N421" s="195">
        <v>425.59019999999998</v>
      </c>
    </row>
    <row r="422" spans="1:14" ht="15" x14ac:dyDescent="0.25">
      <c r="A422" s="410">
        <v>102832</v>
      </c>
      <c r="B422" t="str">
        <f t="shared" si="13"/>
        <v>SEVROLL SPOJ.LIŠTA H25 2,5M str.</v>
      </c>
      <c r="C422" s="198">
        <f t="shared" si="14"/>
        <v>19.950659999999999</v>
      </c>
      <c r="D422" s="526" t="s">
        <v>2832</v>
      </c>
      <c r="E422" s="526" t="s">
        <v>4551</v>
      </c>
      <c r="F422" s="526" t="s">
        <v>4552</v>
      </c>
      <c r="G422" s="526" t="s">
        <v>4553</v>
      </c>
      <c r="H422" s="412">
        <v>527.26891000000001</v>
      </c>
      <c r="I422" s="411">
        <v>19.950659999999999</v>
      </c>
      <c r="J422" s="411">
        <v>76.725970000000004</v>
      </c>
      <c r="K422" s="411">
        <v>7673.3307699999996</v>
      </c>
      <c r="L422" s="526" t="s">
        <v>555</v>
      </c>
      <c r="M422" s="409" t="s">
        <v>586</v>
      </c>
      <c r="N422" s="195">
        <v>425.95159999999998</v>
      </c>
    </row>
    <row r="423" spans="1:14" ht="15" x14ac:dyDescent="0.25">
      <c r="A423" s="410">
        <v>98058</v>
      </c>
      <c r="B423" t="str">
        <f t="shared" si="13"/>
        <v>SEVROLL 04594 Gemini II spodné vedenie  4,05m strieborná</v>
      </c>
      <c r="C423" s="198">
        <f t="shared" si="14"/>
        <v>19.112290000000002</v>
      </c>
      <c r="D423" s="526" t="s">
        <v>2794</v>
      </c>
      <c r="E423" s="526" t="s">
        <v>4554</v>
      </c>
      <c r="F423" s="526" t="s">
        <v>4555</v>
      </c>
      <c r="G423" s="526" t="s">
        <v>4556</v>
      </c>
      <c r="H423" s="412">
        <v>529.41485999999998</v>
      </c>
      <c r="I423" s="411">
        <v>19.112290000000002</v>
      </c>
      <c r="J423" s="411">
        <v>71.187690000000003</v>
      </c>
      <c r="K423" s="411">
        <v>7275.5554300000003</v>
      </c>
      <c r="L423" s="526" t="s">
        <v>553</v>
      </c>
      <c r="M423" s="409" t="s">
        <v>586</v>
      </c>
      <c r="N423" s="195">
        <v>426.60489999999999</v>
      </c>
    </row>
    <row r="424" spans="1:14" ht="15" x14ac:dyDescent="0.25">
      <c r="A424" s="410">
        <v>276739</v>
      </c>
      <c r="B424" t="str">
        <f t="shared" si="13"/>
        <v>SEVROLL 04050 spojovacia lišta H10 3m biela lesk</v>
      </c>
      <c r="C424" s="198">
        <f t="shared" si="14"/>
        <v>15.688219999999999</v>
      </c>
      <c r="D424" s="526" t="s">
        <v>3240</v>
      </c>
      <c r="E424" s="526" t="s">
        <v>4557</v>
      </c>
      <c r="F424" s="526" t="s">
        <v>4558</v>
      </c>
      <c r="G424" s="526" t="s">
        <v>4559</v>
      </c>
      <c r="H424" s="412">
        <v>434.39168000000001</v>
      </c>
      <c r="I424" s="411">
        <v>15.688219999999999</v>
      </c>
      <c r="J424" s="411">
        <v>67.289400000000001</v>
      </c>
      <c r="K424" s="411">
        <v>5972.1041699999996</v>
      </c>
      <c r="L424" s="526" t="s">
        <v>553</v>
      </c>
      <c r="M424" s="409" t="s">
        <v>586</v>
      </c>
      <c r="N424" s="195">
        <v>427.91149999999999</v>
      </c>
    </row>
    <row r="425" spans="1:14" ht="15" x14ac:dyDescent="0.25">
      <c r="A425" s="410">
        <v>205170</v>
      </c>
      <c r="B425" t="str">
        <f t="shared" ref="B425:B488" si="15">IF($A$2=1,D425,IF($A$2=2,F425,IF($A$2=3,G425,IF($A$2=4,E425,"zadat jazyk"))))</f>
        <v>SEVROLL 03094 spodná krycia lišta 1,7m 10mm oliva tmavá kartáčovaná</v>
      </c>
      <c r="C425" s="198">
        <f t="shared" si="14"/>
        <v>22.08737</v>
      </c>
      <c r="D425" s="526" t="s">
        <v>3003</v>
      </c>
      <c r="E425" s="526" t="s">
        <v>4560</v>
      </c>
      <c r="F425" s="526" t="s">
        <v>4561</v>
      </c>
      <c r="G425" s="526" t="s">
        <v>4562</v>
      </c>
      <c r="H425" s="412">
        <v>611.57776000000001</v>
      </c>
      <c r="I425" s="411">
        <v>22.08737</v>
      </c>
      <c r="J425" s="411">
        <v>75.418800000000005</v>
      </c>
      <c r="K425" s="411">
        <v>8408.0943100000004</v>
      </c>
      <c r="L425" s="526" t="s">
        <v>554</v>
      </c>
      <c r="M425" s="409" t="s">
        <v>586</v>
      </c>
      <c r="N425" s="195">
        <v>429.21809999999999</v>
      </c>
    </row>
    <row r="426" spans="1:14" ht="15" x14ac:dyDescent="0.25">
      <c r="A426" s="415">
        <v>225358</v>
      </c>
      <c r="B426" t="str">
        <f t="shared" si="15"/>
        <v>SEVROLL Exclusive horné vedenie 1,8m oliva</v>
      </c>
      <c r="C426" s="198">
        <f t="shared" si="14"/>
        <v>23.506530000000001</v>
      </c>
      <c r="D426" s="526" t="s">
        <v>3152</v>
      </c>
      <c r="E426" s="526" t="s">
        <v>4563</v>
      </c>
      <c r="F426" s="526" t="s">
        <v>1199</v>
      </c>
      <c r="G426" s="526" t="s">
        <v>4564</v>
      </c>
      <c r="H426" s="412">
        <v>620.43655000000001</v>
      </c>
      <c r="I426" s="411">
        <v>23.506530000000001</v>
      </c>
      <c r="J426" s="411">
        <v>80.880240000000001</v>
      </c>
      <c r="K426" s="411">
        <v>8656.2519300000004</v>
      </c>
      <c r="L426" s="526" t="s">
        <v>554</v>
      </c>
      <c r="M426" s="416" t="s">
        <v>586</v>
      </c>
      <c r="N426" s="195">
        <v>430.38292000000001</v>
      </c>
    </row>
    <row r="427" spans="1:14" ht="15" x14ac:dyDescent="0.25">
      <c r="A427" s="410">
        <v>98071</v>
      </c>
      <c r="B427" t="str">
        <f t="shared" si="15"/>
        <v>SEVROLL Gemini-2 úch.lišta 2,7m oliva</v>
      </c>
      <c r="C427" s="198">
        <f t="shared" si="14"/>
        <v>23.416219999999999</v>
      </c>
      <c r="D427" s="526" t="s">
        <v>2800</v>
      </c>
      <c r="E427" s="526" t="s">
        <v>4565</v>
      </c>
      <c r="F427" s="526" t="s">
        <v>1271</v>
      </c>
      <c r="G427" s="526" t="s">
        <v>4566</v>
      </c>
      <c r="H427" s="412">
        <v>648.72968000000003</v>
      </c>
      <c r="I427" s="411">
        <v>23.416219999999999</v>
      </c>
      <c r="J427" s="411">
        <v>86.852999999999994</v>
      </c>
      <c r="K427" s="411">
        <v>8913.9552500000009</v>
      </c>
      <c r="L427" s="526" t="s">
        <v>553</v>
      </c>
      <c r="M427" s="409" t="s">
        <v>586</v>
      </c>
      <c r="N427" s="195">
        <v>431.8313</v>
      </c>
    </row>
    <row r="428" spans="1:14" ht="15" x14ac:dyDescent="0.25">
      <c r="A428" s="410">
        <v>98074</v>
      </c>
      <c r="B428" t="str">
        <f t="shared" si="15"/>
        <v>SEVROLL System 10 II úch.lišta 2,7m oliva</v>
      </c>
      <c r="C428" s="198">
        <f t="shared" si="14"/>
        <v>23.32591</v>
      </c>
      <c r="D428" s="526" t="s">
        <v>2803</v>
      </c>
      <c r="E428" s="526" t="s">
        <v>4567</v>
      </c>
      <c r="F428" s="526" t="s">
        <v>1227</v>
      </c>
      <c r="G428" s="526" t="s">
        <v>4568</v>
      </c>
      <c r="H428" s="412">
        <v>645.87184000000002</v>
      </c>
      <c r="I428" s="411">
        <v>23.32591</v>
      </c>
      <c r="J428" s="411">
        <v>82.701599999999999</v>
      </c>
      <c r="K428" s="411">
        <v>8879.5760900000005</v>
      </c>
      <c r="L428" s="526" t="s">
        <v>553</v>
      </c>
      <c r="M428" s="409" t="s">
        <v>586</v>
      </c>
      <c r="N428" s="195">
        <v>435.09780000000001</v>
      </c>
    </row>
    <row r="429" spans="1:14" ht="15" x14ac:dyDescent="0.25">
      <c r="A429" s="410">
        <v>351517</v>
      </c>
      <c r="B429" t="str">
        <f t="shared" si="15"/>
        <v>SEVROLL 04762 Gemini II spodné vedenie 3m biela lesk</v>
      </c>
      <c r="C429" s="198">
        <f t="shared" si="14"/>
        <v>18.415610000000001</v>
      </c>
      <c r="D429" s="526" t="s">
        <v>3457</v>
      </c>
      <c r="E429" s="526" t="s">
        <v>4569</v>
      </c>
      <c r="F429" s="526" t="s">
        <v>4570</v>
      </c>
      <c r="G429" s="526" t="s">
        <v>4571</v>
      </c>
      <c r="H429" s="412">
        <v>510.12443999999999</v>
      </c>
      <c r="I429" s="411">
        <v>18.415610000000001</v>
      </c>
      <c r="J429" s="411">
        <v>73.929599999999994</v>
      </c>
      <c r="K429" s="411">
        <v>7010.3467000000001</v>
      </c>
      <c r="L429" s="526" t="s">
        <v>554</v>
      </c>
      <c r="M429" s="409" t="s">
        <v>586</v>
      </c>
      <c r="N429" s="195">
        <v>436.40440000000001</v>
      </c>
    </row>
    <row r="430" spans="1:14" ht="15" x14ac:dyDescent="0.25">
      <c r="A430" s="410">
        <v>205161</v>
      </c>
      <c r="B430" t="str">
        <f t="shared" si="15"/>
        <v>SEVROLL spoj.lišta H10 3m čierna kartáč</v>
      </c>
      <c r="C430" s="198">
        <f t="shared" si="14"/>
        <v>21.44229</v>
      </c>
      <c r="D430" s="526" t="s">
        <v>2994</v>
      </c>
      <c r="E430" s="526" t="s">
        <v>4572</v>
      </c>
      <c r="F430" s="526" t="s">
        <v>1232</v>
      </c>
      <c r="G430" s="526" t="s">
        <v>4573</v>
      </c>
      <c r="H430" s="412">
        <v>593.71626000000003</v>
      </c>
      <c r="I430" s="411">
        <v>21.44229</v>
      </c>
      <c r="J430" s="411">
        <v>72.378100000000003</v>
      </c>
      <c r="K430" s="411">
        <v>8162.5308100000002</v>
      </c>
      <c r="L430" s="526" t="s">
        <v>553</v>
      </c>
      <c r="M430" s="409" t="s">
        <v>586</v>
      </c>
      <c r="N430" s="195">
        <v>437.71100000000001</v>
      </c>
    </row>
    <row r="431" spans="1:14" ht="15" x14ac:dyDescent="0.25">
      <c r="A431" s="410">
        <v>121028</v>
      </c>
      <c r="B431" t="str">
        <f t="shared" si="15"/>
        <v>SEVROLL SPOJ.LIŠTA "H 10" 3M OLIVA kartáčovaná</v>
      </c>
      <c r="C431" s="198">
        <f t="shared" si="14"/>
        <v>21.44229</v>
      </c>
      <c r="D431" s="526" t="s">
        <v>2854</v>
      </c>
      <c r="E431" s="526" t="s">
        <v>4574</v>
      </c>
      <c r="F431" s="526" t="s">
        <v>4575</v>
      </c>
      <c r="G431" s="526" t="s">
        <v>4576</v>
      </c>
      <c r="H431" s="412">
        <v>593.71626000000003</v>
      </c>
      <c r="I431" s="411">
        <v>21.44229</v>
      </c>
      <c r="J431" s="411">
        <v>72.378100000000003</v>
      </c>
      <c r="K431" s="411">
        <v>8162.5308100000002</v>
      </c>
      <c r="L431" s="526" t="s">
        <v>553</v>
      </c>
      <c r="M431" s="409" t="s">
        <v>586</v>
      </c>
      <c r="N431" s="195">
        <v>437.71100000000001</v>
      </c>
    </row>
    <row r="432" spans="1:14" ht="15" x14ac:dyDescent="0.25">
      <c r="A432" s="410">
        <v>102835</v>
      </c>
      <c r="B432" t="str">
        <f t="shared" si="15"/>
        <v>SEVROLL 02023 Maxim horné vedenie 1,8m strieborná</v>
      </c>
      <c r="C432" s="198">
        <f t="shared" si="14"/>
        <v>19.496089999999999</v>
      </c>
      <c r="D432" s="526" t="s">
        <v>2835</v>
      </c>
      <c r="E432" s="526" t="s">
        <v>4577</v>
      </c>
      <c r="F432" s="526" t="s">
        <v>4578</v>
      </c>
      <c r="G432" s="526" t="s">
        <v>4579</v>
      </c>
      <c r="H432" s="412" t="e">
        <v>#N/A</v>
      </c>
      <c r="I432" s="411">
        <v>19.496089999999999</v>
      </c>
      <c r="J432" s="411">
        <v>70.135199999999998</v>
      </c>
      <c r="K432" s="411">
        <v>7498.4953999999998</v>
      </c>
      <c r="L432" s="526" t="e">
        <v>#N/A</v>
      </c>
      <c r="M432" s="409" t="s">
        <v>586</v>
      </c>
      <c r="N432" s="195">
        <v>439.67090000000002</v>
      </c>
    </row>
    <row r="433" spans="1:14" ht="15" x14ac:dyDescent="0.25">
      <c r="A433" s="410">
        <v>299761</v>
      </c>
      <c r="B433" t="str">
        <f t="shared" si="15"/>
        <v>SEVROLL Idea sada kovania pre vnútorné dvere 50kg</v>
      </c>
      <c r="C433" s="198">
        <f t="shared" si="14"/>
        <v>19.193549999999998</v>
      </c>
      <c r="D433" s="526" t="s">
        <v>3310</v>
      </c>
      <c r="E433" s="526" t="s">
        <v>4580</v>
      </c>
      <c r="F433" s="526" t="s">
        <v>4581</v>
      </c>
      <c r="G433" s="526" t="s">
        <v>4582</v>
      </c>
      <c r="H433" s="412">
        <v>531.55823999999996</v>
      </c>
      <c r="I433" s="411">
        <v>19.193549999999998</v>
      </c>
      <c r="J433" s="411">
        <v>67.503600000000006</v>
      </c>
      <c r="K433" s="411">
        <v>7306.4966700000004</v>
      </c>
      <c r="L433" s="526" t="s">
        <v>554</v>
      </c>
      <c r="M433" s="409" t="s">
        <v>587</v>
      </c>
      <c r="N433" s="195">
        <v>440.32420000000002</v>
      </c>
    </row>
    <row r="434" spans="1:14" ht="15" x14ac:dyDescent="0.25">
      <c r="A434" s="410">
        <v>328825</v>
      </c>
      <c r="B434" t="str">
        <f t="shared" si="15"/>
        <v>SEVROLL 04445 spojovacia lišta Simple/Blue H28 3m (pre lamino 18mm) strieborná</v>
      </c>
      <c r="C434" s="198">
        <f t="shared" si="14"/>
        <v>19.66189</v>
      </c>
      <c r="D434" s="526" t="s">
        <v>3366</v>
      </c>
      <c r="E434" s="526" t="s">
        <v>4583</v>
      </c>
      <c r="F434" s="526" t="s">
        <v>4584</v>
      </c>
      <c r="G434" s="526" t="s">
        <v>4585</v>
      </c>
      <c r="H434" s="412">
        <v>538.54349999999999</v>
      </c>
      <c r="I434" s="411">
        <v>19.66189</v>
      </c>
      <c r="J434" s="411">
        <v>70.338160000000002</v>
      </c>
      <c r="K434" s="411">
        <v>7637.5261499999997</v>
      </c>
      <c r="L434" s="526" t="s">
        <v>710</v>
      </c>
      <c r="M434" s="409" t="s">
        <v>586</v>
      </c>
      <c r="N434" s="195">
        <v>442.85399999999998</v>
      </c>
    </row>
    <row r="435" spans="1:14" ht="15" x14ac:dyDescent="0.25">
      <c r="A435" s="410">
        <v>163112</v>
      </c>
      <c r="B435" t="str">
        <f t="shared" si="15"/>
        <v>SEVROLL 02845 Doubler II spodné vedenie 2,35m oliva</v>
      </c>
      <c r="C435" s="198">
        <f t="shared" si="14"/>
        <v>24.83539</v>
      </c>
      <c r="D435" s="526" t="s">
        <v>2913</v>
      </c>
      <c r="E435" s="526" t="s">
        <v>4586</v>
      </c>
      <c r="F435" s="526" t="s">
        <v>4587</v>
      </c>
      <c r="G435" s="526" t="s">
        <v>4588</v>
      </c>
      <c r="H435" s="412">
        <v>688.02498000000003</v>
      </c>
      <c r="I435" s="411">
        <v>24.83539</v>
      </c>
      <c r="J435" s="411">
        <v>84.27</v>
      </c>
      <c r="K435" s="411">
        <v>9454.1949499999992</v>
      </c>
      <c r="L435" s="526" t="s">
        <v>554</v>
      </c>
      <c r="M435" s="409" t="s">
        <v>586</v>
      </c>
      <c r="N435" s="195">
        <v>445.55059999999997</v>
      </c>
    </row>
    <row r="436" spans="1:14" ht="15" x14ac:dyDescent="0.25">
      <c r="A436" s="410">
        <v>216341</v>
      </c>
      <c r="B436" t="str">
        <f t="shared" si="15"/>
        <v>SEVROLL Simple spodné vedenie 6m strieborná</v>
      </c>
      <c r="C436" s="198">
        <f t="shared" si="14"/>
        <v>22.396999999999998</v>
      </c>
      <c r="D436" s="526" t="s">
        <v>3036</v>
      </c>
      <c r="E436" s="526" t="s">
        <v>4589</v>
      </c>
      <c r="F436" s="526" t="s">
        <v>1071</v>
      </c>
      <c r="G436" s="526" t="s">
        <v>4590</v>
      </c>
      <c r="H436" s="412">
        <v>613.45899999999995</v>
      </c>
      <c r="I436" s="411">
        <v>22.396999999999998</v>
      </c>
      <c r="J436" s="411">
        <v>82.672120000000007</v>
      </c>
      <c r="K436" s="411">
        <v>8699.9638500000001</v>
      </c>
      <c r="L436" s="526" t="s">
        <v>554</v>
      </c>
      <c r="M436" s="409" t="s">
        <v>586</v>
      </c>
      <c r="N436" s="195">
        <v>451.11059999999998</v>
      </c>
    </row>
    <row r="437" spans="1:14" ht="15" x14ac:dyDescent="0.25">
      <c r="A437" s="413">
        <v>195450</v>
      </c>
      <c r="B437" t="e">
        <f t="shared" si="15"/>
        <v>#N/A</v>
      </c>
      <c r="C437" s="198" t="e">
        <f t="shared" si="14"/>
        <v>#N/A</v>
      </c>
      <c r="D437" s="526" t="e">
        <v>#N/A</v>
      </c>
      <c r="E437" s="526" t="e">
        <v>#N/A</v>
      </c>
      <c r="F437" s="526" t="e">
        <v>#N/A</v>
      </c>
      <c r="G437" s="526" t="e">
        <v>#N/A</v>
      </c>
      <c r="H437" s="412" t="e">
        <v>#N/A</v>
      </c>
      <c r="I437" s="411" t="e">
        <v>#N/A</v>
      </c>
      <c r="J437" s="411" t="e">
        <v>#N/A</v>
      </c>
      <c r="K437" s="411" t="e">
        <v>#N/A</v>
      </c>
      <c r="L437" s="526" t="e">
        <v>#N/A</v>
      </c>
      <c r="M437" s="414" t="s">
        <v>586</v>
      </c>
      <c r="N437" s="195">
        <v>455.57249999999999</v>
      </c>
    </row>
    <row r="438" spans="1:14" ht="15" x14ac:dyDescent="0.25">
      <c r="A438" s="410">
        <v>89108</v>
      </c>
      <c r="B438" t="str">
        <f t="shared" si="15"/>
        <v>SEVROLL 01010 Gemini horné vedenie 2,35m oliva</v>
      </c>
      <c r="C438" s="198">
        <f t="shared" si="14"/>
        <v>24.254819999999999</v>
      </c>
      <c r="D438" s="526" t="s">
        <v>2658</v>
      </c>
      <c r="E438" s="526" t="s">
        <v>4591</v>
      </c>
      <c r="F438" s="526" t="s">
        <v>4592</v>
      </c>
      <c r="G438" s="526" t="s">
        <v>2658</v>
      </c>
      <c r="H438" s="412">
        <v>671.5924</v>
      </c>
      <c r="I438" s="411">
        <v>24.254819999999999</v>
      </c>
      <c r="J438" s="411">
        <v>83.89922</v>
      </c>
      <c r="K438" s="411">
        <v>9233.1875999999993</v>
      </c>
      <c r="L438" s="526" t="s">
        <v>553</v>
      </c>
      <c r="M438" s="409" t="s">
        <v>586</v>
      </c>
      <c r="N438" s="195">
        <v>458.61660000000001</v>
      </c>
    </row>
    <row r="439" spans="1:14" ht="15" x14ac:dyDescent="0.25">
      <c r="A439" s="410">
        <v>89107</v>
      </c>
      <c r="B439" t="str">
        <f t="shared" si="15"/>
        <v>SEVROLL 01032 Gemini horné vedenie 2,35m zlatá</v>
      </c>
      <c r="C439" s="198">
        <f t="shared" si="14"/>
        <v>24.254819999999999</v>
      </c>
      <c r="D439" s="526" t="s">
        <v>2657</v>
      </c>
      <c r="E439" s="526" t="s">
        <v>4593</v>
      </c>
      <c r="F439" s="526" t="s">
        <v>4594</v>
      </c>
      <c r="G439" s="526" t="s">
        <v>2657</v>
      </c>
      <c r="H439" s="412">
        <v>671.5924</v>
      </c>
      <c r="I439" s="411">
        <v>24.254819999999999</v>
      </c>
      <c r="J439" s="411">
        <v>83.89922</v>
      </c>
      <c r="K439" s="411">
        <v>9233.1875999999993</v>
      </c>
      <c r="L439" s="526" t="s">
        <v>553</v>
      </c>
      <c r="M439" s="409" t="s">
        <v>586</v>
      </c>
      <c r="N439" s="195">
        <v>458.61660000000001</v>
      </c>
    </row>
    <row r="440" spans="1:14" ht="15" x14ac:dyDescent="0.25">
      <c r="A440" s="410">
        <v>216620</v>
      </c>
      <c r="B440" t="str">
        <f t="shared" si="15"/>
        <v>SEVROLL Victoria II 2,7m úchytová lišta oliva tmavá kartáčovaná</v>
      </c>
      <c r="C440" s="198">
        <f t="shared" si="14"/>
        <v>23.790369999999999</v>
      </c>
      <c r="D440" s="526" t="s">
        <v>3044</v>
      </c>
      <c r="E440" s="526" t="s">
        <v>4595</v>
      </c>
      <c r="F440" s="526" t="s">
        <v>4596</v>
      </c>
      <c r="G440" s="526" t="s">
        <v>4597</v>
      </c>
      <c r="H440" s="412">
        <v>658.73212000000001</v>
      </c>
      <c r="I440" s="411">
        <v>23.790369999999999</v>
      </c>
      <c r="J440" s="411">
        <v>80.226699999999994</v>
      </c>
      <c r="K440" s="411">
        <v>9056.3820300000007</v>
      </c>
      <c r="L440" s="526" t="s">
        <v>554</v>
      </c>
      <c r="M440" s="409" t="s">
        <v>586</v>
      </c>
      <c r="N440" s="195">
        <v>461.88310000000001</v>
      </c>
    </row>
    <row r="441" spans="1:14" ht="15" x14ac:dyDescent="0.25">
      <c r="A441" s="410">
        <v>102827</v>
      </c>
      <c r="B441" t="str">
        <f t="shared" si="15"/>
        <v>SEVROLL 02804 Maxim spodná krycia lišta 1,8m 18mm strieborná</v>
      </c>
      <c r="C441" s="198">
        <f t="shared" si="14"/>
        <v>20.63252</v>
      </c>
      <c r="D441" s="526" t="s">
        <v>2828</v>
      </c>
      <c r="E441" s="526" t="s">
        <v>4598</v>
      </c>
      <c r="F441" s="526" t="s">
        <v>4599</v>
      </c>
      <c r="G441" s="526" t="s">
        <v>4600</v>
      </c>
      <c r="H441" s="412" t="e">
        <v>#N/A</v>
      </c>
      <c r="I441" s="411">
        <v>20.63252</v>
      </c>
      <c r="J441" s="411">
        <v>74.174400000000006</v>
      </c>
      <c r="K441" s="411">
        <v>7935.5838599999997</v>
      </c>
      <c r="L441" s="526" t="e">
        <v>#N/A</v>
      </c>
      <c r="M441" s="409" t="s">
        <v>586</v>
      </c>
      <c r="N441" s="195">
        <v>464.49630000000002</v>
      </c>
    </row>
    <row r="442" spans="1:14" ht="15" x14ac:dyDescent="0.25">
      <c r="A442" s="410">
        <v>299758</v>
      </c>
      <c r="B442" t="str">
        <f t="shared" si="15"/>
        <v>SEVROLL Idea horné/spodné vedenie 3m strieborná</v>
      </c>
      <c r="C442" s="198">
        <f t="shared" si="14"/>
        <v>22.242190000000001</v>
      </c>
      <c r="D442" s="526" t="s">
        <v>3307</v>
      </c>
      <c r="E442" s="526" t="s">
        <v>4601</v>
      </c>
      <c r="F442" s="526" t="s">
        <v>4602</v>
      </c>
      <c r="G442" s="526" t="s">
        <v>4603</v>
      </c>
      <c r="H442" s="412">
        <v>615.86451999999997</v>
      </c>
      <c r="I442" s="411">
        <v>22.242190000000001</v>
      </c>
      <c r="J442" s="411">
        <v>78.233999999999995</v>
      </c>
      <c r="K442" s="411">
        <v>8467.0296300000009</v>
      </c>
      <c r="L442" s="526" t="s">
        <v>554</v>
      </c>
      <c r="M442" s="409" t="s">
        <v>586</v>
      </c>
      <c r="N442" s="195">
        <v>465.14960000000002</v>
      </c>
    </row>
    <row r="443" spans="1:14" ht="15" x14ac:dyDescent="0.25">
      <c r="A443" s="410">
        <v>238038</v>
      </c>
      <c r="B443" t="str">
        <f t="shared" si="15"/>
        <v>SEVROLL Maxim spojovacia lišta H25 2,5m oliv</v>
      </c>
      <c r="C443" s="198" t="e">
        <f t="shared" si="14"/>
        <v>#N/A</v>
      </c>
      <c r="D443" s="526" t="s">
        <v>3205</v>
      </c>
      <c r="E443" s="526" t="s">
        <v>4604</v>
      </c>
      <c r="F443" s="526" t="s">
        <v>1148</v>
      </c>
      <c r="G443" s="526" t="s">
        <v>4605</v>
      </c>
      <c r="H443" s="412" t="e">
        <v>#N/A</v>
      </c>
      <c r="I443" s="411" t="e">
        <v>#N/A</v>
      </c>
      <c r="J443" s="411" t="e">
        <v>#N/A</v>
      </c>
      <c r="K443" s="411" t="e">
        <v>#N/A</v>
      </c>
      <c r="L443" s="526" t="e">
        <v>#N/A</v>
      </c>
      <c r="M443" s="409" t="s">
        <v>586</v>
      </c>
      <c r="N443" s="195">
        <v>466.45620000000002</v>
      </c>
    </row>
    <row r="444" spans="1:14" ht="15" x14ac:dyDescent="0.25">
      <c r="A444" s="410">
        <v>102822</v>
      </c>
      <c r="B444" t="str">
        <f t="shared" si="15"/>
        <v>SEVROLL Maxim vod. Lišta 2,5m strieborná</v>
      </c>
      <c r="C444" s="198" t="e">
        <f t="shared" si="14"/>
        <v>#N/A</v>
      </c>
      <c r="D444" s="526" t="s">
        <v>2825</v>
      </c>
      <c r="E444" s="526" t="s">
        <v>4606</v>
      </c>
      <c r="F444" s="526" t="s">
        <v>1252</v>
      </c>
      <c r="G444" s="526" t="s">
        <v>4607</v>
      </c>
      <c r="H444" s="412" t="e">
        <v>#N/A</v>
      </c>
      <c r="I444" s="411" t="e">
        <v>#N/A</v>
      </c>
      <c r="J444" s="411" t="e">
        <v>#N/A</v>
      </c>
      <c r="K444" s="411" t="e">
        <v>#N/A</v>
      </c>
      <c r="L444" s="526" t="e">
        <v>#N/A</v>
      </c>
      <c r="M444" s="409" t="s">
        <v>586</v>
      </c>
      <c r="N444" s="195">
        <v>467.10950000000003</v>
      </c>
    </row>
    <row r="445" spans="1:14" ht="15" x14ac:dyDescent="0.25">
      <c r="A445" s="410">
        <v>224121</v>
      </c>
      <c r="B445" t="str">
        <f t="shared" si="15"/>
        <v>SEVROLL Simple horné vedenie 3m oliva</v>
      </c>
      <c r="C445" s="198" t="e">
        <f t="shared" si="14"/>
        <v>#N/A</v>
      </c>
      <c r="D445" s="526" t="s">
        <v>3120</v>
      </c>
      <c r="E445" s="526" t="s">
        <v>4608</v>
      </c>
      <c r="F445" s="526" t="s">
        <v>4609</v>
      </c>
      <c r="G445" s="526" t="s">
        <v>4610</v>
      </c>
      <c r="H445" s="412" t="e">
        <v>#N/A</v>
      </c>
      <c r="I445" s="411" t="e">
        <v>#N/A</v>
      </c>
      <c r="J445" s="411" t="e">
        <v>#N/A</v>
      </c>
      <c r="K445" s="411" t="e">
        <v>#N/A</v>
      </c>
      <c r="L445" s="526" t="e">
        <v>#N/A</v>
      </c>
      <c r="M445" s="409" t="s">
        <v>586</v>
      </c>
      <c r="N445" s="195">
        <v>469.125</v>
      </c>
    </row>
    <row r="446" spans="1:14" ht="15" x14ac:dyDescent="0.25">
      <c r="A446" s="413">
        <v>340614</v>
      </c>
      <c r="B446" t="e">
        <f t="shared" si="15"/>
        <v>#N/A</v>
      </c>
      <c r="C446" s="198" t="e">
        <f t="shared" si="14"/>
        <v>#N/A</v>
      </c>
      <c r="D446" s="526" t="e">
        <v>#N/A</v>
      </c>
      <c r="E446" s="526" t="e">
        <v>#N/A</v>
      </c>
      <c r="F446" s="526" t="e">
        <v>#N/A</v>
      </c>
      <c r="G446" s="526" t="e">
        <v>#N/A</v>
      </c>
      <c r="H446" s="412" t="e">
        <v>#N/A</v>
      </c>
      <c r="I446" s="411" t="e">
        <v>#N/A</v>
      </c>
      <c r="J446" s="411" t="e">
        <v>#N/A</v>
      </c>
      <c r="K446" s="411" t="e">
        <v>#N/A</v>
      </c>
      <c r="L446" s="526" t="e">
        <v>#N/A</v>
      </c>
      <c r="M446" s="414" t="s">
        <v>586</v>
      </c>
      <c r="N446" s="195">
        <v>471.87720000000002</v>
      </c>
    </row>
    <row r="447" spans="1:14" ht="15" x14ac:dyDescent="0.25">
      <c r="A447" s="410">
        <v>135709</v>
      </c>
      <c r="B447" t="str">
        <f t="shared" si="15"/>
        <v>SEVROLL 02718 Comfort 16 II úchytová lišta 2,7m strieborná</v>
      </c>
      <c r="C447" s="198">
        <f t="shared" si="14"/>
        <v>23.563310000000001</v>
      </c>
      <c r="D447" s="526" t="s">
        <v>2900</v>
      </c>
      <c r="E447" s="526" t="s">
        <v>4611</v>
      </c>
      <c r="F447" s="526" t="s">
        <v>4612</v>
      </c>
      <c r="G447" s="526" t="s">
        <v>4613</v>
      </c>
      <c r="H447" s="412">
        <v>652.30197999999996</v>
      </c>
      <c r="I447" s="411">
        <v>23.563310000000001</v>
      </c>
      <c r="J447" s="411">
        <v>92.779200000000003</v>
      </c>
      <c r="K447" s="411">
        <v>8969.9434099999999</v>
      </c>
      <c r="L447" s="526" t="s">
        <v>554</v>
      </c>
      <c r="M447" s="409" t="s">
        <v>586</v>
      </c>
      <c r="N447" s="195">
        <v>473.64249999999998</v>
      </c>
    </row>
    <row r="448" spans="1:14" ht="15" x14ac:dyDescent="0.25">
      <c r="A448" s="410">
        <v>84392</v>
      </c>
      <c r="B448" t="str">
        <f t="shared" si="15"/>
        <v>SEVROLL 04288 Elegant II spodné vedenie 4,05m zlatá</v>
      </c>
      <c r="C448" s="198">
        <f t="shared" si="14"/>
        <v>24.558019999999999</v>
      </c>
      <c r="D448" s="526" t="s">
        <v>2770</v>
      </c>
      <c r="E448" s="526" t="s">
        <v>4614</v>
      </c>
      <c r="F448" s="526" t="s">
        <v>4615</v>
      </c>
      <c r="G448" s="526" t="s">
        <v>4616</v>
      </c>
      <c r="H448" s="412">
        <v>680.16592000000003</v>
      </c>
      <c r="I448" s="411">
        <v>24.558019999999999</v>
      </c>
      <c r="J448" s="411">
        <v>93.075000000000003</v>
      </c>
      <c r="K448" s="411">
        <v>9348.6025699999991</v>
      </c>
      <c r="L448" s="526" t="s">
        <v>553</v>
      </c>
      <c r="M448" s="409" t="s">
        <v>586</v>
      </c>
      <c r="N448" s="195">
        <v>473.64249999999998</v>
      </c>
    </row>
    <row r="449" spans="1:14" ht="15" x14ac:dyDescent="0.25">
      <c r="A449" s="413">
        <v>157353</v>
      </c>
      <c r="B449" t="e">
        <f t="shared" si="15"/>
        <v>#N/A</v>
      </c>
      <c r="C449" s="198" t="e">
        <f t="shared" si="14"/>
        <v>#N/A</v>
      </c>
      <c r="D449" s="526" t="e">
        <v>#N/A</v>
      </c>
      <c r="E449" s="526" t="e">
        <v>#N/A</v>
      </c>
      <c r="F449" s="526" t="e">
        <v>#N/A</v>
      </c>
      <c r="G449" s="526" t="e">
        <v>#N/A</v>
      </c>
      <c r="H449" s="412" t="e">
        <v>#N/A</v>
      </c>
      <c r="I449" s="411" t="e">
        <v>#N/A</v>
      </c>
      <c r="J449" s="411" t="e">
        <v>#N/A</v>
      </c>
      <c r="K449" s="411" t="e">
        <v>#N/A</v>
      </c>
      <c r="L449" s="526" t="e">
        <v>#N/A</v>
      </c>
      <c r="M449" s="414" t="s">
        <v>586</v>
      </c>
      <c r="N449" s="195">
        <v>473.79539999999997</v>
      </c>
    </row>
    <row r="450" spans="1:14" ht="15" x14ac:dyDescent="0.25">
      <c r="A450" s="410">
        <v>89032</v>
      </c>
      <c r="B450" t="str">
        <f t="shared" si="15"/>
        <v>SEVROLL 01256 Single horné vedenie 2,35m strieborná</v>
      </c>
      <c r="C450" s="198">
        <f t="shared" si="14"/>
        <v>20.487580000000001</v>
      </c>
      <c r="D450" s="526" t="s">
        <v>2753</v>
      </c>
      <c r="E450" s="526" t="s">
        <v>4617</v>
      </c>
      <c r="F450" s="526" t="s">
        <v>4618</v>
      </c>
      <c r="G450" s="526" t="s">
        <v>2753</v>
      </c>
      <c r="H450" s="412">
        <v>540.75369999999998</v>
      </c>
      <c r="I450" s="411">
        <v>20.487580000000001</v>
      </c>
      <c r="J450" s="411">
        <v>70.492769999999993</v>
      </c>
      <c r="K450" s="411">
        <v>7544.52693</v>
      </c>
      <c r="L450" s="526" t="s">
        <v>553</v>
      </c>
      <c r="M450" s="409" t="s">
        <v>586</v>
      </c>
      <c r="N450" s="195">
        <v>474.29579999999999</v>
      </c>
    </row>
    <row r="451" spans="1:14" ht="15" x14ac:dyDescent="0.25">
      <c r="A451" s="413">
        <v>195453</v>
      </c>
      <c r="B451" t="e">
        <f t="shared" si="15"/>
        <v>#N/A</v>
      </c>
      <c r="C451" s="198" t="e">
        <f t="shared" ref="C451:C505" si="16">IF($A$2=1,H451,IF($A$2=2,I451,IF($A$2=3,J451,IF($A$2=4,K451,"zadat jazyk"))))</f>
        <v>#N/A</v>
      </c>
      <c r="D451" s="526" t="e">
        <v>#N/A</v>
      </c>
      <c r="E451" s="526" t="e">
        <v>#N/A</v>
      </c>
      <c r="F451" s="526" t="e">
        <v>#N/A</v>
      </c>
      <c r="G451" s="526" t="e">
        <v>#N/A</v>
      </c>
      <c r="H451" s="412" t="e">
        <v>#N/A</v>
      </c>
      <c r="I451" s="411" t="e">
        <v>#N/A</v>
      </c>
      <c r="J451" s="411" t="e">
        <v>#N/A</v>
      </c>
      <c r="K451" s="411" t="e">
        <v>#N/A</v>
      </c>
      <c r="L451" s="526" t="e">
        <v>#N/A</v>
      </c>
      <c r="M451" s="414" t="s">
        <v>586</v>
      </c>
      <c r="N451" s="195">
        <v>474.75450000000001</v>
      </c>
    </row>
    <row r="452" spans="1:14" ht="15" x14ac:dyDescent="0.25">
      <c r="A452" s="410">
        <v>318662</v>
      </c>
      <c r="B452" t="str">
        <f t="shared" si="15"/>
        <v>SEVROLL 20368-SV tlmič dorazu Mini SV25 (14-25kg)</v>
      </c>
      <c r="C452" s="198">
        <f t="shared" si="16"/>
        <v>22.75825</v>
      </c>
      <c r="D452" s="526" t="s">
        <v>4619</v>
      </c>
      <c r="E452" s="526" t="s">
        <v>4620</v>
      </c>
      <c r="F452" s="526" t="s">
        <v>4621</v>
      </c>
      <c r="G452" s="526" t="s">
        <v>4622</v>
      </c>
      <c r="H452" s="412">
        <v>668.68830000000003</v>
      </c>
      <c r="I452" s="411">
        <v>22.75825</v>
      </c>
      <c r="J452" s="411">
        <v>96.889799999999994</v>
      </c>
      <c r="K452" s="411">
        <v>8840.2861499999999</v>
      </c>
      <c r="L452" s="526" t="s">
        <v>553</v>
      </c>
      <c r="M452" s="409" t="s">
        <v>589</v>
      </c>
      <c r="N452" s="195">
        <v>476.90899999999999</v>
      </c>
    </row>
    <row r="453" spans="1:14" ht="15" x14ac:dyDescent="0.25">
      <c r="A453" s="410">
        <v>283956</v>
      </c>
      <c r="B453" t="str">
        <f t="shared" si="15"/>
        <v>SEVROLL 20258-SV tlmič dorazu Mini SV40 (25 - 40kg)</v>
      </c>
      <c r="C453" s="198">
        <f t="shared" si="16"/>
        <v>22.75825</v>
      </c>
      <c r="D453" s="526" t="s">
        <v>4623</v>
      </c>
      <c r="E453" s="526" t="s">
        <v>4624</v>
      </c>
      <c r="F453" s="526" t="s">
        <v>4625</v>
      </c>
      <c r="G453" s="526" t="s">
        <v>4626</v>
      </c>
      <c r="H453" s="412">
        <v>668.68830000000003</v>
      </c>
      <c r="I453" s="411">
        <v>22.75825</v>
      </c>
      <c r="J453" s="411">
        <v>96.889799999999994</v>
      </c>
      <c r="K453" s="411">
        <v>8840.2861499999999</v>
      </c>
      <c r="L453" s="526" t="s">
        <v>553</v>
      </c>
      <c r="M453" s="409" t="s">
        <v>589</v>
      </c>
      <c r="N453" s="195">
        <v>476.90899999999999</v>
      </c>
    </row>
    <row r="454" spans="1:14" ht="15" x14ac:dyDescent="0.25">
      <c r="A454" s="410">
        <v>351743</v>
      </c>
      <c r="B454" t="str">
        <f t="shared" si="15"/>
        <v>SEVROLL 20339-SV tlmič dorazu Mini SV60 (40 - 60kg)</v>
      </c>
      <c r="C454" s="198">
        <f t="shared" si="16"/>
        <v>22.75825</v>
      </c>
      <c r="D454" s="526" t="s">
        <v>4627</v>
      </c>
      <c r="E454" s="526" t="s">
        <v>4628</v>
      </c>
      <c r="F454" s="526" t="s">
        <v>4629</v>
      </c>
      <c r="G454" s="526" t="s">
        <v>4630</v>
      </c>
      <c r="H454" s="412">
        <v>668.68830000000003</v>
      </c>
      <c r="I454" s="411">
        <v>22.75825</v>
      </c>
      <c r="J454" s="411">
        <v>96.889799999999994</v>
      </c>
      <c r="K454" s="411">
        <v>8840.2861499999999</v>
      </c>
      <c r="L454" s="526" t="s">
        <v>553</v>
      </c>
      <c r="M454" s="409" t="s">
        <v>589</v>
      </c>
      <c r="N454" s="195">
        <v>476.90899999999999</v>
      </c>
    </row>
    <row r="455" spans="1:14" ht="15" x14ac:dyDescent="0.25">
      <c r="A455" s="410">
        <v>89112</v>
      </c>
      <c r="B455" t="str">
        <f t="shared" si="15"/>
        <v>SEVROLL 01462 Gemini horné vedenie 3m strieborná</v>
      </c>
      <c r="C455" s="198">
        <f t="shared" si="16"/>
        <v>24.745080000000002</v>
      </c>
      <c r="D455" s="526" t="s">
        <v>2662</v>
      </c>
      <c r="E455" s="526" t="s">
        <v>4631</v>
      </c>
      <c r="F455" s="526" t="s">
        <v>4632</v>
      </c>
      <c r="G455" s="526" t="s">
        <v>2662</v>
      </c>
      <c r="H455" s="412">
        <v>685.88160000000005</v>
      </c>
      <c r="I455" s="411">
        <v>24.745080000000002</v>
      </c>
      <c r="J455" s="411">
        <v>92.079909999999998</v>
      </c>
      <c r="K455" s="411">
        <v>9419.8157900000006</v>
      </c>
      <c r="L455" s="526" t="s">
        <v>710</v>
      </c>
      <c r="M455" s="409" t="s">
        <v>586</v>
      </c>
      <c r="N455" s="195">
        <v>480.8288</v>
      </c>
    </row>
    <row r="456" spans="1:14" ht="15" x14ac:dyDescent="0.25">
      <c r="A456" s="415">
        <v>223508</v>
      </c>
      <c r="B456" t="str">
        <f t="shared" si="15"/>
        <v>SEVROLL Herkules 2 horné vedenie 1,8m alu</v>
      </c>
      <c r="C456" s="198" t="e">
        <f t="shared" si="16"/>
        <v>#N/A</v>
      </c>
      <c r="D456" s="526" t="s">
        <v>3076</v>
      </c>
      <c r="E456" s="526" t="s">
        <v>4633</v>
      </c>
      <c r="F456" s="526" t="s">
        <v>4634</v>
      </c>
      <c r="G456" s="526" t="s">
        <v>4635</v>
      </c>
      <c r="H456" s="412" t="e">
        <v>#N/A</v>
      </c>
      <c r="I456" s="411" t="e">
        <v>#N/A</v>
      </c>
      <c r="J456" s="411" t="e">
        <v>#N/A</v>
      </c>
      <c r="K456" s="411" t="e">
        <v>#N/A</v>
      </c>
      <c r="L456" s="526" t="e">
        <v>#N/A</v>
      </c>
      <c r="M456" s="416" t="s">
        <v>586</v>
      </c>
      <c r="N456" s="195">
        <v>482.12984</v>
      </c>
    </row>
    <row r="457" spans="1:14" ht="15" x14ac:dyDescent="0.25">
      <c r="A457" s="410">
        <v>84393</v>
      </c>
      <c r="B457" t="str">
        <f t="shared" si="15"/>
        <v>SEVROLL 04276 Elegant II spodné vedenie  4,05m oliva</v>
      </c>
      <c r="C457" s="198">
        <f t="shared" si="16"/>
        <v>24.558019999999999</v>
      </c>
      <c r="D457" s="526" t="s">
        <v>2771</v>
      </c>
      <c r="E457" s="526" t="s">
        <v>4636</v>
      </c>
      <c r="F457" s="526" t="s">
        <v>4637</v>
      </c>
      <c r="G457" s="526" t="s">
        <v>4638</v>
      </c>
      <c r="H457" s="412">
        <v>680.16592000000003</v>
      </c>
      <c r="I457" s="411">
        <v>24.558019999999999</v>
      </c>
      <c r="J457" s="411">
        <v>93.075000000000003</v>
      </c>
      <c r="K457" s="411">
        <v>9348.6025699999991</v>
      </c>
      <c r="L457" s="526" t="s">
        <v>553</v>
      </c>
      <c r="M457" s="409" t="s">
        <v>586</v>
      </c>
      <c r="N457" s="195">
        <v>482.78870000000001</v>
      </c>
    </row>
    <row r="458" spans="1:14" ht="15" x14ac:dyDescent="0.25">
      <c r="A458" s="410">
        <v>349802</v>
      </c>
      <c r="B458" t="str">
        <f t="shared" si="15"/>
        <v>SEVROLL 04474 Blue horné vedenie  3m strieborná</v>
      </c>
      <c r="C458" s="198">
        <f t="shared" si="16"/>
        <v>22.448609999999999</v>
      </c>
      <c r="D458" s="526" t="s">
        <v>3421</v>
      </c>
      <c r="E458" s="526" t="s">
        <v>4639</v>
      </c>
      <c r="F458" s="526" t="s">
        <v>4640</v>
      </c>
      <c r="G458" s="526" t="s">
        <v>4641</v>
      </c>
      <c r="H458" s="412">
        <v>614.87249999999995</v>
      </c>
      <c r="I458" s="411">
        <v>22.448609999999999</v>
      </c>
      <c r="J458" s="411">
        <v>80.48536</v>
      </c>
      <c r="K458" s="411">
        <v>8720.01</v>
      </c>
      <c r="L458" s="526" t="s">
        <v>710</v>
      </c>
      <c r="M458" s="409" t="s">
        <v>586</v>
      </c>
      <c r="N458" s="195">
        <v>483.38639999999998</v>
      </c>
    </row>
    <row r="459" spans="1:14" ht="15" x14ac:dyDescent="0.25">
      <c r="A459" s="410">
        <v>216621</v>
      </c>
      <c r="B459" t="str">
        <f t="shared" si="15"/>
        <v>SEVROLL 04617 Victoria II úchytová lišta 2,7m čierna  kartáčovaná</v>
      </c>
      <c r="C459" s="198">
        <f t="shared" si="16"/>
        <v>23.790369999999999</v>
      </c>
      <c r="D459" s="526" t="s">
        <v>3045</v>
      </c>
      <c r="E459" s="526" t="s">
        <v>4642</v>
      </c>
      <c r="F459" s="526" t="s">
        <v>4643</v>
      </c>
      <c r="G459" s="526" t="s">
        <v>4644</v>
      </c>
      <c r="H459" s="412">
        <v>658.73212000000001</v>
      </c>
      <c r="I459" s="411">
        <v>23.790369999999999</v>
      </c>
      <c r="J459" s="411">
        <v>80.226699999999994</v>
      </c>
      <c r="K459" s="411">
        <v>9056.3820300000007</v>
      </c>
      <c r="L459" s="526" t="s">
        <v>553</v>
      </c>
      <c r="M459" s="409" t="s">
        <v>586</v>
      </c>
      <c r="N459" s="195">
        <v>484.74860000000001</v>
      </c>
    </row>
    <row r="460" spans="1:14" ht="15" x14ac:dyDescent="0.25">
      <c r="A460" s="410">
        <v>191699</v>
      </c>
      <c r="B460" t="str">
        <f t="shared" si="15"/>
        <v>SEVROLL 04618-Y Victoria II úchytová lišta 2,7m oliva kartáčovaná</v>
      </c>
      <c r="C460" s="198">
        <f t="shared" si="16"/>
        <v>23.790369999999999</v>
      </c>
      <c r="D460" s="526" t="s">
        <v>2961</v>
      </c>
      <c r="E460" s="526" t="s">
        <v>4645</v>
      </c>
      <c r="F460" s="526" t="s">
        <v>2961</v>
      </c>
      <c r="G460" s="526" t="s">
        <v>4646</v>
      </c>
      <c r="H460" s="412">
        <v>658.73212000000001</v>
      </c>
      <c r="I460" s="411">
        <v>23.790369999999999</v>
      </c>
      <c r="J460" s="411">
        <v>80.226699999999994</v>
      </c>
      <c r="K460" s="411">
        <v>9056.3820300000007</v>
      </c>
      <c r="L460" s="526" t="s">
        <v>553</v>
      </c>
      <c r="M460" s="409" t="s">
        <v>586</v>
      </c>
      <c r="N460" s="195">
        <v>484.74860000000001</v>
      </c>
    </row>
    <row r="461" spans="1:14" ht="15" x14ac:dyDescent="0.25">
      <c r="A461" s="413">
        <v>348023</v>
      </c>
      <c r="B461" t="e">
        <f t="shared" si="15"/>
        <v>#N/A</v>
      </c>
      <c r="C461" s="198" t="e">
        <f t="shared" si="16"/>
        <v>#N/A</v>
      </c>
      <c r="D461" s="526" t="e">
        <v>#N/A</v>
      </c>
      <c r="E461" s="526" t="e">
        <v>#N/A</v>
      </c>
      <c r="F461" s="526" t="e">
        <v>#N/A</v>
      </c>
      <c r="G461" s="526" t="e">
        <v>#N/A</v>
      </c>
      <c r="H461" s="412" t="e">
        <v>#N/A</v>
      </c>
      <c r="I461" s="411" t="e">
        <v>#N/A</v>
      </c>
      <c r="J461" s="411" t="e">
        <v>#N/A</v>
      </c>
      <c r="K461" s="411" t="e">
        <v>#N/A</v>
      </c>
      <c r="L461" s="526" t="e">
        <v>#N/A</v>
      </c>
      <c r="M461" s="414" t="s">
        <v>586</v>
      </c>
      <c r="N461" s="195">
        <v>493.35</v>
      </c>
    </row>
    <row r="462" spans="1:14" ht="15" x14ac:dyDescent="0.25">
      <c r="A462" s="410">
        <v>289095</v>
      </c>
      <c r="B462" t="str">
        <f t="shared" si="15"/>
        <v>SEVROLL Porto úchytová lišta 2,7m strieborn</v>
      </c>
      <c r="C462" s="198" t="e">
        <f t="shared" si="16"/>
        <v>#N/A</v>
      </c>
      <c r="D462" s="526" t="s">
        <v>3301</v>
      </c>
      <c r="E462" s="526" t="s">
        <v>4647</v>
      </c>
      <c r="F462" s="526" t="s">
        <v>1138</v>
      </c>
      <c r="G462" s="526" t="s">
        <v>4648</v>
      </c>
      <c r="H462" s="412" t="e">
        <v>#N/A</v>
      </c>
      <c r="I462" s="411" t="e">
        <v>#N/A</v>
      </c>
      <c r="J462" s="411" t="e">
        <v>#N/A</v>
      </c>
      <c r="K462" s="411" t="e">
        <v>#N/A</v>
      </c>
      <c r="L462" s="526" t="e">
        <v>#N/A</v>
      </c>
      <c r="M462" s="409" t="s">
        <v>586</v>
      </c>
      <c r="N462" s="195">
        <v>494.54809999999998</v>
      </c>
    </row>
    <row r="463" spans="1:14" ht="15" x14ac:dyDescent="0.25">
      <c r="A463" s="410">
        <v>223557</v>
      </c>
      <c r="B463" t="str">
        <f t="shared" si="15"/>
        <v>SEVROLL Simple spodné vedenie 6m oliva</v>
      </c>
      <c r="C463" s="198" t="e">
        <f t="shared" si="16"/>
        <v>#N/A</v>
      </c>
      <c r="D463" s="526" t="s">
        <v>3098</v>
      </c>
      <c r="E463" s="526" t="s">
        <v>4649</v>
      </c>
      <c r="F463" s="526" t="s">
        <v>4650</v>
      </c>
      <c r="G463" s="526" t="s">
        <v>4651</v>
      </c>
      <c r="H463" s="412" t="e">
        <v>#N/A</v>
      </c>
      <c r="I463" s="411" t="e">
        <v>#N/A</v>
      </c>
      <c r="J463" s="411" t="e">
        <v>#N/A</v>
      </c>
      <c r="K463" s="411" t="e">
        <v>#N/A</v>
      </c>
      <c r="L463" s="526" t="e">
        <v>#N/A</v>
      </c>
      <c r="M463" s="409" t="s">
        <v>586</v>
      </c>
      <c r="N463" s="195">
        <v>496.14659999999998</v>
      </c>
    </row>
    <row r="464" spans="1:14" ht="15" x14ac:dyDescent="0.25">
      <c r="A464" s="410">
        <v>89031</v>
      </c>
      <c r="B464" t="str">
        <f t="shared" si="15"/>
        <v>SEVROLL 01247 Single horné vedenie 2,35m oliva</v>
      </c>
      <c r="C464" s="198">
        <f t="shared" si="16"/>
        <v>24.9773</v>
      </c>
      <c r="D464" s="526" t="s">
        <v>2752</v>
      </c>
      <c r="E464" s="526" t="s">
        <v>4652</v>
      </c>
      <c r="F464" s="526" t="s">
        <v>4653</v>
      </c>
      <c r="G464" s="526" t="s">
        <v>4654</v>
      </c>
      <c r="H464" s="412">
        <v>659.25639999999999</v>
      </c>
      <c r="I464" s="411">
        <v>24.9773</v>
      </c>
      <c r="J464" s="411">
        <v>85.940809999999999</v>
      </c>
      <c r="K464" s="411">
        <v>9197.8615399999999</v>
      </c>
      <c r="L464" s="526" t="s">
        <v>554</v>
      </c>
      <c r="M464" s="409" t="s">
        <v>586</v>
      </c>
      <c r="N464" s="195">
        <v>496.50799999999998</v>
      </c>
    </row>
    <row r="465" spans="1:14" ht="15" x14ac:dyDescent="0.25">
      <c r="A465" s="410">
        <v>135555</v>
      </c>
      <c r="B465" t="str">
        <f t="shared" si="15"/>
        <v>SEVROLL Comfort 18 II úch.lišta 2,7m str,</v>
      </c>
      <c r="C465" s="198">
        <f t="shared" si="16"/>
        <v>23.563310000000001</v>
      </c>
      <c r="D465" s="526" t="s">
        <v>2895</v>
      </c>
      <c r="E465" s="526" t="s">
        <v>4655</v>
      </c>
      <c r="F465" s="526" t="s">
        <v>1286</v>
      </c>
      <c r="G465" s="526" t="s">
        <v>4656</v>
      </c>
      <c r="H465" s="412">
        <v>652.30197999999996</v>
      </c>
      <c r="I465" s="411">
        <v>23.563310000000001</v>
      </c>
      <c r="J465" s="411">
        <v>92.779200000000003</v>
      </c>
      <c r="K465" s="411">
        <v>8969.9434099999999</v>
      </c>
      <c r="L465" s="526" t="s">
        <v>553</v>
      </c>
      <c r="M465" s="409" t="s">
        <v>586</v>
      </c>
      <c r="N465" s="195">
        <v>497.16129999999998</v>
      </c>
    </row>
    <row r="466" spans="1:14" ht="15" x14ac:dyDescent="0.25">
      <c r="A466" s="410">
        <v>89069</v>
      </c>
      <c r="B466" t="str">
        <f t="shared" si="15"/>
        <v>SEVROLL 253S-SPOJ.LIŠTA H-30mm STR 3m</v>
      </c>
      <c r="C466" s="198">
        <f t="shared" si="16"/>
        <v>22.319600000000001</v>
      </c>
      <c r="D466" s="526" t="s">
        <v>2717</v>
      </c>
      <c r="E466" s="526" t="s">
        <v>4657</v>
      </c>
      <c r="F466" s="526" t="s">
        <v>4658</v>
      </c>
      <c r="G466" s="526" t="s">
        <v>2717</v>
      </c>
      <c r="H466" s="412">
        <v>618.00789999999995</v>
      </c>
      <c r="I466" s="411">
        <v>22.319600000000001</v>
      </c>
      <c r="J466" s="411">
        <v>78.601200000000006</v>
      </c>
      <c r="K466" s="411">
        <v>8496.4971000000005</v>
      </c>
      <c r="L466" s="526" t="s">
        <v>553</v>
      </c>
      <c r="M466" s="409" t="s">
        <v>586</v>
      </c>
      <c r="N466" s="195">
        <v>497.81459999999998</v>
      </c>
    </row>
    <row r="467" spans="1:14" ht="15" x14ac:dyDescent="0.25">
      <c r="A467" s="410">
        <v>98078</v>
      </c>
      <c r="B467" t="str">
        <f t="shared" si="15"/>
        <v>SEVROLL 10089 Everest vozík pre šikmé krídlo - 2ks</v>
      </c>
      <c r="C467" s="198">
        <f t="shared" si="16"/>
        <v>20.027010000000001</v>
      </c>
      <c r="D467" s="526" t="s">
        <v>2809</v>
      </c>
      <c r="E467" s="526" t="s">
        <v>4659</v>
      </c>
      <c r="F467" s="526" t="s">
        <v>4660</v>
      </c>
      <c r="G467" s="526" t="s">
        <v>4661</v>
      </c>
      <c r="H467" s="412">
        <v>588.32439999999997</v>
      </c>
      <c r="I467" s="411">
        <v>20.027010000000001</v>
      </c>
      <c r="J467" s="411">
        <v>67.640100000000004</v>
      </c>
      <c r="K467" s="411">
        <v>7779.3515500000003</v>
      </c>
      <c r="L467" s="526" t="s">
        <v>553</v>
      </c>
      <c r="M467" s="409" t="s">
        <v>587</v>
      </c>
      <c r="N467" s="195">
        <v>499.12119999999999</v>
      </c>
    </row>
    <row r="468" spans="1:14" ht="15" x14ac:dyDescent="0.25">
      <c r="A468" s="410">
        <v>349818</v>
      </c>
      <c r="B468" t="str">
        <f t="shared" si="15"/>
        <v>SEVROLL 04500 Blue-V spodné vedenie  6m strieborná</v>
      </c>
      <c r="C468" s="198">
        <f t="shared" si="16"/>
        <v>23.996790000000001</v>
      </c>
      <c r="D468" s="526" t="s">
        <v>3435</v>
      </c>
      <c r="E468" s="526" t="s">
        <v>4662</v>
      </c>
      <c r="F468" s="526" t="s">
        <v>4663</v>
      </c>
      <c r="G468" s="526" t="s">
        <v>4664</v>
      </c>
      <c r="H468" s="412">
        <v>657.27750000000003</v>
      </c>
      <c r="I468" s="411">
        <v>23.996790000000001</v>
      </c>
      <c r="J468" s="411">
        <v>99.143609999999995</v>
      </c>
      <c r="K468" s="411">
        <v>9321.39</v>
      </c>
      <c r="L468" s="526" t="s">
        <v>553</v>
      </c>
      <c r="M468" s="409" t="s">
        <v>586</v>
      </c>
      <c r="N468" s="195">
        <v>499.149</v>
      </c>
    </row>
    <row r="469" spans="1:14" ht="15" x14ac:dyDescent="0.25">
      <c r="A469" s="413">
        <v>340578</v>
      </c>
      <c r="B469" t="e">
        <f t="shared" si="15"/>
        <v>#N/A</v>
      </c>
      <c r="C469" s="198" t="e">
        <f t="shared" si="16"/>
        <v>#N/A</v>
      </c>
      <c r="D469" s="526" t="e">
        <v>#N/A</v>
      </c>
      <c r="E469" s="526" t="e">
        <v>#N/A</v>
      </c>
      <c r="F469" s="526" t="e">
        <v>#N/A</v>
      </c>
      <c r="G469" s="526" t="e">
        <v>#N/A</v>
      </c>
      <c r="H469" s="412" t="e">
        <v>#N/A</v>
      </c>
      <c r="I469" s="411" t="e">
        <v>#N/A</v>
      </c>
      <c r="J469" s="411" t="e">
        <v>#N/A</v>
      </c>
      <c r="K469" s="411" t="e">
        <v>#N/A</v>
      </c>
      <c r="L469" s="526" t="e">
        <v>#N/A</v>
      </c>
      <c r="M469" s="414" t="s">
        <v>586</v>
      </c>
      <c r="N469" s="195">
        <v>501.28960000000001</v>
      </c>
    </row>
    <row r="470" spans="1:14" ht="15" x14ac:dyDescent="0.25">
      <c r="A470" s="410">
        <v>223572</v>
      </c>
      <c r="B470" t="str">
        <f t="shared" si="15"/>
        <v>SEVROLL Karat úch.lišta 2,7m str</v>
      </c>
      <c r="C470" s="198">
        <f t="shared" si="16"/>
        <v>21.880939999999999</v>
      </c>
      <c r="D470" s="526" t="s">
        <v>3105</v>
      </c>
      <c r="E470" s="526" t="s">
        <v>4665</v>
      </c>
      <c r="F470" s="526" t="s">
        <v>1259</v>
      </c>
      <c r="G470" s="526" t="s">
        <v>4666</v>
      </c>
      <c r="H470" s="412">
        <v>605.86207999999999</v>
      </c>
      <c r="I470" s="411">
        <v>21.880939999999999</v>
      </c>
      <c r="J470" s="411">
        <v>78.988799999999998</v>
      </c>
      <c r="K470" s="411">
        <v>8329.5137699999996</v>
      </c>
      <c r="L470" s="526" t="s">
        <v>553</v>
      </c>
      <c r="M470" s="409" t="s">
        <v>586</v>
      </c>
      <c r="N470" s="195">
        <v>503.6943</v>
      </c>
    </row>
    <row r="471" spans="1:14" ht="15" x14ac:dyDescent="0.25">
      <c r="A471" s="410">
        <v>180324</v>
      </c>
      <c r="B471" t="str">
        <f t="shared" si="15"/>
        <v>SEVROLL SPODNÉ VED. MAXIM II 3,5M STR.</v>
      </c>
      <c r="C471" s="198" t="e">
        <f t="shared" si="16"/>
        <v>#N/A</v>
      </c>
      <c r="D471" s="526" t="s">
        <v>2936</v>
      </c>
      <c r="E471" s="526" t="s">
        <v>4667</v>
      </c>
      <c r="F471" s="526" t="s">
        <v>4668</v>
      </c>
      <c r="G471" s="526" t="s">
        <v>4669</v>
      </c>
      <c r="H471" s="412" t="e">
        <v>#N/A</v>
      </c>
      <c r="I471" s="411" t="e">
        <v>#N/A</v>
      </c>
      <c r="J471" s="411" t="e">
        <v>#N/A</v>
      </c>
      <c r="K471" s="411" t="e">
        <v>#N/A</v>
      </c>
      <c r="L471" s="526" t="e">
        <v>#N/A</v>
      </c>
      <c r="M471" s="409" t="s">
        <v>586</v>
      </c>
      <c r="N471" s="195">
        <v>503.6943</v>
      </c>
    </row>
    <row r="472" spans="1:14" ht="15" x14ac:dyDescent="0.25">
      <c r="A472" s="413">
        <v>196711</v>
      </c>
      <c r="B472" t="str">
        <f t="shared" si="15"/>
        <v>Sevroll 85515 Lux III úchytová lišta 2,7m strieborná</v>
      </c>
      <c r="C472" s="198">
        <f t="shared" si="16"/>
        <v>24.538650000000001</v>
      </c>
      <c r="D472" s="526" t="s">
        <v>2967</v>
      </c>
      <c r="E472" s="526" t="s">
        <v>4670</v>
      </c>
      <c r="F472" s="526" t="s">
        <v>4671</v>
      </c>
      <c r="G472" s="526" t="s">
        <v>4672</v>
      </c>
      <c r="H472" s="412">
        <v>679.45146</v>
      </c>
      <c r="I472" s="411">
        <v>24.538650000000001</v>
      </c>
      <c r="J472" s="411">
        <v>102.72564</v>
      </c>
      <c r="K472" s="411">
        <v>9341.2356099999997</v>
      </c>
      <c r="L472" s="526" t="s">
        <v>553</v>
      </c>
      <c r="M472" s="414" t="s">
        <v>586</v>
      </c>
      <c r="N472" s="195">
        <v>503.84719999999999</v>
      </c>
    </row>
    <row r="473" spans="1:14" ht="15" x14ac:dyDescent="0.25">
      <c r="A473" s="410">
        <v>221220</v>
      </c>
      <c r="B473" t="str">
        <f t="shared" si="15"/>
        <v>SEVROLL Comfort spodné vedenie 3m oliva</v>
      </c>
      <c r="C473" s="198">
        <f t="shared" si="16"/>
        <v>29.570239999999998</v>
      </c>
      <c r="D473" s="526" t="s">
        <v>3053</v>
      </c>
      <c r="E473" s="526" t="s">
        <v>4673</v>
      </c>
      <c r="F473" s="526" t="s">
        <v>1207</v>
      </c>
      <c r="G473" s="526" t="s">
        <v>4674</v>
      </c>
      <c r="H473" s="412">
        <v>818.77116000000001</v>
      </c>
      <c r="I473" s="411">
        <v>29.570239999999998</v>
      </c>
      <c r="J473" s="411">
        <v>111.027</v>
      </c>
      <c r="K473" s="411">
        <v>11256.63091</v>
      </c>
      <c r="L473" s="526" t="s">
        <v>554</v>
      </c>
      <c r="M473" s="409" t="s">
        <v>586</v>
      </c>
      <c r="N473" s="195">
        <v>510.22730000000001</v>
      </c>
    </row>
    <row r="474" spans="1:14" ht="15" x14ac:dyDescent="0.25">
      <c r="A474" s="410">
        <v>308666</v>
      </c>
      <c r="B474" t="str">
        <f t="shared" si="15"/>
        <v>SEVROLL 04589 Gemini II spodné vedenie  4,05m oliva</v>
      </c>
      <c r="C474" s="198">
        <f t="shared" si="16"/>
        <v>25.289529999999999</v>
      </c>
      <c r="D474" s="526" t="s">
        <v>3335</v>
      </c>
      <c r="E474" s="526" t="s">
        <v>4675</v>
      </c>
      <c r="F474" s="526" t="s">
        <v>4676</v>
      </c>
      <c r="G474" s="526" t="s">
        <v>4677</v>
      </c>
      <c r="H474" s="412">
        <v>700.17079999999999</v>
      </c>
      <c r="I474" s="411">
        <v>25.289529999999999</v>
      </c>
      <c r="J474" s="411">
        <v>85.558390000000003</v>
      </c>
      <c r="K474" s="411">
        <v>9627.0714499999995</v>
      </c>
      <c r="L474" s="526" t="s">
        <v>553</v>
      </c>
      <c r="M474" s="409" t="s">
        <v>586</v>
      </c>
      <c r="N474" s="195">
        <v>510.88060000000002</v>
      </c>
    </row>
    <row r="475" spans="1:14" ht="15" x14ac:dyDescent="0.25">
      <c r="A475" s="410">
        <v>350024</v>
      </c>
      <c r="B475" t="str">
        <f t="shared" si="15"/>
        <v>SEVROLL 20375-BL tlmič dorazu Simple/Blue 10/18 25kg L+P</v>
      </c>
      <c r="C475" s="198">
        <f t="shared" si="16"/>
        <v>24.48705</v>
      </c>
      <c r="D475" s="526" t="s">
        <v>3451</v>
      </c>
      <c r="E475" s="526" t="s">
        <v>4678</v>
      </c>
      <c r="F475" s="526" t="s">
        <v>4679</v>
      </c>
      <c r="G475" s="526" t="s">
        <v>4680</v>
      </c>
      <c r="H475" s="412">
        <v>719.48434999999995</v>
      </c>
      <c r="I475" s="411">
        <v>24.48705</v>
      </c>
      <c r="J475" s="411">
        <v>109.51739999999999</v>
      </c>
      <c r="K475" s="411">
        <v>9511.8269299999993</v>
      </c>
      <c r="L475" s="526" t="s">
        <v>554</v>
      </c>
      <c r="M475" s="409" t="s">
        <v>589</v>
      </c>
      <c r="N475" s="195">
        <v>511.15859999999998</v>
      </c>
    </row>
    <row r="476" spans="1:14" ht="15" x14ac:dyDescent="0.25">
      <c r="A476" s="410">
        <v>293776</v>
      </c>
      <c r="B476" t="str">
        <f t="shared" si="15"/>
        <v>SEVROLL tlmič doraz.Simple 10/18, 25 - 40kg (L+P)</v>
      </c>
      <c r="C476" s="198">
        <f t="shared" si="16"/>
        <v>24.48705</v>
      </c>
      <c r="D476" s="526" t="s">
        <v>3303</v>
      </c>
      <c r="E476" s="526" t="s">
        <v>4681</v>
      </c>
      <c r="F476" s="526" t="s">
        <v>4682</v>
      </c>
      <c r="G476" s="526" t="s">
        <v>4683</v>
      </c>
      <c r="H476" s="412">
        <v>719.48434999999995</v>
      </c>
      <c r="I476" s="411">
        <v>24.48705</v>
      </c>
      <c r="J476" s="411">
        <v>109.51739999999999</v>
      </c>
      <c r="K476" s="411">
        <v>9511.8269299999993</v>
      </c>
      <c r="L476" s="526" t="s">
        <v>554</v>
      </c>
      <c r="M476" s="409" t="s">
        <v>586</v>
      </c>
      <c r="N476" s="195">
        <v>511.15859999999998</v>
      </c>
    </row>
    <row r="477" spans="1:14" ht="15" x14ac:dyDescent="0.25">
      <c r="A477" s="410">
        <v>284957</v>
      </c>
      <c r="B477" t="str">
        <f t="shared" si="15"/>
        <v>SEVROLL Maxim vodiaca lišta 2,5m oliva</v>
      </c>
      <c r="C477" s="198" t="e">
        <f t="shared" si="16"/>
        <v>#N/A</v>
      </c>
      <c r="D477" s="526" t="s">
        <v>3287</v>
      </c>
      <c r="E477" s="526" t="s">
        <v>4684</v>
      </c>
      <c r="F477" s="526" t="s">
        <v>4685</v>
      </c>
      <c r="G477" s="526" t="s">
        <v>4686</v>
      </c>
      <c r="H477" s="412" t="e">
        <v>#N/A</v>
      </c>
      <c r="I477" s="411" t="e">
        <v>#N/A</v>
      </c>
      <c r="J477" s="411" t="e">
        <v>#N/A</v>
      </c>
      <c r="K477" s="411" t="e">
        <v>#N/A</v>
      </c>
      <c r="L477" s="526" t="e">
        <v>#N/A</v>
      </c>
      <c r="M477" s="409" t="s">
        <v>586</v>
      </c>
      <c r="N477" s="195">
        <v>511.53390000000002</v>
      </c>
    </row>
    <row r="478" spans="1:14" ht="15" x14ac:dyDescent="0.25">
      <c r="A478" s="410">
        <v>205074</v>
      </c>
      <c r="B478" t="str">
        <f t="shared" si="15"/>
        <v>SEVROLL 04378 Fox II úchytová lišta 2,7m oliva tmavá kartáčovaná</v>
      </c>
      <c r="C478" s="198">
        <f t="shared" si="16"/>
        <v>24.956669999999999</v>
      </c>
      <c r="D478" s="526" t="s">
        <v>2978</v>
      </c>
      <c r="E478" s="526" t="s">
        <v>4687</v>
      </c>
      <c r="F478" s="526" t="s">
        <v>2978</v>
      </c>
      <c r="G478" s="526" t="s">
        <v>4688</v>
      </c>
      <c r="H478" s="412">
        <v>691.02571</v>
      </c>
      <c r="I478" s="411">
        <v>24.956669999999999</v>
      </c>
      <c r="J478" s="411">
        <v>90.198599999999999</v>
      </c>
      <c r="K478" s="411">
        <v>9500.3608600000007</v>
      </c>
      <c r="L478" s="526" t="s">
        <v>554</v>
      </c>
      <c r="M478" s="409" t="s">
        <v>586</v>
      </c>
      <c r="N478" s="195">
        <v>517.41359999999997</v>
      </c>
    </row>
    <row r="479" spans="1:14" ht="15" x14ac:dyDescent="0.25">
      <c r="A479" s="410">
        <v>262429</v>
      </c>
      <c r="B479" t="str">
        <f t="shared" si="15"/>
        <v>SEVROLL Optima spodné vedenie 6m surová</v>
      </c>
      <c r="C479" s="198">
        <f t="shared" si="16"/>
        <v>24.770879999999998</v>
      </c>
      <c r="D479" s="526" t="s">
        <v>3225</v>
      </c>
      <c r="E479" s="526" t="s">
        <v>4689</v>
      </c>
      <c r="F479" s="526" t="s">
        <v>1143</v>
      </c>
      <c r="G479" s="526" t="s">
        <v>4690</v>
      </c>
      <c r="H479" s="412">
        <v>685.88160000000005</v>
      </c>
      <c r="I479" s="411">
        <v>24.770879999999998</v>
      </c>
      <c r="J479" s="411">
        <v>83.677199999999999</v>
      </c>
      <c r="K479" s="411">
        <v>9429.6383999999998</v>
      </c>
      <c r="L479" s="526" t="s">
        <v>554</v>
      </c>
      <c r="M479" s="409" t="s">
        <v>586</v>
      </c>
      <c r="N479" s="195">
        <v>519.37350000000004</v>
      </c>
    </row>
    <row r="480" spans="1:14" ht="15" x14ac:dyDescent="0.25">
      <c r="A480" s="410">
        <v>278056</v>
      </c>
      <c r="B480" t="str">
        <f t="shared" si="15"/>
        <v>SEVROLL 04094 Pax úchytová lišta 2,7m strieborná</v>
      </c>
      <c r="C480" s="198">
        <f t="shared" si="16"/>
        <v>20.513390000000001</v>
      </c>
      <c r="D480" s="526" t="s">
        <v>3248</v>
      </c>
      <c r="E480" s="526" t="s">
        <v>4691</v>
      </c>
      <c r="F480" s="526" t="s">
        <v>4692</v>
      </c>
      <c r="G480" s="526" t="s">
        <v>4693</v>
      </c>
      <c r="H480" s="412">
        <v>567.99570000000006</v>
      </c>
      <c r="I480" s="411">
        <v>20.513390000000001</v>
      </c>
      <c r="J480" s="411">
        <v>78.988799999999998</v>
      </c>
      <c r="K480" s="411">
        <v>7808.9192999999996</v>
      </c>
      <c r="L480" s="526" t="s">
        <v>553</v>
      </c>
      <c r="M480" s="409" t="s">
        <v>586</v>
      </c>
      <c r="N480" s="195">
        <v>519.37350000000004</v>
      </c>
    </row>
    <row r="481" spans="1:14" ht="15" x14ac:dyDescent="0.25">
      <c r="A481" s="410">
        <v>188680</v>
      </c>
      <c r="B481" t="str">
        <f t="shared" si="15"/>
        <v>SEVROLL Prosper II úch.lišta 2,7m strieborná</v>
      </c>
      <c r="C481" s="198">
        <f t="shared" si="16"/>
        <v>21.970980000000001</v>
      </c>
      <c r="D481" s="526" t="s">
        <v>2948</v>
      </c>
      <c r="E481" s="526" t="s">
        <v>4694</v>
      </c>
      <c r="F481" s="526" t="s">
        <v>1239</v>
      </c>
      <c r="G481" s="526" t="s">
        <v>4695</v>
      </c>
      <c r="H481" s="412" t="e">
        <v>#N/A</v>
      </c>
      <c r="I481" s="411">
        <v>21.970980000000001</v>
      </c>
      <c r="J481" s="411">
        <v>78.988799999999998</v>
      </c>
      <c r="K481" s="411">
        <v>8450.3769200000006</v>
      </c>
      <c r="L481" s="526" t="e">
        <v>#N/A</v>
      </c>
      <c r="M481" s="409" t="s">
        <v>586</v>
      </c>
      <c r="N481" s="195">
        <v>519.37350000000004</v>
      </c>
    </row>
    <row r="482" spans="1:14" ht="15" x14ac:dyDescent="0.25">
      <c r="A482" s="410">
        <v>284539</v>
      </c>
      <c r="B482" t="str">
        <f t="shared" si="15"/>
        <v>SEVROLL Rex úchytová lišta 2,7m strieborná</v>
      </c>
      <c r="C482" s="198">
        <f t="shared" si="16"/>
        <v>23.132660000000001</v>
      </c>
      <c r="D482" s="526" t="s">
        <v>3277</v>
      </c>
      <c r="E482" s="526" t="s">
        <v>4696</v>
      </c>
      <c r="F482" s="526" t="s">
        <v>1237</v>
      </c>
      <c r="G482" s="526" t="s">
        <v>4697</v>
      </c>
      <c r="H482" s="412">
        <v>611.36496</v>
      </c>
      <c r="I482" s="411">
        <v>23.132660000000001</v>
      </c>
      <c r="J482" s="411">
        <v>79.763199999999998</v>
      </c>
      <c r="K482" s="411">
        <v>8897.1784599999992</v>
      </c>
      <c r="L482" s="526" t="s">
        <v>555</v>
      </c>
      <c r="M482" s="409" t="s">
        <v>586</v>
      </c>
      <c r="N482" s="195">
        <v>519.37350000000004</v>
      </c>
    </row>
    <row r="483" spans="1:14" ht="15" x14ac:dyDescent="0.25">
      <c r="A483" s="410">
        <v>349817</v>
      </c>
      <c r="B483" t="str">
        <f t="shared" si="15"/>
        <v>SEVROLL 04494 Blue-V spodné vedenie 6m oliva</v>
      </c>
      <c r="C483" s="198">
        <f t="shared" si="16"/>
        <v>29.995989999999999</v>
      </c>
      <c r="D483" s="526" t="s">
        <v>3434</v>
      </c>
      <c r="E483" s="526" t="s">
        <v>4698</v>
      </c>
      <c r="F483" s="526" t="s">
        <v>4699</v>
      </c>
      <c r="G483" s="526" t="s">
        <v>4700</v>
      </c>
      <c r="H483" s="412">
        <v>821.59688000000006</v>
      </c>
      <c r="I483" s="411">
        <v>29.995989999999999</v>
      </c>
      <c r="J483" s="411">
        <v>111.19439</v>
      </c>
      <c r="K483" s="411">
        <v>11651.7377</v>
      </c>
      <c r="L483" s="526" t="s">
        <v>553</v>
      </c>
      <c r="M483" s="409" t="s">
        <v>586</v>
      </c>
      <c r="N483" s="195">
        <v>520.16579999999999</v>
      </c>
    </row>
    <row r="484" spans="1:14" ht="15" x14ac:dyDescent="0.25">
      <c r="A484" s="410">
        <v>135710</v>
      </c>
      <c r="B484" t="str">
        <f t="shared" si="15"/>
        <v>SEVROLL 02717 Comfort 16 II úchytová lišta 2,7m oliva</v>
      </c>
      <c r="C484" s="198">
        <f t="shared" si="16"/>
        <v>30.189509999999999</v>
      </c>
      <c r="D484" s="526" t="s">
        <v>2901</v>
      </c>
      <c r="E484" s="526" t="s">
        <v>4701</v>
      </c>
      <c r="F484" s="526" t="s">
        <v>2901</v>
      </c>
      <c r="G484" s="526" t="s">
        <v>4702</v>
      </c>
      <c r="H484" s="412">
        <v>835.91819999999996</v>
      </c>
      <c r="I484" s="411">
        <v>30.189509999999999</v>
      </c>
      <c r="J484" s="411">
        <v>103.0515</v>
      </c>
      <c r="K484" s="411">
        <v>11492.371800000001</v>
      </c>
      <c r="L484" s="526" t="s">
        <v>554</v>
      </c>
      <c r="M484" s="409" t="s">
        <v>586</v>
      </c>
      <c r="N484" s="195">
        <v>520.68010000000004</v>
      </c>
    </row>
    <row r="485" spans="1:14" ht="15" x14ac:dyDescent="0.25">
      <c r="A485" s="410">
        <v>135556</v>
      </c>
      <c r="B485" t="str">
        <f t="shared" si="15"/>
        <v>SEVROLL 02721 Comfort 18 II úchytová lišta 2,7m oliva</v>
      </c>
      <c r="C485" s="198">
        <f t="shared" si="16"/>
        <v>30.189509999999999</v>
      </c>
      <c r="D485" s="526" t="s">
        <v>2896</v>
      </c>
      <c r="E485" s="526" t="s">
        <v>4703</v>
      </c>
      <c r="F485" s="526" t="s">
        <v>2896</v>
      </c>
      <c r="G485" s="526" t="s">
        <v>4704</v>
      </c>
      <c r="H485" s="412">
        <v>835.91819999999996</v>
      </c>
      <c r="I485" s="411">
        <v>30.189509999999999</v>
      </c>
      <c r="J485" s="411">
        <v>103.0515</v>
      </c>
      <c r="K485" s="411">
        <v>11492.371800000001</v>
      </c>
      <c r="L485" s="526" t="s">
        <v>554</v>
      </c>
      <c r="M485" s="409" t="s">
        <v>586</v>
      </c>
      <c r="N485" s="195">
        <v>520.68010000000004</v>
      </c>
    </row>
    <row r="486" spans="1:14" ht="15" x14ac:dyDescent="0.25">
      <c r="A486" s="410">
        <v>223573</v>
      </c>
      <c r="B486" t="str">
        <f t="shared" si="15"/>
        <v>SEVROLL karat úchytová lišta 2,7m oliva</v>
      </c>
      <c r="C486" s="198">
        <f t="shared" si="16"/>
        <v>27.351179999999999</v>
      </c>
      <c r="D486" s="526" t="s">
        <v>3106</v>
      </c>
      <c r="E486" s="526" t="s">
        <v>4705</v>
      </c>
      <c r="F486" s="526" t="s">
        <v>1169</v>
      </c>
      <c r="G486" s="526" t="s">
        <v>4706</v>
      </c>
      <c r="H486" s="412">
        <v>757.32759999999996</v>
      </c>
      <c r="I486" s="411">
        <v>27.351179999999999</v>
      </c>
      <c r="J486" s="411">
        <v>92.813500000000005</v>
      </c>
      <c r="K486" s="411">
        <v>10411.892400000001</v>
      </c>
      <c r="L486" s="526" t="s">
        <v>554</v>
      </c>
      <c r="M486" s="409" t="s">
        <v>586</v>
      </c>
      <c r="N486" s="195">
        <v>527.21310000000005</v>
      </c>
    </row>
    <row r="487" spans="1:14" ht="15" x14ac:dyDescent="0.25">
      <c r="A487" s="415">
        <v>223509</v>
      </c>
      <c r="B487" t="str">
        <f t="shared" si="15"/>
        <v>SEVROLL Herkules 2 horné vedenie 2m alu</v>
      </c>
      <c r="C487" s="198" t="e">
        <f t="shared" si="16"/>
        <v>#N/A</v>
      </c>
      <c r="D487" s="526" t="s">
        <v>3077</v>
      </c>
      <c r="E487" s="526" t="s">
        <v>4707</v>
      </c>
      <c r="F487" s="526" t="s">
        <v>4708</v>
      </c>
      <c r="G487" s="526" t="s">
        <v>4709</v>
      </c>
      <c r="H487" s="412" t="e">
        <v>#N/A</v>
      </c>
      <c r="I487" s="411" t="e">
        <v>#N/A</v>
      </c>
      <c r="J487" s="411" t="e">
        <v>#N/A</v>
      </c>
      <c r="K487" s="411" t="e">
        <v>#N/A</v>
      </c>
      <c r="L487" s="526" t="e">
        <v>#N/A</v>
      </c>
      <c r="M487" s="416" t="s">
        <v>586</v>
      </c>
      <c r="N487" s="195">
        <v>531.35252000000003</v>
      </c>
    </row>
    <row r="488" spans="1:14" ht="15" x14ac:dyDescent="0.25">
      <c r="A488" s="415">
        <v>251132</v>
      </c>
      <c r="B488" t="str">
        <f t="shared" si="15"/>
        <v>SEVROLL Hide N spodné vedenie 6m strieborná</v>
      </c>
      <c r="C488" s="198">
        <f t="shared" si="16"/>
        <v>25.235330000000001</v>
      </c>
      <c r="D488" s="526" t="s">
        <v>3214</v>
      </c>
      <c r="E488" s="526" t="s">
        <v>1958</v>
      </c>
      <c r="F488" s="526" t="s">
        <v>4710</v>
      </c>
      <c r="G488" s="526" t="s">
        <v>2478</v>
      </c>
      <c r="H488" s="412">
        <v>666.06690000000003</v>
      </c>
      <c r="I488" s="411">
        <v>25.235330000000001</v>
      </c>
      <c r="J488" s="411">
        <v>86.828620000000001</v>
      </c>
      <c r="K488" s="411">
        <v>9292.8807699999998</v>
      </c>
      <c r="L488" s="526" t="s">
        <v>554</v>
      </c>
      <c r="M488" s="416" t="s">
        <v>586</v>
      </c>
      <c r="N488" s="195">
        <v>533.24570000000006</v>
      </c>
    </row>
    <row r="489" spans="1:14" ht="15" x14ac:dyDescent="0.25">
      <c r="A489" s="410">
        <v>349801</v>
      </c>
      <c r="B489" t="str">
        <f t="shared" ref="B489:B512" si="17">IF($A$2=1,D489,IF($A$2=2,F489,IF($A$2=3,G489,IF($A$2=4,E489,"zadat jazyk"))))</f>
        <v>SEVROLL 04468 Blue horné vedenie  3m oliva</v>
      </c>
      <c r="C489" s="198">
        <f t="shared" si="16"/>
        <v>28.060759999999998</v>
      </c>
      <c r="D489" s="526" t="s">
        <v>3420</v>
      </c>
      <c r="E489" s="526" t="s">
        <v>4711</v>
      </c>
      <c r="F489" s="526" t="s">
        <v>4712</v>
      </c>
      <c r="G489" s="526" t="s">
        <v>4713</v>
      </c>
      <c r="H489" s="412">
        <v>768.94399999999996</v>
      </c>
      <c r="I489" s="411">
        <v>28.060759999999998</v>
      </c>
      <c r="J489" s="411">
        <v>94.933920000000001</v>
      </c>
      <c r="K489" s="411">
        <v>10900.012699999999</v>
      </c>
      <c r="L489" s="526" t="s">
        <v>553</v>
      </c>
      <c r="M489" s="409" t="s">
        <v>586</v>
      </c>
      <c r="N489" s="195">
        <v>533.67660000000001</v>
      </c>
    </row>
    <row r="490" spans="1:14" ht="15" x14ac:dyDescent="0.25">
      <c r="A490" s="410">
        <v>135684</v>
      </c>
      <c r="B490" t="str">
        <f t="shared" si="17"/>
        <v>SEVROLL Unicomfort II úch.lišta 2,7m str.</v>
      </c>
      <c r="C490" s="198">
        <f t="shared" si="16"/>
        <v>26.21585</v>
      </c>
      <c r="D490" s="526" t="s">
        <v>2897</v>
      </c>
      <c r="E490" s="526" t="s">
        <v>4714</v>
      </c>
      <c r="F490" s="526" t="s">
        <v>1219</v>
      </c>
      <c r="G490" s="526" t="s">
        <v>4715</v>
      </c>
      <c r="H490" s="412">
        <v>725.89135999999996</v>
      </c>
      <c r="I490" s="411">
        <v>26.21585</v>
      </c>
      <c r="J490" s="411">
        <v>89.851799999999997</v>
      </c>
      <c r="K490" s="411">
        <v>9979.7007099999992</v>
      </c>
      <c r="L490" s="526" t="s">
        <v>553</v>
      </c>
      <c r="M490" s="409" t="s">
        <v>586</v>
      </c>
      <c r="N490" s="195">
        <v>536.35929999999996</v>
      </c>
    </row>
    <row r="491" spans="1:14" ht="15" x14ac:dyDescent="0.25">
      <c r="A491" s="410">
        <v>197747</v>
      </c>
      <c r="B491" t="str">
        <f t="shared" si="17"/>
        <v>SEVROLL 03064 Optima horné vedenie 2m strieborná</v>
      </c>
      <c r="C491" s="198">
        <f t="shared" si="16"/>
        <v>24.358029999999999</v>
      </c>
      <c r="D491" s="526" t="s">
        <v>2973</v>
      </c>
      <c r="E491" s="526" t="s">
        <v>4716</v>
      </c>
      <c r="F491" s="526" t="s">
        <v>4717</v>
      </c>
      <c r="G491" s="526" t="s">
        <v>4718</v>
      </c>
      <c r="H491" s="412">
        <v>674.45024000000001</v>
      </c>
      <c r="I491" s="411">
        <v>24.358029999999999</v>
      </c>
      <c r="J491" s="411">
        <v>85.741200000000006</v>
      </c>
      <c r="K491" s="411">
        <v>9272.4776899999997</v>
      </c>
      <c r="L491" s="526" t="s">
        <v>554</v>
      </c>
      <c r="M491" s="409" t="s">
        <v>586</v>
      </c>
      <c r="N491" s="195">
        <v>537.01260000000002</v>
      </c>
    </row>
    <row r="492" spans="1:14" ht="15" x14ac:dyDescent="0.25">
      <c r="A492" s="415">
        <v>227185</v>
      </c>
      <c r="B492" t="str">
        <f t="shared" si="17"/>
        <v>K-SEVROLL tlmič dorazu 10/18mm 14-25kg L+P</v>
      </c>
      <c r="C492" s="198">
        <f t="shared" si="16"/>
        <v>0</v>
      </c>
      <c r="D492" s="526" t="s">
        <v>3163</v>
      </c>
      <c r="E492" s="526" t="s">
        <v>4719</v>
      </c>
      <c r="F492" s="526" t="s">
        <v>4720</v>
      </c>
      <c r="G492" s="526" t="s">
        <v>4721</v>
      </c>
      <c r="H492" s="412">
        <v>0</v>
      </c>
      <c r="I492" s="411">
        <v>0</v>
      </c>
      <c r="J492" s="411">
        <v>0</v>
      </c>
      <c r="K492" s="411">
        <v>0</v>
      </c>
      <c r="L492" s="526" t="s">
        <v>553</v>
      </c>
      <c r="M492" s="416" t="s">
        <v>587</v>
      </c>
      <c r="N492" s="195">
        <v>538.31920000000002</v>
      </c>
    </row>
    <row r="493" spans="1:14" ht="15" x14ac:dyDescent="0.25">
      <c r="A493" s="415">
        <v>227187</v>
      </c>
      <c r="B493" t="str">
        <f t="shared" si="17"/>
        <v>K-SEVROLL tlmič dorazu 10/18mm 25-50kg L+P</v>
      </c>
      <c r="C493" s="198">
        <f t="shared" si="16"/>
        <v>0</v>
      </c>
      <c r="D493" s="526" t="s">
        <v>3164</v>
      </c>
      <c r="E493" s="526" t="s">
        <v>4722</v>
      </c>
      <c r="F493" s="526" t="s">
        <v>4723</v>
      </c>
      <c r="G493" s="526" t="s">
        <v>4724</v>
      </c>
      <c r="H493" s="412">
        <v>0</v>
      </c>
      <c r="I493" s="411">
        <v>0</v>
      </c>
      <c r="J493" s="411">
        <v>0</v>
      </c>
      <c r="K493" s="411">
        <v>0</v>
      </c>
      <c r="L493" s="526" t="s">
        <v>553</v>
      </c>
      <c r="M493" s="416" t="s">
        <v>587</v>
      </c>
      <c r="N493" s="195">
        <v>538.31920000000002</v>
      </c>
    </row>
    <row r="494" spans="1:14" ht="15" x14ac:dyDescent="0.25">
      <c r="A494" s="410">
        <v>163108</v>
      </c>
      <c r="B494" t="str">
        <f t="shared" si="17"/>
        <v>SEVROLL Doubler II spodné vedenie 3m str.</v>
      </c>
      <c r="C494" s="198">
        <f t="shared" si="16"/>
        <v>25.364350000000002</v>
      </c>
      <c r="D494" s="526" t="s">
        <v>2910</v>
      </c>
      <c r="E494" s="526" t="s">
        <v>4725</v>
      </c>
      <c r="F494" s="526" t="s">
        <v>1280</v>
      </c>
      <c r="G494" s="526" t="s">
        <v>4726</v>
      </c>
      <c r="H494" s="412">
        <v>702.31417999999996</v>
      </c>
      <c r="I494" s="411">
        <v>25.364350000000002</v>
      </c>
      <c r="J494" s="411">
        <v>94.115399999999994</v>
      </c>
      <c r="K494" s="411">
        <v>9655.5566699999999</v>
      </c>
      <c r="L494" s="526" t="s">
        <v>553</v>
      </c>
      <c r="M494" s="409" t="s">
        <v>586</v>
      </c>
      <c r="N494" s="195">
        <v>542.89229999999998</v>
      </c>
    </row>
    <row r="495" spans="1:14" ht="15" x14ac:dyDescent="0.25">
      <c r="A495" s="410">
        <v>89071</v>
      </c>
      <c r="B495" t="str">
        <f t="shared" si="17"/>
        <v>SEVROLL 00219 spojovacia lišta H30 3m oliva</v>
      </c>
      <c r="C495" s="198">
        <f t="shared" si="16"/>
        <v>27.222169999999998</v>
      </c>
      <c r="D495" s="526" t="s">
        <v>2716</v>
      </c>
      <c r="E495" s="526" t="s">
        <v>4727</v>
      </c>
      <c r="F495" s="526" t="s">
        <v>4728</v>
      </c>
      <c r="G495" s="526" t="s">
        <v>2716</v>
      </c>
      <c r="H495" s="412">
        <v>753.75530000000003</v>
      </c>
      <c r="I495" s="411">
        <v>27.222169999999998</v>
      </c>
      <c r="J495" s="411">
        <v>92.410200000000003</v>
      </c>
      <c r="K495" s="411">
        <v>10362.779699999999</v>
      </c>
      <c r="L495" s="526" t="s">
        <v>553</v>
      </c>
      <c r="M495" s="409" t="s">
        <v>586</v>
      </c>
      <c r="N495" s="195">
        <v>547.46540000000005</v>
      </c>
    </row>
    <row r="496" spans="1:14" ht="15" x14ac:dyDescent="0.25">
      <c r="A496" s="410">
        <v>278057</v>
      </c>
      <c r="B496" t="str">
        <f t="shared" si="17"/>
        <v>SEVROLL Pax úchytová lišta 3m strieborná</v>
      </c>
      <c r="C496" s="198">
        <f t="shared" si="16"/>
        <v>22.809850000000001</v>
      </c>
      <c r="D496" s="526" t="s">
        <v>3249</v>
      </c>
      <c r="E496" s="526" t="s">
        <v>4729</v>
      </c>
      <c r="F496" s="526" t="s">
        <v>1142</v>
      </c>
      <c r="G496" s="526" t="s">
        <v>4730</v>
      </c>
      <c r="H496" s="412">
        <v>631.58263999999997</v>
      </c>
      <c r="I496" s="411">
        <v>22.809850000000001</v>
      </c>
      <c r="J496" s="411">
        <v>87.771000000000001</v>
      </c>
      <c r="K496" s="411">
        <v>8683.1252899999999</v>
      </c>
      <c r="L496" s="526" t="s">
        <v>554</v>
      </c>
      <c r="M496" s="409" t="s">
        <v>586</v>
      </c>
      <c r="N496" s="195">
        <v>550.07860000000005</v>
      </c>
    </row>
    <row r="497" spans="1:14" ht="15" x14ac:dyDescent="0.25">
      <c r="A497" s="413">
        <v>196709</v>
      </c>
      <c r="B497" t="str">
        <f t="shared" si="17"/>
        <v>Sevroll 85615 Lux III úchytová lišta 2,7m oliva</v>
      </c>
      <c r="C497" s="198">
        <f t="shared" si="16"/>
        <v>27.067350000000001</v>
      </c>
      <c r="D497" s="526" t="s">
        <v>2966</v>
      </c>
      <c r="E497" s="526" t="s">
        <v>4731</v>
      </c>
      <c r="F497" s="526" t="s">
        <v>2966</v>
      </c>
      <c r="G497" s="526" t="s">
        <v>4732</v>
      </c>
      <c r="H497" s="412" t="e">
        <v>#N/A</v>
      </c>
      <c r="I497" s="411">
        <v>27.067350000000001</v>
      </c>
      <c r="J497" s="411">
        <v>102.16219</v>
      </c>
      <c r="K497" s="411">
        <v>10303.84439</v>
      </c>
      <c r="L497" s="526" t="e">
        <v>#N/A</v>
      </c>
      <c r="M497" s="414" t="s">
        <v>586</v>
      </c>
      <c r="N497" s="195">
        <v>553.08100000000002</v>
      </c>
    </row>
    <row r="498" spans="1:14" ht="15" x14ac:dyDescent="0.25">
      <c r="A498" s="410">
        <v>135685</v>
      </c>
      <c r="B498" t="str">
        <f t="shared" si="17"/>
        <v>SEVROLL 02726 Unicomfort II úchytová lišta 2,7m oliva</v>
      </c>
      <c r="C498" s="198">
        <f t="shared" si="16"/>
        <v>30.344329999999999</v>
      </c>
      <c r="D498" s="526" t="s">
        <v>2898</v>
      </c>
      <c r="E498" s="526" t="s">
        <v>4733</v>
      </c>
      <c r="F498" s="526" t="s">
        <v>2898</v>
      </c>
      <c r="G498" s="526" t="s">
        <v>4734</v>
      </c>
      <c r="H498" s="412">
        <v>840.20496000000003</v>
      </c>
      <c r="I498" s="411">
        <v>30.344329999999999</v>
      </c>
      <c r="J498" s="411">
        <v>102.69280000000001</v>
      </c>
      <c r="K498" s="411">
        <v>11551.30711</v>
      </c>
      <c r="L498" s="526" t="s">
        <v>554</v>
      </c>
      <c r="M498" s="409" t="s">
        <v>586</v>
      </c>
      <c r="N498" s="195">
        <v>561.83799999999997</v>
      </c>
    </row>
    <row r="499" spans="1:14" ht="15" x14ac:dyDescent="0.25">
      <c r="A499" s="410">
        <v>224014</v>
      </c>
      <c r="B499" t="str">
        <f t="shared" si="17"/>
        <v>SEVROLL Simple horné vedenie 4m strieborná</v>
      </c>
      <c r="C499" s="198">
        <f t="shared" si="16"/>
        <v>28.383299999999998</v>
      </c>
      <c r="D499" s="526" t="s">
        <v>3111</v>
      </c>
      <c r="E499" s="526" t="s">
        <v>4735</v>
      </c>
      <c r="F499" s="526" t="s">
        <v>1074</v>
      </c>
      <c r="G499" s="526" t="s">
        <v>4736</v>
      </c>
      <c r="H499" s="412">
        <v>777.42499999999995</v>
      </c>
      <c r="I499" s="411">
        <v>28.383299999999998</v>
      </c>
      <c r="J499" s="411">
        <v>105.13754</v>
      </c>
      <c r="K499" s="411">
        <v>11025.3</v>
      </c>
      <c r="L499" s="526" t="s">
        <v>554</v>
      </c>
      <c r="M499" s="409" t="s">
        <v>586</v>
      </c>
      <c r="N499" s="195">
        <v>566.70299999999997</v>
      </c>
    </row>
    <row r="500" spans="1:14" ht="15" x14ac:dyDescent="0.25">
      <c r="A500" s="410">
        <v>278058</v>
      </c>
      <c r="B500" t="str">
        <f t="shared" si="17"/>
        <v>SEVROLL 04096 Pax horná vodiaca lišta 3m strieborná</v>
      </c>
      <c r="C500" s="198">
        <f t="shared" si="16"/>
        <v>22.396999999999998</v>
      </c>
      <c r="D500" s="526" t="s">
        <v>3250</v>
      </c>
      <c r="E500" s="526" t="s">
        <v>4737</v>
      </c>
      <c r="F500" s="526" t="s">
        <v>4738</v>
      </c>
      <c r="G500" s="526" t="s">
        <v>4739</v>
      </c>
      <c r="H500" s="412">
        <v>620.15128000000004</v>
      </c>
      <c r="I500" s="411">
        <v>22.396999999999998</v>
      </c>
      <c r="J500" s="411">
        <v>86.302199999999999</v>
      </c>
      <c r="K500" s="411">
        <v>8525.9645700000001</v>
      </c>
      <c r="L500" s="526" t="s">
        <v>553</v>
      </c>
      <c r="M500" s="409" t="s">
        <v>586</v>
      </c>
      <c r="N500" s="195">
        <v>567.06439999999998</v>
      </c>
    </row>
    <row r="501" spans="1:14" ht="15" x14ac:dyDescent="0.25">
      <c r="A501" s="410">
        <v>100102</v>
      </c>
      <c r="B501" t="str">
        <f t="shared" si="17"/>
        <v>SEVROLL 02376 Master úchytová lišta 2,7m strieborná</v>
      </c>
      <c r="C501" s="198">
        <f t="shared" si="16"/>
        <v>24.99794</v>
      </c>
      <c r="D501" s="526" t="s">
        <v>2820</v>
      </c>
      <c r="E501" s="526" t="s">
        <v>4740</v>
      </c>
      <c r="F501" s="526" t="s">
        <v>4741</v>
      </c>
      <c r="G501" s="526" t="s">
        <v>4742</v>
      </c>
      <c r="H501" s="412">
        <v>692.16885000000002</v>
      </c>
      <c r="I501" s="411">
        <v>24.99794</v>
      </c>
      <c r="J501" s="411">
        <v>90.78</v>
      </c>
      <c r="K501" s="411">
        <v>9516.0766500000009</v>
      </c>
      <c r="L501" s="526" t="s">
        <v>554</v>
      </c>
      <c r="M501" s="409" t="s">
        <v>586</v>
      </c>
      <c r="N501" s="195">
        <v>567.71770000000004</v>
      </c>
    </row>
    <row r="502" spans="1:14" ht="15" x14ac:dyDescent="0.25">
      <c r="A502" s="410">
        <v>163113</v>
      </c>
      <c r="B502" t="str">
        <f t="shared" si="17"/>
        <v>SEVROLL 02846 Doubler II spodné vedenie 3m oliva</v>
      </c>
      <c r="C502" s="198">
        <f t="shared" si="16"/>
        <v>31.705449999999999</v>
      </c>
      <c r="D502" s="526" t="s">
        <v>2914</v>
      </c>
      <c r="E502" s="526" t="s">
        <v>4743</v>
      </c>
      <c r="F502" s="526" t="s">
        <v>4744</v>
      </c>
      <c r="G502" s="526" t="s">
        <v>4745</v>
      </c>
      <c r="H502" s="412">
        <v>878.07133999999996</v>
      </c>
      <c r="I502" s="411">
        <v>31.705449999999999</v>
      </c>
      <c r="J502" s="411">
        <v>107.59</v>
      </c>
      <c r="K502" s="411">
        <v>12069.446319999999</v>
      </c>
      <c r="L502" s="526" t="s">
        <v>554</v>
      </c>
      <c r="M502" s="409" t="s">
        <v>586</v>
      </c>
      <c r="N502" s="195">
        <v>568.37099999999998</v>
      </c>
    </row>
    <row r="503" spans="1:14" ht="15" x14ac:dyDescent="0.25">
      <c r="A503" s="410">
        <v>308632</v>
      </c>
      <c r="B503" t="str">
        <f t="shared" si="17"/>
        <v>SEVROLL Porto úchytová lišta 2,7m oliva</v>
      </c>
      <c r="C503" s="198" t="e">
        <f t="shared" si="16"/>
        <v>#N/A</v>
      </c>
      <c r="D503" s="526" t="s">
        <v>3327</v>
      </c>
      <c r="E503" s="526" t="s">
        <v>4746</v>
      </c>
      <c r="F503" s="526" t="s">
        <v>1139</v>
      </c>
      <c r="G503" s="526" t="s">
        <v>4747</v>
      </c>
      <c r="H503" s="412" t="e">
        <v>#N/A</v>
      </c>
      <c r="I503" s="411" t="e">
        <v>#N/A</v>
      </c>
      <c r="J503" s="411" t="e">
        <v>#N/A</v>
      </c>
      <c r="K503" s="411" t="e">
        <v>#N/A</v>
      </c>
      <c r="L503" s="526" t="e">
        <v>#N/A</v>
      </c>
      <c r="M503" s="409" t="s">
        <v>586</v>
      </c>
      <c r="N503" s="195">
        <v>568.37099999999998</v>
      </c>
    </row>
    <row r="504" spans="1:14" ht="15" x14ac:dyDescent="0.25">
      <c r="A504" s="410">
        <v>238030</v>
      </c>
      <c r="B504" t="str">
        <f t="shared" si="17"/>
        <v>SEVROLL Prosper II úch lišta 2 7m oliva</v>
      </c>
      <c r="C504" s="198" t="e">
        <f t="shared" si="16"/>
        <v>#N/A</v>
      </c>
      <c r="D504" s="526" t="s">
        <v>3199</v>
      </c>
      <c r="E504" s="526" t="s">
        <v>4748</v>
      </c>
      <c r="F504" s="526" t="s">
        <v>1131</v>
      </c>
      <c r="G504" s="526" t="s">
        <v>4749</v>
      </c>
      <c r="H504" s="412" t="e">
        <v>#N/A</v>
      </c>
      <c r="I504" s="411" t="e">
        <v>#N/A</v>
      </c>
      <c r="J504" s="411" t="e">
        <v>#N/A</v>
      </c>
      <c r="K504" s="411" t="e">
        <v>#N/A</v>
      </c>
      <c r="L504" s="526" t="e">
        <v>#N/A</v>
      </c>
      <c r="M504" s="409" t="s">
        <v>586</v>
      </c>
      <c r="N504" s="195">
        <v>568.37099999999998</v>
      </c>
    </row>
    <row r="505" spans="1:14" ht="15" x14ac:dyDescent="0.25">
      <c r="A505" s="410">
        <v>284592</v>
      </c>
      <c r="B505" t="str">
        <f t="shared" si="17"/>
        <v>SEVROLL Rex úchytová lišta 2,7m oliva</v>
      </c>
      <c r="C505" s="198" t="e">
        <f t="shared" si="16"/>
        <v>#N/A</v>
      </c>
      <c r="D505" s="526" t="s">
        <v>3281</v>
      </c>
      <c r="E505" s="526" t="s">
        <v>4750</v>
      </c>
      <c r="F505" s="526" t="s">
        <v>1130</v>
      </c>
      <c r="G505" s="526" t="s">
        <v>4751</v>
      </c>
      <c r="H505" s="412" t="e">
        <v>#N/A</v>
      </c>
      <c r="I505" s="411" t="e">
        <v>#N/A</v>
      </c>
      <c r="J505" s="411" t="e">
        <v>#N/A</v>
      </c>
      <c r="K505" s="411" t="e">
        <v>#N/A</v>
      </c>
      <c r="L505" s="526" t="e">
        <v>#N/A</v>
      </c>
      <c r="M505" s="409" t="s">
        <v>586</v>
      </c>
      <c r="N505" s="195">
        <v>568.37099999999998</v>
      </c>
    </row>
    <row r="506" spans="1:14" ht="15" x14ac:dyDescent="0.25">
      <c r="A506" s="410">
        <v>284975</v>
      </c>
      <c r="B506" t="str">
        <f t="shared" si="17"/>
        <v>SEVROLL Maxim II spodné vedenie 3,5m oliva</v>
      </c>
      <c r="C506" s="198">
        <f>$J$5</f>
        <v>0.52376999999999996</v>
      </c>
      <c r="D506" s="526" t="s">
        <v>3294</v>
      </c>
      <c r="E506" s="526" t="s">
        <v>4752</v>
      </c>
      <c r="F506" s="526" t="s">
        <v>1153</v>
      </c>
      <c r="G506" s="526" t="s">
        <v>4753</v>
      </c>
      <c r="H506" s="412" t="e">
        <v>#N/A</v>
      </c>
      <c r="I506" s="411" t="e">
        <v>#N/A</v>
      </c>
      <c r="J506" s="411" t="e">
        <v>#N/A</v>
      </c>
      <c r="K506" s="411" t="e">
        <v>#N/A</v>
      </c>
      <c r="L506" s="526" t="e">
        <v>#N/A</v>
      </c>
      <c r="M506" s="409" t="s">
        <v>586</v>
      </c>
      <c r="N506" s="195">
        <v>579.47709999999995</v>
      </c>
    </row>
    <row r="507" spans="1:14" ht="15" x14ac:dyDescent="0.25">
      <c r="A507" s="410">
        <v>89111</v>
      </c>
      <c r="B507" t="str">
        <f t="shared" si="17"/>
        <v>SEVROLL 01011 Gemini horné vedenie 3m oliva</v>
      </c>
      <c r="C507" s="198">
        <f t="shared" ref="C507:C570" si="18">IF($A$2=1,H507,IF($A$2=2,I507,IF($A$2=3,J507,IF($A$2=4,K507,"zadat jazyk"))))</f>
        <v>30.9636</v>
      </c>
      <c r="D507" s="526" t="s">
        <v>2661</v>
      </c>
      <c r="E507" s="526" t="s">
        <v>4754</v>
      </c>
      <c r="F507" s="526" t="s">
        <v>4755</v>
      </c>
      <c r="G507" s="526" t="s">
        <v>2661</v>
      </c>
      <c r="H507" s="412">
        <v>857.35199999999998</v>
      </c>
      <c r="I507" s="411">
        <v>30.9636</v>
      </c>
      <c r="J507" s="411">
        <v>107.13551</v>
      </c>
      <c r="K507" s="411">
        <v>11787.048000000001</v>
      </c>
      <c r="L507" s="526" t="s">
        <v>553</v>
      </c>
      <c r="M507" s="409" t="s">
        <v>586</v>
      </c>
      <c r="N507" s="195">
        <v>586.66340000000002</v>
      </c>
    </row>
    <row r="508" spans="1:14" ht="15" x14ac:dyDescent="0.25">
      <c r="A508" s="410">
        <v>89110</v>
      </c>
      <c r="B508" t="str">
        <f t="shared" si="17"/>
        <v>SEVROLL 01011 Gemini horné vedenie 3m zlatá</v>
      </c>
      <c r="C508" s="198">
        <f t="shared" si="18"/>
        <v>30.9636</v>
      </c>
      <c r="D508" s="526" t="s">
        <v>2660</v>
      </c>
      <c r="E508" s="526" t="s">
        <v>4756</v>
      </c>
      <c r="F508" s="526" t="s">
        <v>4757</v>
      </c>
      <c r="G508" s="526" t="s">
        <v>2660</v>
      </c>
      <c r="H508" s="412">
        <v>857.35199999999998</v>
      </c>
      <c r="I508" s="411">
        <v>30.9636</v>
      </c>
      <c r="J508" s="411">
        <v>107.13551</v>
      </c>
      <c r="K508" s="411">
        <v>11787.048000000001</v>
      </c>
      <c r="L508" s="526" t="s">
        <v>553</v>
      </c>
      <c r="M508" s="409" t="s">
        <v>586</v>
      </c>
      <c r="N508" s="195">
        <v>586.66340000000002</v>
      </c>
    </row>
    <row r="509" spans="1:14" ht="15" x14ac:dyDescent="0.25">
      <c r="A509" s="410">
        <v>98077</v>
      </c>
      <c r="B509" t="str">
        <f t="shared" si="17"/>
        <v>SEVROLL Everest vodiaca lišta 3m strieborná</v>
      </c>
      <c r="C509" s="198">
        <f t="shared" si="18"/>
        <v>25.390149999999998</v>
      </c>
      <c r="D509" s="526" t="s">
        <v>2808</v>
      </c>
      <c r="E509" s="526" t="s">
        <v>4758</v>
      </c>
      <c r="F509" s="526" t="s">
        <v>1279</v>
      </c>
      <c r="G509" s="526" t="s">
        <v>4759</v>
      </c>
      <c r="H509" s="412">
        <v>703.02864</v>
      </c>
      <c r="I509" s="411">
        <v>25.390149999999998</v>
      </c>
      <c r="J509" s="411">
        <v>89.321399999999997</v>
      </c>
      <c r="K509" s="411">
        <v>9665.3792900000008</v>
      </c>
      <c r="L509" s="526" t="s">
        <v>553</v>
      </c>
      <c r="M509" s="409" t="s">
        <v>586</v>
      </c>
      <c r="N509" s="195">
        <v>587.31669999999997</v>
      </c>
    </row>
    <row r="510" spans="1:14" ht="15" x14ac:dyDescent="0.25">
      <c r="A510" s="415">
        <v>279078</v>
      </c>
      <c r="B510" t="str">
        <f t="shared" si="17"/>
        <v>SEVROLL Hide N spodné vedenie 6m oliva</v>
      </c>
      <c r="C510" s="198">
        <f t="shared" si="18"/>
        <v>29.570239999999998</v>
      </c>
      <c r="D510" s="526" t="s">
        <v>3254</v>
      </c>
      <c r="E510" s="526" t="s">
        <v>4760</v>
      </c>
      <c r="F510" s="526" t="s">
        <v>4761</v>
      </c>
      <c r="G510" s="526" t="s">
        <v>4762</v>
      </c>
      <c r="H510" s="412">
        <v>780.48329999999999</v>
      </c>
      <c r="I510" s="411">
        <v>29.570239999999998</v>
      </c>
      <c r="J510" s="411">
        <v>101.74397</v>
      </c>
      <c r="K510" s="411">
        <v>10889.20384</v>
      </c>
      <c r="L510" s="526" t="s">
        <v>554</v>
      </c>
      <c r="M510" s="416" t="s">
        <v>586</v>
      </c>
      <c r="N510" s="195">
        <v>587.51685999999995</v>
      </c>
    </row>
    <row r="511" spans="1:14" ht="15" x14ac:dyDescent="0.25">
      <c r="A511" s="410">
        <v>307703</v>
      </c>
      <c r="B511" t="str">
        <f t="shared" si="17"/>
        <v>SEVROLL Everest vodiaca lišta 3m oliva</v>
      </c>
      <c r="C511" s="198">
        <f t="shared" si="18"/>
        <v>29.647649999999999</v>
      </c>
      <c r="D511" s="526" t="s">
        <v>3319</v>
      </c>
      <c r="E511" s="526" t="s">
        <v>4763</v>
      </c>
      <c r="F511" s="526" t="s">
        <v>1201</v>
      </c>
      <c r="G511" s="526" t="s">
        <v>4764</v>
      </c>
      <c r="H511" s="412">
        <v>820.91453999999999</v>
      </c>
      <c r="I511" s="411">
        <v>29.647649999999999</v>
      </c>
      <c r="J511" s="411">
        <v>100.6397</v>
      </c>
      <c r="K511" s="411">
        <v>11286.098389999999</v>
      </c>
      <c r="L511" s="526" t="s">
        <v>554</v>
      </c>
      <c r="M511" s="409" t="s">
        <v>586</v>
      </c>
      <c r="N511" s="195">
        <v>589.27660000000003</v>
      </c>
    </row>
    <row r="512" spans="1:14" ht="15" x14ac:dyDescent="0.25">
      <c r="A512" s="410">
        <v>351541</v>
      </c>
      <c r="B512" t="str">
        <f t="shared" si="17"/>
        <v>SEVROLL 04763 Gemini II spodné vedenie 4,05m biela lesk</v>
      </c>
      <c r="C512" s="198">
        <f t="shared" si="18"/>
        <v>24.845960000000002</v>
      </c>
      <c r="D512" s="526" t="s">
        <v>3458</v>
      </c>
      <c r="E512" s="526" t="s">
        <v>4765</v>
      </c>
      <c r="F512" s="526" t="s">
        <v>4766</v>
      </c>
      <c r="G512" s="526" t="s">
        <v>4767</v>
      </c>
      <c r="H512" s="412">
        <v>688.02498000000003</v>
      </c>
      <c r="I512" s="411">
        <v>24.845960000000002</v>
      </c>
      <c r="J512" s="411">
        <v>99.8172</v>
      </c>
      <c r="K512" s="411">
        <v>9458.22235</v>
      </c>
      <c r="L512" s="526" t="s">
        <v>554</v>
      </c>
      <c r="M512" s="409" t="s">
        <v>586</v>
      </c>
      <c r="N512" s="195">
        <v>589.27660000000003</v>
      </c>
    </row>
    <row r="513" spans="1:14" ht="15" x14ac:dyDescent="0.25">
      <c r="A513" s="410">
        <v>212542</v>
      </c>
      <c r="B513" t="str">
        <f>IF($A$2=1,D513,IF($A$2=2,G513,IF($A$2=3,#REF!,IF($A$2=4,F513,"zadat jazyk"))))</f>
        <v>SEVROLL Star rączka 2,7 m srebrna</v>
      </c>
      <c r="C513" s="198">
        <f t="shared" si="18"/>
        <v>26.29843</v>
      </c>
      <c r="D513" s="526" t="s">
        <v>3011</v>
      </c>
      <c r="E513" s="526" t="s">
        <v>4768</v>
      </c>
      <c r="F513" s="526" t="s">
        <v>1123</v>
      </c>
      <c r="G513" s="526" t="s">
        <v>4769</v>
      </c>
      <c r="H513" s="412">
        <v>728.17763000000002</v>
      </c>
      <c r="I513" s="411">
        <v>26.29843</v>
      </c>
      <c r="J513" s="411">
        <v>96.298199999999994</v>
      </c>
      <c r="K513" s="411">
        <v>10011.13272</v>
      </c>
      <c r="L513" s="526" t="s">
        <v>554</v>
      </c>
      <c r="M513" s="409" t="s">
        <v>586</v>
      </c>
      <c r="N513" s="195">
        <v>602.99590000000001</v>
      </c>
    </row>
    <row r="514" spans="1:14" ht="15" x14ac:dyDescent="0.25">
      <c r="A514" s="410">
        <v>89035</v>
      </c>
      <c r="B514" t="str">
        <f t="shared" ref="B514:B538" si="19">IF($A$2=1,D514,IF($A$2=2,F514,IF($A$2=3,G514,IF($A$2=4,E514,"zadat jazyk"))))</f>
        <v>SEVROLL 01257 SINGLE HORNÉ VEDENIE 3 m strieborná</v>
      </c>
      <c r="C514" s="198">
        <f t="shared" si="18"/>
        <v>26.190049999999999</v>
      </c>
      <c r="D514" s="526" t="s">
        <v>2755</v>
      </c>
      <c r="E514" s="526" t="s">
        <v>4770</v>
      </c>
      <c r="F514" s="526" t="s">
        <v>4771</v>
      </c>
      <c r="G514" s="526" t="s">
        <v>2755</v>
      </c>
      <c r="H514" s="412">
        <v>691.26575000000003</v>
      </c>
      <c r="I514" s="411">
        <v>26.190049999999999</v>
      </c>
      <c r="J514" s="411">
        <v>90.113560000000007</v>
      </c>
      <c r="K514" s="411">
        <v>9644.4519299999993</v>
      </c>
      <c r="L514" s="526" t="s">
        <v>553</v>
      </c>
      <c r="M514" s="409" t="s">
        <v>586</v>
      </c>
      <c r="N514" s="195">
        <v>605.60910000000001</v>
      </c>
    </row>
    <row r="515" spans="1:14" ht="15" x14ac:dyDescent="0.25">
      <c r="A515" s="415">
        <v>224161</v>
      </c>
      <c r="B515" t="str">
        <f t="shared" si="19"/>
        <v>SEVROLL 219-070 Symetric sada kovania pre 2 krídla</v>
      </c>
      <c r="C515" s="198">
        <f t="shared" si="18"/>
        <v>39.633409999999998</v>
      </c>
      <c r="D515" s="526" t="s">
        <v>3150</v>
      </c>
      <c r="E515" s="526" t="s">
        <v>4772</v>
      </c>
      <c r="F515" s="526" t="s">
        <v>4773</v>
      </c>
      <c r="G515" s="526" t="s">
        <v>4774</v>
      </c>
      <c r="H515" s="412">
        <v>1046.0927999999999</v>
      </c>
      <c r="I515" s="411">
        <v>39.633409999999998</v>
      </c>
      <c r="J515" s="411">
        <v>136.36887999999999</v>
      </c>
      <c r="K515" s="411">
        <v>14594.95384</v>
      </c>
      <c r="L515" s="526" t="s">
        <v>554</v>
      </c>
      <c r="M515" s="416" t="s">
        <v>586</v>
      </c>
      <c r="N515" s="195">
        <v>610.86608000000001</v>
      </c>
    </row>
    <row r="516" spans="1:14" ht="15" x14ac:dyDescent="0.25">
      <c r="A516" s="415">
        <v>223528</v>
      </c>
      <c r="B516" t="str">
        <f t="shared" si="19"/>
        <v>SEVROLL Herkules sada kovania 60kg</v>
      </c>
      <c r="C516" s="198" t="e">
        <f t="shared" si="18"/>
        <v>#N/A</v>
      </c>
      <c r="D516" s="526" t="s">
        <v>3092</v>
      </c>
      <c r="E516" s="526" t="s">
        <v>4775</v>
      </c>
      <c r="F516" s="526" t="s">
        <v>1178</v>
      </c>
      <c r="G516" s="526" t="s">
        <v>4776</v>
      </c>
      <c r="H516" s="412" t="e">
        <v>#N/A</v>
      </c>
      <c r="I516" s="411" t="e">
        <v>#N/A</v>
      </c>
      <c r="J516" s="411" t="e">
        <v>#N/A</v>
      </c>
      <c r="K516" s="411" t="e">
        <v>#N/A</v>
      </c>
      <c r="L516" s="526" t="e">
        <v>#N/A</v>
      </c>
      <c r="M516" s="416" t="s">
        <v>587</v>
      </c>
      <c r="N516" s="195">
        <v>610.86608000000001</v>
      </c>
    </row>
    <row r="517" spans="1:14" ht="15" x14ac:dyDescent="0.25">
      <c r="A517" s="415">
        <v>84172</v>
      </c>
      <c r="B517" t="str">
        <f t="shared" si="19"/>
        <v>SEVROLL 219-070 Herkules-synchro mechanika for 2x50kg</v>
      </c>
      <c r="C517" s="198" t="e">
        <f t="shared" si="18"/>
        <v>#N/A</v>
      </c>
      <c r="D517" s="526" t="s">
        <v>2747</v>
      </c>
      <c r="E517" s="526" t="s">
        <v>4777</v>
      </c>
      <c r="F517" s="526" t="s">
        <v>2747</v>
      </c>
      <c r="G517" s="526" t="s">
        <v>4778</v>
      </c>
      <c r="H517" s="412" t="e">
        <v>#N/A</v>
      </c>
      <c r="I517" s="411" t="e">
        <v>#N/A</v>
      </c>
      <c r="J517" s="411" t="e">
        <v>#N/A</v>
      </c>
      <c r="K517" s="411" t="e">
        <v>#N/A</v>
      </c>
      <c r="L517" s="526" t="e">
        <v>#N/A</v>
      </c>
      <c r="M517" s="416" t="s">
        <v>587</v>
      </c>
      <c r="N517" s="195">
        <v>610.86608000000001</v>
      </c>
    </row>
    <row r="518" spans="1:14" ht="15" x14ac:dyDescent="0.25">
      <c r="A518" s="410">
        <v>308627</v>
      </c>
      <c r="B518" t="str">
        <f t="shared" si="19"/>
        <v>SEVROLL 03212 spojovacia lišta H30 3m biela lesk</v>
      </c>
      <c r="C518" s="198">
        <f t="shared" si="18"/>
        <v>29.028379999999999</v>
      </c>
      <c r="D518" s="526" t="s">
        <v>3322</v>
      </c>
      <c r="E518" s="526" t="s">
        <v>4779</v>
      </c>
      <c r="F518" s="526" t="s">
        <v>4780</v>
      </c>
      <c r="G518" s="526" t="s">
        <v>4781</v>
      </c>
      <c r="H518" s="412">
        <v>803.76750000000004</v>
      </c>
      <c r="I518" s="411">
        <v>29.028379999999999</v>
      </c>
      <c r="J518" s="411">
        <v>102.1734</v>
      </c>
      <c r="K518" s="411">
        <v>11050.3575</v>
      </c>
      <c r="L518" s="526" t="s">
        <v>554</v>
      </c>
      <c r="M518" s="409" t="s">
        <v>586</v>
      </c>
      <c r="N518" s="195">
        <v>616.06190000000004</v>
      </c>
    </row>
    <row r="519" spans="1:14" ht="15" x14ac:dyDescent="0.25">
      <c r="A519" s="415">
        <v>279096</v>
      </c>
      <c r="B519" t="str">
        <f t="shared" si="19"/>
        <v>SEVROLL krycí profil Galaxy 6m</v>
      </c>
      <c r="C519" s="198">
        <f t="shared" si="18"/>
        <v>34.524410000000003</v>
      </c>
      <c r="D519" s="526" t="s">
        <v>3269</v>
      </c>
      <c r="E519" s="526" t="s">
        <v>4782</v>
      </c>
      <c r="F519" s="526" t="s">
        <v>1167</v>
      </c>
      <c r="G519" s="526" t="s">
        <v>4783</v>
      </c>
      <c r="H519" s="412">
        <v>911.24490000000003</v>
      </c>
      <c r="I519" s="411">
        <v>34.524410000000003</v>
      </c>
      <c r="J519" s="411">
        <v>118.79007</v>
      </c>
      <c r="K519" s="411">
        <v>12713.57307</v>
      </c>
      <c r="L519" s="526" t="s">
        <v>554</v>
      </c>
      <c r="M519" s="416" t="s">
        <v>586</v>
      </c>
      <c r="N519" s="195">
        <v>616.54561999999999</v>
      </c>
    </row>
    <row r="520" spans="1:14" ht="15" x14ac:dyDescent="0.25">
      <c r="A520" s="410">
        <v>180325</v>
      </c>
      <c r="B520" t="str">
        <f t="shared" si="19"/>
        <v>SEVROLL SPODNÉ VED. MAXIM II 4,3M STR.</v>
      </c>
      <c r="C520" s="198" t="e">
        <f t="shared" si="18"/>
        <v>#N/A</v>
      </c>
      <c r="D520" s="526" t="s">
        <v>2937</v>
      </c>
      <c r="E520" s="526" t="s">
        <v>4784</v>
      </c>
      <c r="F520" s="526" t="s">
        <v>4785</v>
      </c>
      <c r="G520" s="526" t="s">
        <v>4786</v>
      </c>
      <c r="H520" s="412" t="e">
        <v>#N/A</v>
      </c>
      <c r="I520" s="411" t="e">
        <v>#N/A</v>
      </c>
      <c r="J520" s="411" t="e">
        <v>#N/A</v>
      </c>
      <c r="K520" s="411" t="e">
        <v>#N/A</v>
      </c>
      <c r="L520" s="526" t="e">
        <v>#N/A</v>
      </c>
      <c r="M520" s="409" t="s">
        <v>586</v>
      </c>
      <c r="N520" s="195">
        <v>618.67510000000004</v>
      </c>
    </row>
    <row r="521" spans="1:14" ht="15" x14ac:dyDescent="0.25">
      <c r="A521" s="415">
        <v>354300</v>
      </c>
      <c r="B521" t="e">
        <f t="shared" si="19"/>
        <v>#N/A</v>
      </c>
      <c r="C521" s="198" t="e">
        <f t="shared" si="18"/>
        <v>#N/A</v>
      </c>
      <c r="D521" s="526" t="e">
        <v>#N/A</v>
      </c>
      <c r="E521" s="526" t="e">
        <v>#N/A</v>
      </c>
      <c r="F521" s="526" t="e">
        <v>#N/A</v>
      </c>
      <c r="G521" s="526" t="e">
        <v>#N/A</v>
      </c>
      <c r="H521" s="412" t="e">
        <v>#N/A</v>
      </c>
      <c r="I521" s="411" t="e">
        <v>#N/A</v>
      </c>
      <c r="J521" s="411" t="e">
        <v>#N/A</v>
      </c>
      <c r="K521" s="411" t="e">
        <v>#N/A</v>
      </c>
      <c r="L521" s="526" t="e">
        <v>#N/A</v>
      </c>
      <c r="M521" s="416" t="s">
        <v>586</v>
      </c>
      <c r="N521" s="195">
        <v>619.70092</v>
      </c>
    </row>
    <row r="522" spans="1:14" ht="15" x14ac:dyDescent="0.25">
      <c r="A522" s="410">
        <v>284521</v>
      </c>
      <c r="B522" t="str">
        <f t="shared" si="19"/>
        <v>SEVROLL 04098 Pax úchytová lišta 2,7m biela lesk</v>
      </c>
      <c r="C522" s="198">
        <f t="shared" si="18"/>
        <v>26.667400000000001</v>
      </c>
      <c r="D522" s="526" t="s">
        <v>3272</v>
      </c>
      <c r="E522" s="526" t="s">
        <v>4787</v>
      </c>
      <c r="F522" s="526" t="s">
        <v>4788</v>
      </c>
      <c r="G522" s="526" t="s">
        <v>4789</v>
      </c>
      <c r="H522" s="412">
        <v>738.75163999999995</v>
      </c>
      <c r="I522" s="411">
        <v>26.667400000000001</v>
      </c>
      <c r="J522" s="411">
        <v>102.67319999999999</v>
      </c>
      <c r="K522" s="411">
        <v>10151.59497</v>
      </c>
      <c r="L522" s="526" t="s">
        <v>554</v>
      </c>
      <c r="M522" s="409" t="s">
        <v>586</v>
      </c>
      <c r="N522" s="195">
        <v>619.98170000000005</v>
      </c>
    </row>
    <row r="523" spans="1:14" ht="15" x14ac:dyDescent="0.25">
      <c r="A523" s="410">
        <v>100103</v>
      </c>
      <c r="B523" t="str">
        <f t="shared" si="19"/>
        <v>SEVROLL 02377 Master úchytová lišta 2,7m oliva</v>
      </c>
      <c r="C523" s="198">
        <f t="shared" si="18"/>
        <v>31.247430000000001</v>
      </c>
      <c r="D523" s="526" t="s">
        <v>2821</v>
      </c>
      <c r="E523" s="526" t="s">
        <v>4790</v>
      </c>
      <c r="F523" s="526" t="s">
        <v>2821</v>
      </c>
      <c r="G523" s="526" t="s">
        <v>4791</v>
      </c>
      <c r="H523" s="412">
        <v>865.21105999999997</v>
      </c>
      <c r="I523" s="411">
        <v>31.247430000000001</v>
      </c>
      <c r="J523" s="411">
        <v>106.057</v>
      </c>
      <c r="K523" s="411">
        <v>11895.096009999999</v>
      </c>
      <c r="L523" s="526" t="s">
        <v>554</v>
      </c>
      <c r="M523" s="409" t="s">
        <v>586</v>
      </c>
      <c r="N523" s="195">
        <v>621.28830000000005</v>
      </c>
    </row>
    <row r="524" spans="1:14" ht="15" x14ac:dyDescent="0.25">
      <c r="A524" s="410">
        <v>224122</v>
      </c>
      <c r="B524" t="str">
        <f t="shared" si="19"/>
        <v>SEVROLL Simple horné vedenie 4m oliva</v>
      </c>
      <c r="C524" s="198" t="e">
        <f t="shared" si="18"/>
        <v>#N/A</v>
      </c>
      <c r="D524" s="526" t="s">
        <v>3121</v>
      </c>
      <c r="E524" s="526" t="s">
        <v>4792</v>
      </c>
      <c r="F524" s="526" t="s">
        <v>4793</v>
      </c>
      <c r="G524" s="526" t="s">
        <v>4794</v>
      </c>
      <c r="H524" s="412" t="e">
        <v>#N/A</v>
      </c>
      <c r="I524" s="411" t="e">
        <v>#N/A</v>
      </c>
      <c r="J524" s="411" t="e">
        <v>#N/A</v>
      </c>
      <c r="K524" s="411" t="e">
        <v>#N/A</v>
      </c>
      <c r="L524" s="526" t="e">
        <v>#N/A</v>
      </c>
      <c r="M524" s="409" t="s">
        <v>586</v>
      </c>
      <c r="N524" s="195">
        <v>624.49919999999997</v>
      </c>
    </row>
    <row r="525" spans="1:14" ht="15" x14ac:dyDescent="0.25">
      <c r="A525" s="410">
        <v>98110</v>
      </c>
      <c r="B525" t="str">
        <f t="shared" si="19"/>
        <v>SEVROLL HOR. VEDENIE COMFORT 1,70 M STR.</v>
      </c>
      <c r="C525" s="198">
        <f t="shared" si="18"/>
        <v>29.82827</v>
      </c>
      <c r="D525" s="526" t="s">
        <v>2814</v>
      </c>
      <c r="E525" s="526" t="s">
        <v>4795</v>
      </c>
      <c r="F525" s="526" t="s">
        <v>4796</v>
      </c>
      <c r="G525" s="526" t="s">
        <v>4797</v>
      </c>
      <c r="H525" s="412">
        <v>825.91575999999998</v>
      </c>
      <c r="I525" s="411">
        <v>29.82827</v>
      </c>
      <c r="J525" s="411">
        <v>108.3036</v>
      </c>
      <c r="K525" s="411">
        <v>11354.856309999999</v>
      </c>
      <c r="L525" s="526" t="s">
        <v>554</v>
      </c>
      <c r="M525" s="409" t="s">
        <v>586</v>
      </c>
      <c r="N525" s="195">
        <v>625.20809999999994</v>
      </c>
    </row>
    <row r="526" spans="1:14" ht="15" x14ac:dyDescent="0.25">
      <c r="A526" s="410">
        <v>159409</v>
      </c>
      <c r="B526" t="str">
        <f t="shared" si="19"/>
        <v>SEVROLL 04595 Gemini II spodné vedenie  6m strieborná</v>
      </c>
      <c r="C526" s="198">
        <f t="shared" si="18"/>
        <v>28.35491</v>
      </c>
      <c r="D526" s="526" t="s">
        <v>2905</v>
      </c>
      <c r="E526" s="526" t="s">
        <v>4798</v>
      </c>
      <c r="F526" s="526" t="s">
        <v>4799</v>
      </c>
      <c r="G526" s="526" t="s">
        <v>4800</v>
      </c>
      <c r="H526" s="412">
        <v>785.12009</v>
      </c>
      <c r="I526" s="411">
        <v>28.35491</v>
      </c>
      <c r="J526" s="411">
        <v>105.53084</v>
      </c>
      <c r="K526" s="411">
        <v>10793.98913</v>
      </c>
      <c r="L526" s="526" t="s">
        <v>553</v>
      </c>
      <c r="M526" s="409" t="s">
        <v>586</v>
      </c>
      <c r="N526" s="195">
        <v>632.39440000000002</v>
      </c>
    </row>
    <row r="527" spans="1:14" ht="15" x14ac:dyDescent="0.25">
      <c r="A527" s="410">
        <v>89034</v>
      </c>
      <c r="B527" t="str">
        <f t="shared" si="19"/>
        <v>SEVROLL 01248 Single horné vedenie 3m oliva</v>
      </c>
      <c r="C527" s="198">
        <f t="shared" si="18"/>
        <v>31.892510000000001</v>
      </c>
      <c r="D527" s="526" t="s">
        <v>2754</v>
      </c>
      <c r="E527" s="526" t="s">
        <v>4801</v>
      </c>
      <c r="F527" s="526" t="s">
        <v>4802</v>
      </c>
      <c r="G527" s="526" t="s">
        <v>4803</v>
      </c>
      <c r="H527" s="412">
        <v>841.77779999999996</v>
      </c>
      <c r="I527" s="411">
        <v>31.892510000000001</v>
      </c>
      <c r="J527" s="411">
        <v>109.73432</v>
      </c>
      <c r="K527" s="411">
        <v>11744.37693</v>
      </c>
      <c r="L527" s="526" t="s">
        <v>554</v>
      </c>
      <c r="M527" s="409" t="s">
        <v>586</v>
      </c>
      <c r="N527" s="195">
        <v>634.35429999999997</v>
      </c>
    </row>
    <row r="528" spans="1:14" ht="15" x14ac:dyDescent="0.25">
      <c r="A528" s="413">
        <v>248421</v>
      </c>
      <c r="B528" t="e">
        <f t="shared" si="19"/>
        <v>#N/A</v>
      </c>
      <c r="C528" s="198" t="e">
        <f t="shared" si="18"/>
        <v>#N/A</v>
      </c>
      <c r="D528" s="526" t="e">
        <v>#N/A</v>
      </c>
      <c r="E528" s="526" t="e">
        <v>#N/A</v>
      </c>
      <c r="F528" s="526" t="e">
        <v>#N/A</v>
      </c>
      <c r="G528" s="526" t="e">
        <v>#N/A</v>
      </c>
      <c r="H528" s="412" t="e">
        <v>#N/A</v>
      </c>
      <c r="I528" s="411" t="e">
        <v>#N/A</v>
      </c>
      <c r="J528" s="411" t="e">
        <v>#N/A</v>
      </c>
      <c r="K528" s="411" t="e">
        <v>#N/A</v>
      </c>
      <c r="L528" s="526" t="e">
        <v>#N/A</v>
      </c>
      <c r="M528" s="414" t="s">
        <v>586</v>
      </c>
      <c r="N528" s="195">
        <v>636.20299999999997</v>
      </c>
    </row>
    <row r="529" spans="1:14" ht="15" x14ac:dyDescent="0.25">
      <c r="A529" s="410">
        <v>102836</v>
      </c>
      <c r="B529" t="str">
        <f t="shared" si="19"/>
        <v>SEVROLL Maxim horné vedenie 2,5m str.</v>
      </c>
      <c r="C529" s="198">
        <f t="shared" si="18"/>
        <v>28.511769999999999</v>
      </c>
      <c r="D529" s="526" t="s">
        <v>2836</v>
      </c>
      <c r="E529" s="526" t="s">
        <v>4804</v>
      </c>
      <c r="F529" s="526" t="s">
        <v>1255</v>
      </c>
      <c r="G529" s="526" t="s">
        <v>4805</v>
      </c>
      <c r="H529" s="412">
        <v>753.52733999999998</v>
      </c>
      <c r="I529" s="411">
        <v>28.511769999999999</v>
      </c>
      <c r="J529" s="411">
        <v>98.313500000000005</v>
      </c>
      <c r="K529" s="411">
        <v>10966.06386</v>
      </c>
      <c r="L529" s="526" t="s">
        <v>555</v>
      </c>
      <c r="M529" s="409" t="s">
        <v>586</v>
      </c>
      <c r="N529" s="195">
        <v>640.23400000000004</v>
      </c>
    </row>
    <row r="530" spans="1:14" ht="15" x14ac:dyDescent="0.25">
      <c r="A530" s="415">
        <v>84170</v>
      </c>
      <c r="B530" t="str">
        <f t="shared" si="19"/>
        <v>SEVROLL 214-426 Herkules 2 horné vedenie 2,4m alu</v>
      </c>
      <c r="C530" s="198" t="e">
        <f t="shared" si="18"/>
        <v>#N/A</v>
      </c>
      <c r="D530" s="526" t="s">
        <v>2746</v>
      </c>
      <c r="E530" s="526" t="s">
        <v>4806</v>
      </c>
      <c r="F530" s="526" t="s">
        <v>4807</v>
      </c>
      <c r="G530" s="526" t="s">
        <v>4808</v>
      </c>
      <c r="H530" s="412" t="e">
        <v>#N/A</v>
      </c>
      <c r="I530" s="411" t="e">
        <v>#N/A</v>
      </c>
      <c r="J530" s="411" t="e">
        <v>#N/A</v>
      </c>
      <c r="K530" s="411" t="e">
        <v>#N/A</v>
      </c>
      <c r="L530" s="526" t="e">
        <v>#N/A</v>
      </c>
      <c r="M530" s="416" t="s">
        <v>586</v>
      </c>
      <c r="N530" s="195">
        <v>641.15696000000003</v>
      </c>
    </row>
    <row r="531" spans="1:14" ht="15" x14ac:dyDescent="0.25">
      <c r="A531" s="415">
        <v>134488</v>
      </c>
      <c r="B531" t="str">
        <f t="shared" si="19"/>
        <v>SEVROLL 50245 Ursus horné vedenie 3m surová</v>
      </c>
      <c r="C531" s="198">
        <f t="shared" si="18"/>
        <v>38.394860000000001</v>
      </c>
      <c r="D531" s="526" t="s">
        <v>2866</v>
      </c>
      <c r="E531" s="526" t="s">
        <v>4809</v>
      </c>
      <c r="F531" s="526" t="s">
        <v>4810</v>
      </c>
      <c r="G531" s="526" t="s">
        <v>4811</v>
      </c>
      <c r="H531" s="412">
        <v>1013.4023999999999</v>
      </c>
      <c r="I531" s="411">
        <v>38.394860000000001</v>
      </c>
      <c r="J531" s="411">
        <v>132.10735</v>
      </c>
      <c r="K531" s="411">
        <v>14138.86154</v>
      </c>
      <c r="L531" s="526" t="s">
        <v>554</v>
      </c>
      <c r="M531" s="416" t="s">
        <v>586</v>
      </c>
      <c r="N531" s="195">
        <v>642.41908000000001</v>
      </c>
    </row>
    <row r="532" spans="1:14" ht="15" x14ac:dyDescent="0.25">
      <c r="A532" s="410">
        <v>349804</v>
      </c>
      <c r="B532" t="str">
        <f t="shared" si="19"/>
        <v>SEVROLL 04475 Blue horné vedenie  4m strieborná</v>
      </c>
      <c r="C532" s="198">
        <f t="shared" si="18"/>
        <v>29.931480000000001</v>
      </c>
      <c r="D532" s="526" t="s">
        <v>3422</v>
      </c>
      <c r="E532" s="526" t="s">
        <v>4812</v>
      </c>
      <c r="F532" s="526" t="s">
        <v>4813</v>
      </c>
      <c r="G532" s="526" t="s">
        <v>2432</v>
      </c>
      <c r="H532" s="412">
        <v>819.83</v>
      </c>
      <c r="I532" s="411">
        <v>29.931480000000001</v>
      </c>
      <c r="J532" s="411">
        <v>107.34003</v>
      </c>
      <c r="K532" s="411">
        <v>11626.68</v>
      </c>
      <c r="L532" s="526" t="s">
        <v>710</v>
      </c>
      <c r="M532" s="409" t="s">
        <v>586</v>
      </c>
      <c r="N532" s="195">
        <v>644.01480000000004</v>
      </c>
    </row>
    <row r="533" spans="1:14" ht="15" x14ac:dyDescent="0.25">
      <c r="A533" s="410">
        <v>197748</v>
      </c>
      <c r="B533" t="str">
        <f t="shared" si="19"/>
        <v>SEVROLL 03182 Optima horné vedenie 2,4m strieborná</v>
      </c>
      <c r="C533" s="198">
        <f t="shared" si="18"/>
        <v>29.209</v>
      </c>
      <c r="D533" s="526" t="s">
        <v>2974</v>
      </c>
      <c r="E533" s="526" t="s">
        <v>4814</v>
      </c>
      <c r="F533" s="526" t="s">
        <v>4815</v>
      </c>
      <c r="G533" s="526" t="s">
        <v>4816</v>
      </c>
      <c r="H533" s="412">
        <v>808.76872000000003</v>
      </c>
      <c r="I533" s="411">
        <v>29.209</v>
      </c>
      <c r="J533" s="411">
        <v>102.816</v>
      </c>
      <c r="K533" s="411">
        <v>11119.11543</v>
      </c>
      <c r="L533" s="526" t="s">
        <v>554</v>
      </c>
      <c r="M533" s="409" t="s">
        <v>586</v>
      </c>
      <c r="N533" s="195">
        <v>644.15380000000005</v>
      </c>
    </row>
    <row r="534" spans="1:14" ht="15" x14ac:dyDescent="0.25">
      <c r="A534" s="410">
        <v>179230</v>
      </c>
      <c r="B534" t="str">
        <f t="shared" si="19"/>
        <v>SEVROLL 03046 Future II úchytová lišta 2,7m oliva</v>
      </c>
      <c r="C534" s="198">
        <f t="shared" si="18"/>
        <v>37.491759999999999</v>
      </c>
      <c r="D534" s="526" t="s">
        <v>2933</v>
      </c>
      <c r="E534" s="526" t="s">
        <v>4817</v>
      </c>
      <c r="F534" s="526" t="s">
        <v>2933</v>
      </c>
      <c r="G534" s="526" t="s">
        <v>4818</v>
      </c>
      <c r="H534" s="412">
        <v>1038.1103800000001</v>
      </c>
      <c r="I534" s="411">
        <v>37.491759999999999</v>
      </c>
      <c r="J534" s="411">
        <v>131.2638</v>
      </c>
      <c r="K534" s="411">
        <v>14272.15047</v>
      </c>
      <c r="L534" s="526" t="s">
        <v>554</v>
      </c>
      <c r="M534" s="409" t="s">
        <v>586</v>
      </c>
      <c r="N534" s="195">
        <v>646.76700000000005</v>
      </c>
    </row>
    <row r="535" spans="1:14" ht="15" x14ac:dyDescent="0.25">
      <c r="A535" s="410">
        <v>89115</v>
      </c>
      <c r="B535" t="str">
        <f t="shared" si="19"/>
        <v>SEVROLL 01469 Gemini horné vedenie 4,05m strieborná</v>
      </c>
      <c r="C535" s="198">
        <f t="shared" si="18"/>
        <v>33.388449999999999</v>
      </c>
      <c r="D535" s="526" t="s">
        <v>2665</v>
      </c>
      <c r="E535" s="526" t="s">
        <v>4819</v>
      </c>
      <c r="F535" s="526" t="s">
        <v>4820</v>
      </c>
      <c r="G535" s="526" t="s">
        <v>2665</v>
      </c>
      <c r="H535" s="412">
        <v>924.51124000000004</v>
      </c>
      <c r="I535" s="411">
        <v>33.388449999999999</v>
      </c>
      <c r="J535" s="411">
        <v>124.31495</v>
      </c>
      <c r="K535" s="411">
        <v>12710.120929999999</v>
      </c>
      <c r="L535" s="526" t="s">
        <v>710</v>
      </c>
      <c r="M535" s="409" t="s">
        <v>586</v>
      </c>
      <c r="N535" s="195">
        <v>649.38019999999995</v>
      </c>
    </row>
    <row r="536" spans="1:14" ht="15" x14ac:dyDescent="0.25">
      <c r="A536" s="415">
        <v>96480</v>
      </c>
      <c r="B536" t="str">
        <f t="shared" si="19"/>
        <v>SEVROLL Exclusive horné vedenie 3m strieborn</v>
      </c>
      <c r="C536" s="198">
        <f t="shared" si="18"/>
        <v>32.27955</v>
      </c>
      <c r="D536" s="526" t="s">
        <v>2810</v>
      </c>
      <c r="E536" s="526" t="s">
        <v>4821</v>
      </c>
      <c r="F536" s="526" t="s">
        <v>1196</v>
      </c>
      <c r="G536" s="526" t="s">
        <v>4822</v>
      </c>
      <c r="H536" s="412">
        <v>851.99355000000003</v>
      </c>
      <c r="I536" s="411">
        <v>32.27955</v>
      </c>
      <c r="J536" s="411">
        <v>111.06605999999999</v>
      </c>
      <c r="K536" s="411">
        <v>11886.905769999999</v>
      </c>
      <c r="L536" s="526" t="s">
        <v>554</v>
      </c>
      <c r="M536" s="416" t="s">
        <v>586</v>
      </c>
      <c r="N536" s="195">
        <v>652.51603999999998</v>
      </c>
    </row>
    <row r="537" spans="1:14" ht="15" x14ac:dyDescent="0.25">
      <c r="A537" s="410">
        <v>283904</v>
      </c>
      <c r="B537" t="str">
        <f t="shared" si="19"/>
        <v>SEVROLL 04318 Pax výztuha 3m strieborná</v>
      </c>
      <c r="C537" s="198">
        <f t="shared" si="18"/>
        <v>28.71874</v>
      </c>
      <c r="D537" s="526" t="s">
        <v>3270</v>
      </c>
      <c r="E537" s="526" t="s">
        <v>4823</v>
      </c>
      <c r="F537" s="526" t="s">
        <v>4824</v>
      </c>
      <c r="G537" s="526" t="s">
        <v>4825</v>
      </c>
      <c r="H537" s="412">
        <v>795.19398000000001</v>
      </c>
      <c r="I537" s="411">
        <v>28.71874</v>
      </c>
      <c r="J537" s="411">
        <v>101.1024</v>
      </c>
      <c r="K537" s="411">
        <v>10932.486870000001</v>
      </c>
      <c r="L537" s="526" t="s">
        <v>553</v>
      </c>
      <c r="M537" s="409" t="s">
        <v>586</v>
      </c>
      <c r="N537" s="195">
        <v>653.29999999999995</v>
      </c>
    </row>
    <row r="538" spans="1:14" ht="15" x14ac:dyDescent="0.25">
      <c r="A538" s="410">
        <v>98111</v>
      </c>
      <c r="B538" t="str">
        <f t="shared" si="19"/>
        <v>SEVROLL Comfort horné vedenie 1,7m oliva</v>
      </c>
      <c r="C538" s="198">
        <f t="shared" si="18"/>
        <v>37.241459999999996</v>
      </c>
      <c r="D538" s="526" t="s">
        <v>2815</v>
      </c>
      <c r="E538" s="526" t="s">
        <v>4826</v>
      </c>
      <c r="F538" s="526" t="s">
        <v>1212</v>
      </c>
      <c r="G538" s="526" t="s">
        <v>4827</v>
      </c>
      <c r="H538" s="412">
        <v>1030.96578</v>
      </c>
      <c r="I538" s="411">
        <v>37.241459999999996</v>
      </c>
      <c r="J538" s="411">
        <v>126.14400000000001</v>
      </c>
      <c r="K538" s="411">
        <v>14176.871859999999</v>
      </c>
      <c r="L538" s="526" t="s">
        <v>554</v>
      </c>
      <c r="M538" s="409" t="s">
        <v>586</v>
      </c>
      <c r="N538" s="195">
        <v>653.95330000000001</v>
      </c>
    </row>
    <row r="539" spans="1:14" ht="15" x14ac:dyDescent="0.25">
      <c r="A539" s="410">
        <v>212543</v>
      </c>
      <c r="B539" t="e">
        <f>IF($A$2=1,D539,IF($A$2=2,#REF!,IF($A$2=3,G539,IF($A$2=4,E539,"zadat jazyk"))))</f>
        <v>#REF!</v>
      </c>
      <c r="C539" s="198">
        <f t="shared" si="18"/>
        <v>32.873019999999997</v>
      </c>
      <c r="D539" s="526" t="s">
        <v>3012</v>
      </c>
      <c r="E539" s="526" t="s">
        <v>4828</v>
      </c>
      <c r="F539" s="526" t="s">
        <v>1124</v>
      </c>
      <c r="G539" s="526" t="s">
        <v>4829</v>
      </c>
      <c r="H539" s="412">
        <v>910.22203999999999</v>
      </c>
      <c r="I539" s="411">
        <v>32.873019999999997</v>
      </c>
      <c r="J539" s="411">
        <v>111.58329999999999</v>
      </c>
      <c r="K539" s="411">
        <v>12513.91589</v>
      </c>
      <c r="L539" s="526" t="s">
        <v>554</v>
      </c>
      <c r="M539" s="409" t="s">
        <v>586</v>
      </c>
      <c r="N539" s="195">
        <v>653.95330000000001</v>
      </c>
    </row>
    <row r="540" spans="1:14" ht="15" x14ac:dyDescent="0.25">
      <c r="A540" s="410">
        <v>102824</v>
      </c>
      <c r="B540" t="str">
        <f t="shared" ref="B540:B603" si="20">IF($A$2=1,D540,IF($A$2=2,F540,IF($A$2=3,G540,IF($A$2=4,E540,"zadat jazyk"))))</f>
        <v>SEVROLL MAXIM VOD.LIŠTA 3,5 M STRIEBORNA</v>
      </c>
      <c r="C540" s="198" t="e">
        <f t="shared" si="18"/>
        <v>#N/A</v>
      </c>
      <c r="D540" s="526" t="s">
        <v>2826</v>
      </c>
      <c r="E540" s="526" t="s">
        <v>4830</v>
      </c>
      <c r="F540" s="526" t="s">
        <v>4831</v>
      </c>
      <c r="G540" s="526" t="s">
        <v>4832</v>
      </c>
      <c r="H540" s="412" t="e">
        <v>#N/A</v>
      </c>
      <c r="I540" s="411" t="e">
        <v>#N/A</v>
      </c>
      <c r="J540" s="411" t="e">
        <v>#N/A</v>
      </c>
      <c r="K540" s="411" t="e">
        <v>#N/A</v>
      </c>
      <c r="L540" s="526" t="e">
        <v>#N/A</v>
      </c>
      <c r="M540" s="409" t="s">
        <v>586</v>
      </c>
      <c r="N540" s="195">
        <v>654.60659999999996</v>
      </c>
    </row>
    <row r="541" spans="1:14" ht="15" x14ac:dyDescent="0.25">
      <c r="A541" s="410">
        <v>100105</v>
      </c>
      <c r="B541" t="str">
        <f t="shared" si="20"/>
        <v>SEVROLL Master úch.lišta 3m strieborná</v>
      </c>
      <c r="C541" s="198">
        <f t="shared" si="18"/>
        <v>27.784659999999999</v>
      </c>
      <c r="D541" s="526" t="s">
        <v>2822</v>
      </c>
      <c r="E541" s="526" t="s">
        <v>4833</v>
      </c>
      <c r="F541" s="526" t="s">
        <v>1256</v>
      </c>
      <c r="G541" s="526" t="s">
        <v>4834</v>
      </c>
      <c r="H541" s="412">
        <v>769.47342000000003</v>
      </c>
      <c r="I541" s="411">
        <v>27.784659999999999</v>
      </c>
      <c r="J541" s="411">
        <v>100.85760000000001</v>
      </c>
      <c r="K541" s="411">
        <v>10576.91122</v>
      </c>
      <c r="L541" s="526" t="s">
        <v>553</v>
      </c>
      <c r="M541" s="409" t="s">
        <v>586</v>
      </c>
      <c r="N541" s="195">
        <v>663.09950000000003</v>
      </c>
    </row>
    <row r="542" spans="1:14" ht="15" x14ac:dyDescent="0.25">
      <c r="A542" s="410">
        <v>363019</v>
      </c>
      <c r="B542" t="str">
        <f t="shared" si="20"/>
        <v>SEVROLL 20369 zámok na posuvné dvere pre madlo Karat a Prosper</v>
      </c>
      <c r="C542" s="198">
        <f t="shared" si="18"/>
        <v>36.204189999999997</v>
      </c>
      <c r="D542" s="526" t="s">
        <v>3466</v>
      </c>
      <c r="E542" s="526" t="s">
        <v>4835</v>
      </c>
      <c r="F542" s="526" t="s">
        <v>4836</v>
      </c>
      <c r="G542" s="526" t="s">
        <v>4837</v>
      </c>
      <c r="H542" s="412">
        <v>1063.76027</v>
      </c>
      <c r="I542" s="411">
        <v>36.204189999999997</v>
      </c>
      <c r="J542" s="411">
        <v>134.51759999999999</v>
      </c>
      <c r="K542" s="411">
        <v>14063.27115</v>
      </c>
      <c r="L542" s="526" t="s">
        <v>554</v>
      </c>
      <c r="M542" s="409" t="s">
        <v>586</v>
      </c>
      <c r="N542" s="195">
        <v>666.36599999999999</v>
      </c>
    </row>
    <row r="543" spans="1:14" ht="15" x14ac:dyDescent="0.25">
      <c r="A543" s="410">
        <v>318447</v>
      </c>
      <c r="B543" t="str">
        <f t="shared" si="20"/>
        <v>SEVROLL držiak pôdy skrine u šikmých stropov</v>
      </c>
      <c r="C543" s="198">
        <f t="shared" si="18"/>
        <v>29.492830000000001</v>
      </c>
      <c r="D543" s="526" t="s">
        <v>3351</v>
      </c>
      <c r="E543" s="526" t="s">
        <v>4838</v>
      </c>
      <c r="F543" s="526" t="s">
        <v>4839</v>
      </c>
      <c r="G543" s="526" t="s">
        <v>4840</v>
      </c>
      <c r="H543" s="412">
        <v>816.62778000000003</v>
      </c>
      <c r="I543" s="411">
        <v>29.492830000000001</v>
      </c>
      <c r="J543" s="411">
        <v>99.559799999999996</v>
      </c>
      <c r="K543" s="411">
        <v>11227.163070000001</v>
      </c>
      <c r="L543" s="526" t="s">
        <v>554</v>
      </c>
      <c r="M543" s="409" t="s">
        <v>589</v>
      </c>
      <c r="N543" s="195">
        <v>667.01930000000004</v>
      </c>
    </row>
    <row r="544" spans="1:14" ht="15" x14ac:dyDescent="0.25">
      <c r="A544" s="410">
        <v>197749</v>
      </c>
      <c r="B544" t="str">
        <f t="shared" si="20"/>
        <v>SEVROLL 10192-SV Optima II sada kování (dvoje dvere)</v>
      </c>
      <c r="C544" s="198">
        <f t="shared" si="18"/>
        <v>26.37584</v>
      </c>
      <c r="D544" s="526" t="s">
        <v>2975</v>
      </c>
      <c r="E544" s="526" t="s">
        <v>4841</v>
      </c>
      <c r="F544" s="526" t="s">
        <v>4842</v>
      </c>
      <c r="G544" s="526" t="s">
        <v>4843</v>
      </c>
      <c r="H544" s="412">
        <v>730.32101</v>
      </c>
      <c r="I544" s="411">
        <v>26.37584</v>
      </c>
      <c r="J544" s="411">
        <v>92.830200000000005</v>
      </c>
      <c r="K544" s="411">
        <v>10040.600560000001</v>
      </c>
      <c r="L544" s="526" t="s">
        <v>554</v>
      </c>
      <c r="M544" s="409" t="s">
        <v>587</v>
      </c>
      <c r="N544" s="195">
        <v>671.5924</v>
      </c>
    </row>
    <row r="545" spans="1:14" ht="15" x14ac:dyDescent="0.25">
      <c r="A545" s="410">
        <v>284525</v>
      </c>
      <c r="B545" t="str">
        <f t="shared" si="20"/>
        <v>SEVROLL 04100 Pax horná vodiaca lišta 3m biela lesk</v>
      </c>
      <c r="C545" s="198">
        <f t="shared" si="18"/>
        <v>29.105779999999999</v>
      </c>
      <c r="D545" s="526" t="s">
        <v>3274</v>
      </c>
      <c r="E545" s="526" t="s">
        <v>4844</v>
      </c>
      <c r="F545" s="526" t="s">
        <v>4845</v>
      </c>
      <c r="G545" s="526" t="s">
        <v>4846</v>
      </c>
      <c r="H545" s="412">
        <v>805.91088000000002</v>
      </c>
      <c r="I545" s="411">
        <v>29.105779999999999</v>
      </c>
      <c r="J545" s="411">
        <v>112.2</v>
      </c>
      <c r="K545" s="411">
        <v>11079.82497</v>
      </c>
      <c r="L545" s="526" t="s">
        <v>554</v>
      </c>
      <c r="M545" s="409" t="s">
        <v>586</v>
      </c>
      <c r="N545" s="195">
        <v>676.81880000000001</v>
      </c>
    </row>
    <row r="546" spans="1:14" ht="15" x14ac:dyDescent="0.25">
      <c r="A546" s="410">
        <v>102828</v>
      </c>
      <c r="B546" t="str">
        <f t="shared" si="20"/>
        <v>SEVROLL Maxim spod.krycia lišta 2,5m 18mm strieborná</v>
      </c>
      <c r="C546" s="198" t="e">
        <f t="shared" si="18"/>
        <v>#N/A</v>
      </c>
      <c r="D546" s="526" t="s">
        <v>2829</v>
      </c>
      <c r="E546" s="526" t="s">
        <v>4847</v>
      </c>
      <c r="F546" s="526" t="s">
        <v>4848</v>
      </c>
      <c r="G546" s="526" t="s">
        <v>4849</v>
      </c>
      <c r="H546" s="412" t="e">
        <v>#N/A</v>
      </c>
      <c r="I546" s="411" t="e">
        <v>#N/A</v>
      </c>
      <c r="J546" s="411" t="e">
        <v>#N/A</v>
      </c>
      <c r="K546" s="411" t="e">
        <v>#N/A</v>
      </c>
      <c r="L546" s="526" t="e">
        <v>#N/A</v>
      </c>
      <c r="M546" s="409" t="s">
        <v>586</v>
      </c>
      <c r="N546" s="195">
        <v>677.47209999999995</v>
      </c>
    </row>
    <row r="547" spans="1:14" ht="15" x14ac:dyDescent="0.25">
      <c r="A547" s="410">
        <v>238028</v>
      </c>
      <c r="B547" t="str">
        <f t="shared" si="20"/>
        <v>SEVROLL Maxim II spodné vedenie 4,3m oliva</v>
      </c>
      <c r="C547" s="198" t="e">
        <f t="shared" si="18"/>
        <v>#N/A</v>
      </c>
      <c r="D547" s="526" t="s">
        <v>3197</v>
      </c>
      <c r="E547" s="526" t="s">
        <v>4850</v>
      </c>
      <c r="F547" s="526" t="s">
        <v>1152</v>
      </c>
      <c r="G547" s="526" t="s">
        <v>4851</v>
      </c>
      <c r="H547" s="412" t="e">
        <v>#N/A</v>
      </c>
      <c r="I547" s="411" t="e">
        <v>#N/A</v>
      </c>
      <c r="J547" s="411" t="e">
        <v>#N/A</v>
      </c>
      <c r="K547" s="411" t="e">
        <v>#N/A</v>
      </c>
      <c r="L547" s="526" t="e">
        <v>#N/A</v>
      </c>
      <c r="M547" s="409" t="s">
        <v>586</v>
      </c>
      <c r="N547" s="195">
        <v>678.12540000000001</v>
      </c>
    </row>
    <row r="548" spans="1:14" ht="15" x14ac:dyDescent="0.25">
      <c r="A548" s="410">
        <v>179229</v>
      </c>
      <c r="B548" t="str">
        <f t="shared" si="20"/>
        <v>SEVROLL Future II úch.lišta 2,7m strieborná</v>
      </c>
      <c r="C548" s="198">
        <f t="shared" si="18"/>
        <v>32.20214</v>
      </c>
      <c r="D548" s="526" t="s">
        <v>2932</v>
      </c>
      <c r="E548" s="526" t="s">
        <v>4852</v>
      </c>
      <c r="F548" s="526" t="s">
        <v>1276</v>
      </c>
      <c r="G548" s="526" t="s">
        <v>4853</v>
      </c>
      <c r="H548" s="412">
        <v>891.64607999999998</v>
      </c>
      <c r="I548" s="411">
        <v>32.20214</v>
      </c>
      <c r="J548" s="411">
        <v>119.34</v>
      </c>
      <c r="K548" s="411">
        <v>12258.529769999999</v>
      </c>
      <c r="L548" s="526" t="s">
        <v>553</v>
      </c>
      <c r="M548" s="409" t="s">
        <v>586</v>
      </c>
      <c r="N548" s="195">
        <v>679.43200000000002</v>
      </c>
    </row>
    <row r="549" spans="1:14" ht="15" x14ac:dyDescent="0.25">
      <c r="A549" s="410">
        <v>334858</v>
      </c>
      <c r="B549" t="str">
        <f t="shared" si="20"/>
        <v>SEVROLL 04289 Elegant II spodné vedenie 6m zlatá</v>
      </c>
      <c r="C549" s="198">
        <f t="shared" si="18"/>
        <v>36.38223</v>
      </c>
      <c r="D549" s="526" t="s">
        <v>3367</v>
      </c>
      <c r="E549" s="526" t="s">
        <v>4854</v>
      </c>
      <c r="F549" s="526" t="s">
        <v>4855</v>
      </c>
      <c r="G549" s="526" t="s">
        <v>4856</v>
      </c>
      <c r="H549" s="412">
        <v>1007.3886</v>
      </c>
      <c r="I549" s="411">
        <v>36.38223</v>
      </c>
      <c r="J549" s="411">
        <v>137.86320000000001</v>
      </c>
      <c r="K549" s="411">
        <v>13849.7814</v>
      </c>
      <c r="L549" s="526" t="s">
        <v>554</v>
      </c>
      <c r="M549" s="409" t="s">
        <v>586</v>
      </c>
      <c r="N549" s="195">
        <v>680.73860000000002</v>
      </c>
    </row>
    <row r="550" spans="1:14" ht="15" x14ac:dyDescent="0.25">
      <c r="A550" s="410">
        <v>284523</v>
      </c>
      <c r="B550" t="str">
        <f t="shared" si="20"/>
        <v>SEVROLL 04101 Pax úchytová lišta 3m biela lesk</v>
      </c>
      <c r="C550" s="198">
        <f t="shared" si="18"/>
        <v>29.652819999999998</v>
      </c>
      <c r="D550" s="526" t="s">
        <v>3273</v>
      </c>
      <c r="E550" s="526" t="s">
        <v>4857</v>
      </c>
      <c r="F550" s="526" t="s">
        <v>4858</v>
      </c>
      <c r="G550" s="526" t="s">
        <v>4859</v>
      </c>
      <c r="H550" s="412">
        <v>820.91453999999999</v>
      </c>
      <c r="I550" s="411">
        <v>29.652819999999998</v>
      </c>
      <c r="J550" s="411">
        <v>114.07680000000001</v>
      </c>
      <c r="K550" s="411">
        <v>11288.06292</v>
      </c>
      <c r="L550" s="526" t="s">
        <v>554</v>
      </c>
      <c r="M550" s="409" t="s">
        <v>586</v>
      </c>
      <c r="N550" s="195">
        <v>688.57820000000004</v>
      </c>
    </row>
    <row r="551" spans="1:14" ht="15" x14ac:dyDescent="0.25">
      <c r="A551" s="410">
        <v>98080</v>
      </c>
      <c r="B551" t="str">
        <f t="shared" si="20"/>
        <v>SEVROLL Comfort spodné vedenie 4,05m striebo</v>
      </c>
      <c r="C551" s="198">
        <f t="shared" si="18"/>
        <v>36.072589999999998</v>
      </c>
      <c r="D551" s="526" t="s">
        <v>1446</v>
      </c>
      <c r="E551" s="526" t="s">
        <v>4860</v>
      </c>
      <c r="F551" s="526" t="s">
        <v>1206</v>
      </c>
      <c r="G551" s="526" t="s">
        <v>4861</v>
      </c>
      <c r="H551" s="412">
        <v>998.81507999999997</v>
      </c>
      <c r="I551" s="411">
        <v>36.072589999999998</v>
      </c>
      <c r="J551" s="411">
        <v>136.2414</v>
      </c>
      <c r="K551" s="411">
        <v>13731.91077</v>
      </c>
      <c r="L551" s="526" t="s">
        <v>554</v>
      </c>
      <c r="M551" s="409" t="s">
        <v>586</v>
      </c>
      <c r="N551" s="195">
        <v>689.23149999999998</v>
      </c>
    </row>
    <row r="552" spans="1:14" ht="15" x14ac:dyDescent="0.25">
      <c r="A552" s="410">
        <v>100106</v>
      </c>
      <c r="B552" t="str">
        <f t="shared" si="20"/>
        <v>SEVROLL 02380 Master úchytová lišta 3m oliva</v>
      </c>
      <c r="C552" s="198">
        <f t="shared" si="18"/>
        <v>34.730840000000001</v>
      </c>
      <c r="D552" s="526" t="s">
        <v>2823</v>
      </c>
      <c r="E552" s="526" t="s">
        <v>4862</v>
      </c>
      <c r="F552" s="526" t="s">
        <v>2823</v>
      </c>
      <c r="G552" s="526" t="s">
        <v>4863</v>
      </c>
      <c r="H552" s="412">
        <v>961.66315999999995</v>
      </c>
      <c r="I552" s="411">
        <v>34.730840000000001</v>
      </c>
      <c r="J552" s="411">
        <v>117.82899999999999</v>
      </c>
      <c r="K552" s="411">
        <v>13221.13891</v>
      </c>
      <c r="L552" s="526" t="s">
        <v>554</v>
      </c>
      <c r="M552" s="409" t="s">
        <v>586</v>
      </c>
      <c r="N552" s="195">
        <v>689.88480000000004</v>
      </c>
    </row>
    <row r="553" spans="1:14" ht="15" x14ac:dyDescent="0.25">
      <c r="A553" s="415">
        <v>223529</v>
      </c>
      <c r="B553" t="str">
        <f t="shared" si="20"/>
        <v>SEVROLL Herkules sada kovania 120kg</v>
      </c>
      <c r="C553" s="198" t="e">
        <f t="shared" si="18"/>
        <v>#N/A</v>
      </c>
      <c r="D553" s="526" t="s">
        <v>3093</v>
      </c>
      <c r="E553" s="526" t="s">
        <v>4864</v>
      </c>
      <c r="F553" s="526" t="s">
        <v>1185</v>
      </c>
      <c r="G553" s="526" t="s">
        <v>4865</v>
      </c>
      <c r="H553" s="412" t="e">
        <v>#N/A</v>
      </c>
      <c r="I553" s="411" t="e">
        <v>#N/A</v>
      </c>
      <c r="J553" s="411" t="e">
        <v>#N/A</v>
      </c>
      <c r="K553" s="411" t="e">
        <v>#N/A</v>
      </c>
      <c r="L553" s="526" t="e">
        <v>#N/A</v>
      </c>
      <c r="M553" s="416" t="s">
        <v>587</v>
      </c>
      <c r="N553" s="195">
        <v>696.69024000000002</v>
      </c>
    </row>
    <row r="554" spans="1:14" ht="15" x14ac:dyDescent="0.25">
      <c r="A554" s="410">
        <v>98107</v>
      </c>
      <c r="B554" t="str">
        <f t="shared" si="20"/>
        <v>SEVROLL Doubler ll spodné vedenie 4,05m strieborná</v>
      </c>
      <c r="C554" s="198">
        <f t="shared" si="18"/>
        <v>34.214779999999998</v>
      </c>
      <c r="D554" s="526" t="s">
        <v>2813</v>
      </c>
      <c r="E554" s="526" t="s">
        <v>4866</v>
      </c>
      <c r="F554" s="526" t="s">
        <v>4867</v>
      </c>
      <c r="G554" s="526" t="s">
        <v>4868</v>
      </c>
      <c r="H554" s="412">
        <v>947.37396000000001</v>
      </c>
      <c r="I554" s="411">
        <v>34.214779999999998</v>
      </c>
      <c r="J554" s="411">
        <v>127.0206</v>
      </c>
      <c r="K554" s="411">
        <v>13024.688109999999</v>
      </c>
      <c r="L554" s="526" t="s">
        <v>553</v>
      </c>
      <c r="M554" s="409" t="s">
        <v>586</v>
      </c>
      <c r="N554" s="195">
        <v>697.72439999999995</v>
      </c>
    </row>
    <row r="555" spans="1:14" ht="15" x14ac:dyDescent="0.25">
      <c r="A555" s="410">
        <v>284972</v>
      </c>
      <c r="B555" t="str">
        <f t="shared" si="20"/>
        <v>SEVROLL Maxim horné vedenie 2,5m oliva</v>
      </c>
      <c r="C555" s="198" t="e">
        <f t="shared" si="18"/>
        <v>#N/A</v>
      </c>
      <c r="D555" s="526" t="s">
        <v>3291</v>
      </c>
      <c r="E555" s="526" t="s">
        <v>4869</v>
      </c>
      <c r="F555" s="526" t="s">
        <v>1158</v>
      </c>
      <c r="G555" s="526" t="s">
        <v>4870</v>
      </c>
      <c r="H555" s="412" t="e">
        <v>#N/A</v>
      </c>
      <c r="I555" s="411" t="e">
        <v>#N/A</v>
      </c>
      <c r="J555" s="411" t="e">
        <v>#N/A</v>
      </c>
      <c r="K555" s="411" t="e">
        <v>#N/A</v>
      </c>
      <c r="L555" s="526" t="e">
        <v>#N/A</v>
      </c>
      <c r="M555" s="409" t="s">
        <v>586</v>
      </c>
      <c r="N555" s="195">
        <v>700.99090000000001</v>
      </c>
    </row>
    <row r="556" spans="1:14" ht="15" x14ac:dyDescent="0.25">
      <c r="A556" s="410">
        <v>98054</v>
      </c>
      <c r="B556" t="str">
        <f t="shared" si="20"/>
        <v>SEVROLL Maxim sada kovania pre 2 dvere 1,8m strieborná</v>
      </c>
      <c r="C556" s="198">
        <f t="shared" si="18"/>
        <v>27.470300000000002</v>
      </c>
      <c r="D556" s="526" t="s">
        <v>2789</v>
      </c>
      <c r="E556" s="526" t="s">
        <v>4871</v>
      </c>
      <c r="F556" s="526" t="s">
        <v>4872</v>
      </c>
      <c r="G556" s="526" t="s">
        <v>4873</v>
      </c>
      <c r="H556" s="412">
        <v>0</v>
      </c>
      <c r="I556" s="411">
        <v>27.470300000000002</v>
      </c>
      <c r="J556" s="411">
        <v>107.06509</v>
      </c>
      <c r="K556" s="411">
        <v>0</v>
      </c>
      <c r="L556" s="526" t="s">
        <v>555</v>
      </c>
      <c r="M556" s="409" t="s">
        <v>586</v>
      </c>
      <c r="N556" s="195">
        <v>702.95079999999996</v>
      </c>
    </row>
    <row r="557" spans="1:14" ht="15" x14ac:dyDescent="0.25">
      <c r="A557" s="415">
        <v>230886</v>
      </c>
      <c r="B557" t="str">
        <f t="shared" si="20"/>
        <v>SEVROLL krycia lišta Herkules Glass 2m strie</v>
      </c>
      <c r="C557" s="198" t="e">
        <f t="shared" si="18"/>
        <v>#N/A</v>
      </c>
      <c r="D557" s="526" t="s">
        <v>3187</v>
      </c>
      <c r="E557" s="526" t="s">
        <v>4874</v>
      </c>
      <c r="F557" s="526" t="s">
        <v>1168</v>
      </c>
      <c r="G557" s="526" t="s">
        <v>4875</v>
      </c>
      <c r="H557" s="412" t="e">
        <v>#N/A</v>
      </c>
      <c r="I557" s="411" t="e">
        <v>#N/A</v>
      </c>
      <c r="J557" s="411" t="e">
        <v>#N/A</v>
      </c>
      <c r="K557" s="411" t="e">
        <v>#N/A</v>
      </c>
      <c r="L557" s="526" t="e">
        <v>#N/A</v>
      </c>
      <c r="M557" s="416" t="s">
        <v>586</v>
      </c>
      <c r="N557" s="195">
        <v>708.68038000000001</v>
      </c>
    </row>
    <row r="558" spans="1:14" ht="15" x14ac:dyDescent="0.25">
      <c r="A558" s="410">
        <v>349805</v>
      </c>
      <c r="B558" t="str">
        <f t="shared" si="20"/>
        <v>SEVROLL 04469 Blue horné vedenie  4m oliva</v>
      </c>
      <c r="C558" s="198">
        <f t="shared" si="18"/>
        <v>37.414349999999999</v>
      </c>
      <c r="D558" s="526" t="s">
        <v>3423</v>
      </c>
      <c r="E558" s="526" t="s">
        <v>4876</v>
      </c>
      <c r="F558" s="526" t="s">
        <v>4877</v>
      </c>
      <c r="G558" s="526" t="s">
        <v>4878</v>
      </c>
      <c r="H558" s="412">
        <v>1024.7874999999999</v>
      </c>
      <c r="I558" s="411">
        <v>37.414349999999999</v>
      </c>
      <c r="J558" s="411">
        <v>126.57856</v>
      </c>
      <c r="K558" s="411">
        <v>14533.35</v>
      </c>
      <c r="L558" s="526" t="s">
        <v>553</v>
      </c>
      <c r="M558" s="409" t="s">
        <v>586</v>
      </c>
      <c r="N558" s="195">
        <v>710.81820000000005</v>
      </c>
    </row>
    <row r="559" spans="1:14" ht="15" x14ac:dyDescent="0.25">
      <c r="A559" s="410">
        <v>350688</v>
      </c>
      <c r="B559" t="str">
        <f t="shared" si="20"/>
        <v>SEVROLL 04278 Elegant II spodné vedenie 6m oliva</v>
      </c>
      <c r="C559" s="198">
        <f t="shared" si="18"/>
        <v>36.38223</v>
      </c>
      <c r="D559" s="526" t="s">
        <v>3453</v>
      </c>
      <c r="E559" s="526" t="s">
        <v>4879</v>
      </c>
      <c r="F559" s="526" t="s">
        <v>4880</v>
      </c>
      <c r="G559" s="526" t="s">
        <v>4881</v>
      </c>
      <c r="H559" s="412">
        <v>1007.3886</v>
      </c>
      <c r="I559" s="411">
        <v>36.38223</v>
      </c>
      <c r="J559" s="411">
        <v>137.86320000000001</v>
      </c>
      <c r="K559" s="411">
        <v>13849.7814</v>
      </c>
      <c r="L559" s="526" t="s">
        <v>553</v>
      </c>
      <c r="M559" s="409" t="s">
        <v>586</v>
      </c>
      <c r="N559" s="195">
        <v>714.71019999999999</v>
      </c>
    </row>
    <row r="560" spans="1:14" ht="15" x14ac:dyDescent="0.25">
      <c r="A560" s="415">
        <v>120832</v>
      </c>
      <c r="B560" t="str">
        <f t="shared" si="20"/>
        <v>SEVROLL 01713 Exclusive horné vedenie 3m oliva</v>
      </c>
      <c r="C560" s="198">
        <f t="shared" si="18"/>
        <v>39.168950000000002</v>
      </c>
      <c r="D560" s="526" t="s">
        <v>2846</v>
      </c>
      <c r="E560" s="526" t="s">
        <v>4882</v>
      </c>
      <c r="F560" s="526" t="s">
        <v>4883</v>
      </c>
      <c r="G560" s="526" t="s">
        <v>4884</v>
      </c>
      <c r="H560" s="412">
        <v>1033.8339000000001</v>
      </c>
      <c r="I560" s="411">
        <v>39.168950000000002</v>
      </c>
      <c r="J560" s="411">
        <v>134.77080000000001</v>
      </c>
      <c r="K560" s="411">
        <v>14423.91923</v>
      </c>
      <c r="L560" s="526" t="s">
        <v>554</v>
      </c>
      <c r="M560" s="416" t="s">
        <v>586</v>
      </c>
      <c r="N560" s="195">
        <v>717.51522</v>
      </c>
    </row>
    <row r="561" spans="1:14" ht="15" x14ac:dyDescent="0.25">
      <c r="A561" s="410">
        <v>191638</v>
      </c>
      <c r="B561" t="str">
        <f t="shared" si="20"/>
        <v>SEVROLL 03074 Top horné vedenie jednoduché 3m strieborná</v>
      </c>
      <c r="C561" s="198">
        <f t="shared" si="18"/>
        <v>33.105249999999998</v>
      </c>
      <c r="D561" s="526" t="s">
        <v>2957</v>
      </c>
      <c r="E561" s="526" t="s">
        <v>4885</v>
      </c>
      <c r="F561" s="526" t="s">
        <v>4886</v>
      </c>
      <c r="G561" s="526" t="s">
        <v>4887</v>
      </c>
      <c r="H561" s="412">
        <v>916.65218000000004</v>
      </c>
      <c r="I561" s="411">
        <v>33.105249999999998</v>
      </c>
      <c r="J561" s="411">
        <v>116.4534</v>
      </c>
      <c r="K561" s="411">
        <v>12602.318670000001</v>
      </c>
      <c r="L561" s="526" t="s">
        <v>554</v>
      </c>
      <c r="M561" s="409" t="s">
        <v>586</v>
      </c>
      <c r="N561" s="195">
        <v>729.73609999999996</v>
      </c>
    </row>
    <row r="562" spans="1:14" ht="15" x14ac:dyDescent="0.25">
      <c r="A562" s="413">
        <v>340595</v>
      </c>
      <c r="B562" t="e">
        <f t="shared" si="20"/>
        <v>#N/A</v>
      </c>
      <c r="C562" s="198" t="e">
        <f t="shared" si="18"/>
        <v>#N/A</v>
      </c>
      <c r="D562" s="526" t="e">
        <v>#N/A</v>
      </c>
      <c r="E562" s="526" t="e">
        <v>#N/A</v>
      </c>
      <c r="F562" s="526" t="e">
        <v>#N/A</v>
      </c>
      <c r="G562" s="526" t="e">
        <v>#N/A</v>
      </c>
      <c r="H562" s="412" t="e">
        <v>#N/A</v>
      </c>
      <c r="I562" s="411" t="e">
        <v>#N/A</v>
      </c>
      <c r="J562" s="411" t="e">
        <v>#N/A</v>
      </c>
      <c r="K562" s="411" t="e">
        <v>#N/A</v>
      </c>
      <c r="L562" s="526" t="e">
        <v>#N/A</v>
      </c>
      <c r="M562" s="414" t="s">
        <v>586</v>
      </c>
      <c r="N562" s="195">
        <v>732.75239999999997</v>
      </c>
    </row>
    <row r="563" spans="1:14" ht="15" x14ac:dyDescent="0.25">
      <c r="A563" s="410">
        <v>284958</v>
      </c>
      <c r="B563" t="str">
        <f t="shared" si="20"/>
        <v>SEVROLL Maxim spodná krycí lišta 2,5m 18mm oliva</v>
      </c>
      <c r="C563" s="198" t="e">
        <f t="shared" si="18"/>
        <v>#N/A</v>
      </c>
      <c r="D563" s="526" t="s">
        <v>3288</v>
      </c>
      <c r="E563" s="526" t="s">
        <v>4888</v>
      </c>
      <c r="F563" s="526" t="s">
        <v>4889</v>
      </c>
      <c r="G563" s="526" t="s">
        <v>4890</v>
      </c>
      <c r="H563" s="412" t="e">
        <v>#N/A</v>
      </c>
      <c r="I563" s="411" t="e">
        <v>#N/A</v>
      </c>
      <c r="J563" s="411" t="e">
        <v>#N/A</v>
      </c>
      <c r="K563" s="411" t="e">
        <v>#N/A</v>
      </c>
      <c r="L563" s="526" t="e">
        <v>#N/A</v>
      </c>
      <c r="M563" s="409" t="s">
        <v>586</v>
      </c>
      <c r="N563" s="195">
        <v>742.14880000000005</v>
      </c>
    </row>
    <row r="564" spans="1:14" ht="15" x14ac:dyDescent="0.25">
      <c r="A564" s="413">
        <v>195460</v>
      </c>
      <c r="B564" t="e">
        <f t="shared" si="20"/>
        <v>#N/A</v>
      </c>
      <c r="C564" s="198" t="e">
        <f t="shared" si="18"/>
        <v>#N/A</v>
      </c>
      <c r="D564" s="526" t="e">
        <v>#N/A</v>
      </c>
      <c r="E564" s="526" t="e">
        <v>#N/A</v>
      </c>
      <c r="F564" s="526" t="e">
        <v>#N/A</v>
      </c>
      <c r="G564" s="526" t="e">
        <v>#N/A</v>
      </c>
      <c r="H564" s="412" t="e">
        <v>#N/A</v>
      </c>
      <c r="I564" s="411" t="e">
        <v>#N/A</v>
      </c>
      <c r="J564" s="411" t="e">
        <v>#N/A</v>
      </c>
      <c r="K564" s="411" t="e">
        <v>#N/A</v>
      </c>
      <c r="L564" s="526" t="e">
        <v>#N/A</v>
      </c>
      <c r="M564" s="414" t="s">
        <v>586</v>
      </c>
      <c r="N564" s="195">
        <v>746.1798</v>
      </c>
    </row>
    <row r="565" spans="1:14" ht="15" x14ac:dyDescent="0.25">
      <c r="A565" s="410">
        <v>284970</v>
      </c>
      <c r="B565" t="str">
        <f t="shared" si="20"/>
        <v>SEVROLL Maxim vodiaca lišta 3,5m oliva</v>
      </c>
      <c r="C565" s="198" t="e">
        <f t="shared" si="18"/>
        <v>#N/A</v>
      </c>
      <c r="D565" s="526" t="s">
        <v>3289</v>
      </c>
      <c r="E565" s="526" t="s">
        <v>4891</v>
      </c>
      <c r="F565" s="526" t="s">
        <v>4892</v>
      </c>
      <c r="G565" s="526" t="s">
        <v>4893</v>
      </c>
      <c r="H565" s="412" t="e">
        <v>#N/A</v>
      </c>
      <c r="I565" s="411" t="e">
        <v>#N/A</v>
      </c>
      <c r="J565" s="411" t="e">
        <v>#N/A</v>
      </c>
      <c r="K565" s="411" t="e">
        <v>#N/A</v>
      </c>
      <c r="L565" s="526" t="e">
        <v>#N/A</v>
      </c>
      <c r="M565" s="409" t="s">
        <v>586</v>
      </c>
      <c r="N565" s="195">
        <v>751.94830000000002</v>
      </c>
    </row>
    <row r="566" spans="1:14" ht="15" x14ac:dyDescent="0.25">
      <c r="A566" s="410">
        <v>308668</v>
      </c>
      <c r="B566" t="str">
        <f t="shared" si="20"/>
        <v>SEVROLL 04590 Gemini II spodné vedenie  6m oliva</v>
      </c>
      <c r="C566" s="198">
        <f t="shared" si="18"/>
        <v>37.465960000000003</v>
      </c>
      <c r="D566" s="526" t="s">
        <v>3336</v>
      </c>
      <c r="E566" s="526" t="s">
        <v>4894</v>
      </c>
      <c r="F566" s="526" t="s">
        <v>4895</v>
      </c>
      <c r="G566" s="526" t="s">
        <v>4896</v>
      </c>
      <c r="H566" s="412">
        <v>1037.3959199999999</v>
      </c>
      <c r="I566" s="411">
        <v>37.465960000000003</v>
      </c>
      <c r="J566" s="411">
        <v>126.75315000000001</v>
      </c>
      <c r="K566" s="411">
        <v>14262.328229999999</v>
      </c>
      <c r="L566" s="526" t="s">
        <v>553</v>
      </c>
      <c r="M566" s="409" t="s">
        <v>586</v>
      </c>
      <c r="N566" s="195">
        <v>756.52139999999997</v>
      </c>
    </row>
    <row r="567" spans="1:14" ht="15" x14ac:dyDescent="0.25">
      <c r="A567" s="410">
        <v>205174</v>
      </c>
      <c r="B567" t="str">
        <f t="shared" si="20"/>
        <v>SEVROLL spodná krycia lišta 3m 10mm oliva tmavá kartáčovaná</v>
      </c>
      <c r="C567" s="198">
        <f t="shared" si="18"/>
        <v>39.065739999999998</v>
      </c>
      <c r="D567" s="526" t="s">
        <v>3007</v>
      </c>
      <c r="E567" s="526" t="s">
        <v>4897</v>
      </c>
      <c r="F567" s="526" t="s">
        <v>4898</v>
      </c>
      <c r="G567" s="526" t="s">
        <v>4899</v>
      </c>
      <c r="H567" s="412">
        <v>1081.69244</v>
      </c>
      <c r="I567" s="411">
        <v>39.065739999999998</v>
      </c>
      <c r="J567" s="411">
        <v>134.56950000000001</v>
      </c>
      <c r="K567" s="411">
        <v>14871.325489999999</v>
      </c>
      <c r="L567" s="526" t="s">
        <v>554</v>
      </c>
      <c r="M567" s="409" t="s">
        <v>586</v>
      </c>
      <c r="N567" s="195">
        <v>759.78790000000004</v>
      </c>
    </row>
    <row r="568" spans="1:14" ht="15" x14ac:dyDescent="0.25">
      <c r="A568" s="415">
        <v>346129</v>
      </c>
      <c r="B568" t="str">
        <f t="shared" si="20"/>
        <v>SEVROLL 214-378 Herkules plus horné vedenie 4m alu</v>
      </c>
      <c r="C568" s="198" t="e">
        <f t="shared" si="18"/>
        <v>#N/A</v>
      </c>
      <c r="D568" s="526" t="s">
        <v>3402</v>
      </c>
      <c r="E568" s="526" t="s">
        <v>4900</v>
      </c>
      <c r="F568" s="526" t="s">
        <v>4901</v>
      </c>
      <c r="G568" s="526" t="s">
        <v>4902</v>
      </c>
      <c r="H568" s="412" t="e">
        <v>#N/A</v>
      </c>
      <c r="I568" s="411" t="e">
        <v>#N/A</v>
      </c>
      <c r="J568" s="411" t="e">
        <v>#N/A</v>
      </c>
      <c r="K568" s="411" t="e">
        <v>#N/A</v>
      </c>
      <c r="L568" s="526" t="e">
        <v>#N/A</v>
      </c>
      <c r="M568" s="416" t="s">
        <v>586</v>
      </c>
      <c r="N568" s="195">
        <v>760.91380000000004</v>
      </c>
    </row>
    <row r="569" spans="1:14" ht="15" x14ac:dyDescent="0.25">
      <c r="A569" s="410">
        <v>163114</v>
      </c>
      <c r="B569" t="str">
        <f t="shared" si="20"/>
        <v>SEVROLL 02847 Doubler II spodné vedenie 4,05m oliva</v>
      </c>
      <c r="C569" s="198">
        <f t="shared" si="18"/>
        <v>42.768470000000001</v>
      </c>
      <c r="D569" s="526" t="s">
        <v>2915</v>
      </c>
      <c r="E569" s="526" t="s">
        <v>4903</v>
      </c>
      <c r="F569" s="526" t="s">
        <v>4904</v>
      </c>
      <c r="G569" s="526" t="s">
        <v>4905</v>
      </c>
      <c r="H569" s="412">
        <v>1184.5746799999999</v>
      </c>
      <c r="I569" s="411">
        <v>42.768470000000001</v>
      </c>
      <c r="J569" s="411">
        <v>145.24119999999999</v>
      </c>
      <c r="K569" s="411">
        <v>16280.86025</v>
      </c>
      <c r="L569" s="526" t="s">
        <v>554</v>
      </c>
      <c r="M569" s="409" t="s">
        <v>586</v>
      </c>
      <c r="N569" s="195">
        <v>767.62750000000005</v>
      </c>
    </row>
    <row r="570" spans="1:14" ht="15" x14ac:dyDescent="0.25">
      <c r="A570" s="410">
        <v>163120</v>
      </c>
      <c r="B570" t="str">
        <f t="shared" si="20"/>
        <v>SEVROLL Doubler II spodné vedenie 4,05m zlat</v>
      </c>
      <c r="C570" s="198">
        <f t="shared" si="18"/>
        <v>33.317160000000001</v>
      </c>
      <c r="D570" s="526" t="s">
        <v>2917</v>
      </c>
      <c r="E570" s="526" t="s">
        <v>4906</v>
      </c>
      <c r="F570" s="526" t="s">
        <v>1204</v>
      </c>
      <c r="G570" s="526" t="s">
        <v>4907</v>
      </c>
      <c r="H570" s="412" t="e">
        <v>#N/A</v>
      </c>
      <c r="I570" s="411">
        <v>33.317160000000001</v>
      </c>
      <c r="J570" s="411">
        <v>0</v>
      </c>
      <c r="K570" s="411">
        <v>0</v>
      </c>
      <c r="L570" s="526" t="e">
        <v>#N/A</v>
      </c>
      <c r="M570" s="409" t="s">
        <v>586</v>
      </c>
      <c r="N570" s="195">
        <v>767.62750000000005</v>
      </c>
    </row>
    <row r="571" spans="1:14" ht="15" x14ac:dyDescent="0.25">
      <c r="A571" s="415">
        <v>353410</v>
      </c>
      <c r="B571" t="str">
        <f t="shared" si="20"/>
        <v>SEVROLL 50246 Ursus horné vedenie 3,6m surová</v>
      </c>
      <c r="C571" s="198">
        <f t="shared" ref="C571:C634" si="21">IF($A$2=1,H571,IF($A$2=2,I571,IF($A$2=3,J571,IF($A$2=4,K571,"zadat jazyk"))))</f>
        <v>46.084159999999997</v>
      </c>
      <c r="D571" s="526" t="s">
        <v>3461</v>
      </c>
      <c r="E571" s="526" t="s">
        <v>4908</v>
      </c>
      <c r="F571" s="526" t="s">
        <v>4909</v>
      </c>
      <c r="G571" s="526" t="s">
        <v>4910</v>
      </c>
      <c r="H571" s="412">
        <v>1216.3552999999999</v>
      </c>
      <c r="I571" s="411">
        <v>46.084159999999997</v>
      </c>
      <c r="J571" s="411">
        <v>158.56433000000001</v>
      </c>
      <c r="K571" s="411">
        <v>16970.43463</v>
      </c>
      <c r="L571" s="526" t="s">
        <v>554</v>
      </c>
      <c r="M571" s="416" t="s">
        <v>586</v>
      </c>
      <c r="N571" s="195">
        <v>771.15531999999996</v>
      </c>
    </row>
    <row r="572" spans="1:14" ht="15" x14ac:dyDescent="0.25">
      <c r="A572" s="410">
        <v>284526</v>
      </c>
      <c r="B572" t="str">
        <f t="shared" si="20"/>
        <v>SEVROLL 04099Gemini 4 Pax spodná krycia lišta 3m 4mm biela lesk</v>
      </c>
      <c r="C572" s="198">
        <f t="shared" si="21"/>
        <v>33.543900000000001</v>
      </c>
      <c r="D572" s="526" t="s">
        <v>3275</v>
      </c>
      <c r="E572" s="526" t="s">
        <v>4911</v>
      </c>
      <c r="F572" s="526" t="s">
        <v>4912</v>
      </c>
      <c r="G572" s="526" t="s">
        <v>4913</v>
      </c>
      <c r="H572" s="412">
        <v>928.798</v>
      </c>
      <c r="I572" s="411">
        <v>33.543900000000001</v>
      </c>
      <c r="J572" s="411">
        <v>129.11160000000001</v>
      </c>
      <c r="K572" s="411">
        <v>12769.302</v>
      </c>
      <c r="L572" s="526" t="s">
        <v>554</v>
      </c>
      <c r="M572" s="409" t="s">
        <v>586</v>
      </c>
      <c r="N572" s="195">
        <v>779.38689999999997</v>
      </c>
    </row>
    <row r="573" spans="1:14" ht="15" x14ac:dyDescent="0.25">
      <c r="A573" s="415">
        <v>234399</v>
      </c>
      <c r="B573" t="str">
        <f t="shared" si="20"/>
        <v>SEVROLL Exclusive horné vedenie 3,6m strieborná</v>
      </c>
      <c r="C573" s="198">
        <f t="shared" si="21"/>
        <v>38.735469999999999</v>
      </c>
      <c r="D573" s="526" t="s">
        <v>3191</v>
      </c>
      <c r="E573" s="526" t="s">
        <v>4914</v>
      </c>
      <c r="F573" s="526" t="s">
        <v>1197</v>
      </c>
      <c r="G573" s="526" t="s">
        <v>4915</v>
      </c>
      <c r="H573" s="412">
        <v>1022.39226</v>
      </c>
      <c r="I573" s="411">
        <v>38.735469999999999</v>
      </c>
      <c r="J573" s="411">
        <v>133.27927</v>
      </c>
      <c r="K573" s="411">
        <v>14264.2904</v>
      </c>
      <c r="L573" s="526" t="s">
        <v>554</v>
      </c>
      <c r="M573" s="416" t="s">
        <v>586</v>
      </c>
      <c r="N573" s="195">
        <v>782.51440000000002</v>
      </c>
    </row>
    <row r="574" spans="1:14" ht="15" x14ac:dyDescent="0.25">
      <c r="A574" s="410">
        <v>89114</v>
      </c>
      <c r="B574" t="str">
        <f t="shared" si="20"/>
        <v>SEVROLL 01439 Gemini horné vedenie 4,05m oliva</v>
      </c>
      <c r="C574" s="198">
        <f t="shared" si="21"/>
        <v>41.80086</v>
      </c>
      <c r="D574" s="526" t="s">
        <v>2664</v>
      </c>
      <c r="E574" s="526" t="s">
        <v>4916</v>
      </c>
      <c r="F574" s="526" t="s">
        <v>4917</v>
      </c>
      <c r="G574" s="526" t="s">
        <v>2664</v>
      </c>
      <c r="H574" s="412">
        <v>1157.4251999999999</v>
      </c>
      <c r="I574" s="411">
        <v>41.80086</v>
      </c>
      <c r="J574" s="411">
        <v>144.59361000000001</v>
      </c>
      <c r="K574" s="411">
        <v>15912.514800000001</v>
      </c>
      <c r="L574" s="526" t="s">
        <v>553</v>
      </c>
      <c r="M574" s="409" t="s">
        <v>586</v>
      </c>
      <c r="N574" s="195">
        <v>791.1463</v>
      </c>
    </row>
    <row r="575" spans="1:14" ht="15" x14ac:dyDescent="0.25">
      <c r="A575" s="410">
        <v>89113</v>
      </c>
      <c r="B575" t="str">
        <f t="shared" si="20"/>
        <v>SEVROLL 01462  Gemini horné vedenie 4,05m zlatá</v>
      </c>
      <c r="C575" s="198">
        <f t="shared" si="21"/>
        <v>41.80086</v>
      </c>
      <c r="D575" s="526" t="s">
        <v>2663</v>
      </c>
      <c r="E575" s="526" t="s">
        <v>4918</v>
      </c>
      <c r="F575" s="526" t="s">
        <v>4919</v>
      </c>
      <c r="G575" s="526" t="s">
        <v>2663</v>
      </c>
      <c r="H575" s="412">
        <v>1157.4251999999999</v>
      </c>
      <c r="I575" s="411">
        <v>41.80086</v>
      </c>
      <c r="J575" s="411">
        <v>144.59361000000001</v>
      </c>
      <c r="K575" s="411">
        <v>15912.514800000001</v>
      </c>
      <c r="L575" s="526" t="s">
        <v>553</v>
      </c>
      <c r="M575" s="409" t="s">
        <v>586</v>
      </c>
      <c r="N575" s="195">
        <v>791.1463</v>
      </c>
    </row>
    <row r="576" spans="1:14" ht="15" x14ac:dyDescent="0.25">
      <c r="A576" s="415">
        <v>223510</v>
      </c>
      <c r="B576" t="str">
        <f t="shared" si="20"/>
        <v>SEVROLL Herkules 2 horné vedenie 3m alu</v>
      </c>
      <c r="C576" s="198" t="e">
        <f t="shared" si="21"/>
        <v>#N/A</v>
      </c>
      <c r="D576" s="526" t="s">
        <v>2748</v>
      </c>
      <c r="E576" s="526" t="s">
        <v>4920</v>
      </c>
      <c r="F576" s="526" t="s">
        <v>4921</v>
      </c>
      <c r="G576" s="526" t="s">
        <v>4922</v>
      </c>
      <c r="H576" s="412" t="e">
        <v>#N/A</v>
      </c>
      <c r="I576" s="411" t="e">
        <v>#N/A</v>
      </c>
      <c r="J576" s="411" t="e">
        <v>#N/A</v>
      </c>
      <c r="K576" s="411" t="e">
        <v>#N/A</v>
      </c>
      <c r="L576" s="526" t="e">
        <v>#N/A</v>
      </c>
      <c r="M576" s="416" t="s">
        <v>586</v>
      </c>
      <c r="N576" s="195">
        <v>800.18407999999999</v>
      </c>
    </row>
    <row r="577" spans="1:14" ht="15" x14ac:dyDescent="0.25">
      <c r="A577" s="415">
        <v>84174</v>
      </c>
      <c r="B577" t="str">
        <f t="shared" si="20"/>
        <v>SEVROLL 214-427 Herkules 2 horné vedenie 3m alu</v>
      </c>
      <c r="C577" s="198" t="e">
        <f t="shared" si="21"/>
        <v>#N/A</v>
      </c>
      <c r="D577" s="526" t="s">
        <v>2748</v>
      </c>
      <c r="E577" s="526" t="s">
        <v>4920</v>
      </c>
      <c r="F577" s="526" t="s">
        <v>4923</v>
      </c>
      <c r="G577" s="526" t="s">
        <v>4924</v>
      </c>
      <c r="H577" s="412" t="e">
        <v>#N/A</v>
      </c>
      <c r="I577" s="411" t="e">
        <v>#N/A</v>
      </c>
      <c r="J577" s="411" t="e">
        <v>#N/A</v>
      </c>
      <c r="K577" s="411" t="e">
        <v>#N/A</v>
      </c>
      <c r="L577" s="526" t="e">
        <v>#N/A</v>
      </c>
      <c r="M577" s="416" t="s">
        <v>586</v>
      </c>
      <c r="N577" s="195">
        <v>800.18407999999999</v>
      </c>
    </row>
    <row r="578" spans="1:14" ht="15" x14ac:dyDescent="0.25">
      <c r="A578" s="410">
        <v>308645</v>
      </c>
      <c r="B578" t="str">
        <f t="shared" si="20"/>
        <v>SEVROLL 04295 Elegant II spodné vedenie 6m biela lesk</v>
      </c>
      <c r="C578" s="198">
        <f t="shared" si="21"/>
        <v>37.585949999999997</v>
      </c>
      <c r="D578" s="526" t="s">
        <v>3331</v>
      </c>
      <c r="E578" s="526" t="s">
        <v>4925</v>
      </c>
      <c r="F578" s="526" t="s">
        <v>4926</v>
      </c>
      <c r="G578" s="526" t="s">
        <v>4927</v>
      </c>
      <c r="H578" s="412">
        <v>1040.96822</v>
      </c>
      <c r="I578" s="411">
        <v>37.585949999999997</v>
      </c>
      <c r="J578" s="411">
        <v>143.60579999999999</v>
      </c>
      <c r="K578" s="411">
        <v>14308.00301</v>
      </c>
      <c r="L578" s="526" t="s">
        <v>554</v>
      </c>
      <c r="M578" s="409" t="s">
        <v>586</v>
      </c>
      <c r="N578" s="195">
        <v>801.59910000000002</v>
      </c>
    </row>
    <row r="579" spans="1:14" ht="15" x14ac:dyDescent="0.25">
      <c r="A579" s="410">
        <v>191639</v>
      </c>
      <c r="B579" t="str">
        <f t="shared" si="20"/>
        <v>SEVROLL 03072 Top horné vedenie jednoduché 3m oliva</v>
      </c>
      <c r="C579" s="198">
        <f t="shared" si="21"/>
        <v>40.252679999999998</v>
      </c>
      <c r="D579" s="526" t="s">
        <v>2958</v>
      </c>
      <c r="E579" s="526" t="s">
        <v>4928</v>
      </c>
      <c r="F579" s="526" t="s">
        <v>4929</v>
      </c>
      <c r="G579" s="526" t="s">
        <v>4930</v>
      </c>
      <c r="H579" s="412">
        <v>1114.5576000000001</v>
      </c>
      <c r="I579" s="411">
        <v>40.252679999999998</v>
      </c>
      <c r="J579" s="411">
        <v>136.7732</v>
      </c>
      <c r="K579" s="411">
        <v>15323.162399999999</v>
      </c>
      <c r="L579" s="526" t="s">
        <v>554</v>
      </c>
      <c r="M579" s="409" t="s">
        <v>586</v>
      </c>
      <c r="N579" s="195">
        <v>801.59910000000002</v>
      </c>
    </row>
    <row r="580" spans="1:14" ht="15" x14ac:dyDescent="0.25">
      <c r="A580" s="413">
        <v>340596</v>
      </c>
      <c r="B580" t="e">
        <f t="shared" si="20"/>
        <v>#N/A</v>
      </c>
      <c r="C580" s="198" t="e">
        <f t="shared" si="21"/>
        <v>#N/A</v>
      </c>
      <c r="D580" s="526" t="e">
        <v>#N/A</v>
      </c>
      <c r="E580" s="526" t="e">
        <v>#N/A</v>
      </c>
      <c r="F580" s="526" t="e">
        <v>#N/A</v>
      </c>
      <c r="G580" s="526" t="e">
        <v>#N/A</v>
      </c>
      <c r="H580" s="412" t="e">
        <v>#N/A</v>
      </c>
      <c r="I580" s="411" t="e">
        <v>#N/A</v>
      </c>
      <c r="J580" s="411" t="e">
        <v>#N/A</v>
      </c>
      <c r="K580" s="411" t="e">
        <v>#N/A</v>
      </c>
      <c r="L580" s="526" t="e">
        <v>#N/A</v>
      </c>
      <c r="M580" s="414" t="s">
        <v>586</v>
      </c>
      <c r="N580" s="195">
        <v>803.08640000000003</v>
      </c>
    </row>
    <row r="581" spans="1:14" ht="15" x14ac:dyDescent="0.25">
      <c r="A581" s="410">
        <v>102825</v>
      </c>
      <c r="B581" t="str">
        <f t="shared" si="20"/>
        <v>SEVROLL MAXIM VOD.LIŠTA 4,3 M STRIEBORNA</v>
      </c>
      <c r="C581" s="198" t="e">
        <f t="shared" si="21"/>
        <v>#N/A</v>
      </c>
      <c r="D581" s="526" t="s">
        <v>2827</v>
      </c>
      <c r="E581" s="526" t="s">
        <v>4931</v>
      </c>
      <c r="F581" s="526" t="s">
        <v>4932</v>
      </c>
      <c r="G581" s="526" t="s">
        <v>4933</v>
      </c>
      <c r="H581" s="412" t="e">
        <v>#N/A</v>
      </c>
      <c r="I581" s="411" t="e">
        <v>#N/A</v>
      </c>
      <c r="J581" s="411" t="e">
        <v>#N/A</v>
      </c>
      <c r="K581" s="411" t="e">
        <v>#N/A</v>
      </c>
      <c r="L581" s="526" t="e">
        <v>#N/A</v>
      </c>
      <c r="M581" s="409" t="s">
        <v>586</v>
      </c>
      <c r="N581" s="195">
        <v>803.55899999999997</v>
      </c>
    </row>
    <row r="582" spans="1:14" ht="15" x14ac:dyDescent="0.25">
      <c r="A582" s="415">
        <v>98034</v>
      </c>
      <c r="B582" t="str">
        <f t="shared" si="20"/>
        <v>SEVROLL 10256-SV Exclusive sada kovania ZPE-10 II</v>
      </c>
      <c r="C582" s="198">
        <f t="shared" si="21"/>
        <v>39.401179999999997</v>
      </c>
      <c r="D582" s="526" t="s">
        <v>2783</v>
      </c>
      <c r="E582" s="526" t="s">
        <v>4934</v>
      </c>
      <c r="F582" s="526" t="s">
        <v>4935</v>
      </c>
      <c r="G582" s="526" t="s">
        <v>4936</v>
      </c>
      <c r="H582" s="412">
        <v>1039.96335</v>
      </c>
      <c r="I582" s="411">
        <v>39.401179999999997</v>
      </c>
      <c r="J582" s="411">
        <v>135.56983</v>
      </c>
      <c r="K582" s="411">
        <v>14509.436540000001</v>
      </c>
      <c r="L582" s="526" t="s">
        <v>554</v>
      </c>
      <c r="M582" s="416" t="s">
        <v>586</v>
      </c>
      <c r="N582" s="195">
        <v>819.11587999999995</v>
      </c>
    </row>
    <row r="583" spans="1:14" ht="15" x14ac:dyDescent="0.25">
      <c r="A583" s="413">
        <v>248417</v>
      </c>
      <c r="B583" t="e">
        <f t="shared" si="20"/>
        <v>#N/A</v>
      </c>
      <c r="C583" s="198" t="e">
        <f t="shared" si="21"/>
        <v>#N/A</v>
      </c>
      <c r="D583" s="526" t="e">
        <v>#N/A</v>
      </c>
      <c r="E583" s="526" t="e">
        <v>#N/A</v>
      </c>
      <c r="F583" s="526" t="e">
        <v>#N/A</v>
      </c>
      <c r="G583" s="526" t="e">
        <v>#N/A</v>
      </c>
      <c r="H583" s="412" t="e">
        <v>#N/A</v>
      </c>
      <c r="I583" s="411" t="e">
        <v>#N/A</v>
      </c>
      <c r="J583" s="411" t="e">
        <v>#N/A</v>
      </c>
      <c r="K583" s="411" t="e">
        <v>#N/A</v>
      </c>
      <c r="L583" s="526" t="e">
        <v>#N/A</v>
      </c>
      <c r="M583" s="414" t="s">
        <v>586</v>
      </c>
      <c r="N583" s="195">
        <v>819.71079999999995</v>
      </c>
    </row>
    <row r="584" spans="1:14" ht="15" x14ac:dyDescent="0.25">
      <c r="A584" s="410">
        <v>180414</v>
      </c>
      <c r="B584" t="str">
        <f t="shared" si="20"/>
        <v>SEVROLL 02890 Maxim II spodné vedenie 6m strieborná</v>
      </c>
      <c r="C584" s="198" t="e">
        <f t="shared" si="21"/>
        <v>#N/A</v>
      </c>
      <c r="D584" s="526" t="s">
        <v>2941</v>
      </c>
      <c r="E584" s="526" t="s">
        <v>4937</v>
      </c>
      <c r="F584" s="526" t="s">
        <v>4938</v>
      </c>
      <c r="G584" s="526" t="s">
        <v>4939</v>
      </c>
      <c r="H584" s="412" t="e">
        <v>#N/A</v>
      </c>
      <c r="I584" s="411" t="e">
        <v>#N/A</v>
      </c>
      <c r="J584" s="411" t="e">
        <v>#N/A</v>
      </c>
      <c r="K584" s="411" t="e">
        <v>#N/A</v>
      </c>
      <c r="L584" s="526" t="e">
        <v>#N/A</v>
      </c>
      <c r="M584" s="409" t="s">
        <v>586</v>
      </c>
      <c r="N584" s="195">
        <v>823.15800000000002</v>
      </c>
    </row>
    <row r="585" spans="1:14" ht="15" x14ac:dyDescent="0.25">
      <c r="A585" s="410">
        <v>179227</v>
      </c>
      <c r="B585" t="str">
        <f t="shared" si="20"/>
        <v>SEVROLL 03047 Future II úchytová lišta 3,5m oliva</v>
      </c>
      <c r="C585" s="198">
        <f t="shared" si="21"/>
        <v>48.587049999999998</v>
      </c>
      <c r="D585" s="526" t="s">
        <v>2931</v>
      </c>
      <c r="E585" s="526" t="s">
        <v>4940</v>
      </c>
      <c r="F585" s="526" t="s">
        <v>2931</v>
      </c>
      <c r="G585" s="526" t="s">
        <v>4941</v>
      </c>
      <c r="H585" s="412">
        <v>1345.32818</v>
      </c>
      <c r="I585" s="411">
        <v>48.587049999999998</v>
      </c>
      <c r="J585" s="411">
        <v>170.136</v>
      </c>
      <c r="K585" s="411">
        <v>18495.842670000002</v>
      </c>
      <c r="L585" s="526" t="s">
        <v>554</v>
      </c>
      <c r="M585" s="409" t="s">
        <v>586</v>
      </c>
      <c r="N585" s="195">
        <v>838.18389999999999</v>
      </c>
    </row>
    <row r="586" spans="1:14" ht="15" x14ac:dyDescent="0.25">
      <c r="A586" s="410">
        <v>216338</v>
      </c>
      <c r="B586" t="str">
        <f t="shared" si="20"/>
        <v>SEVROLL Simple horné vedenie 6m strieborná</v>
      </c>
      <c r="C586" s="198">
        <f t="shared" si="21"/>
        <v>42.574950000000001</v>
      </c>
      <c r="D586" s="526" t="s">
        <v>3035</v>
      </c>
      <c r="E586" s="526" t="s">
        <v>4942</v>
      </c>
      <c r="F586" s="526" t="s">
        <v>1073</v>
      </c>
      <c r="G586" s="526" t="s">
        <v>4943</v>
      </c>
      <c r="H586" s="412">
        <v>1166.1375</v>
      </c>
      <c r="I586" s="411">
        <v>42.574950000000001</v>
      </c>
      <c r="J586" s="411">
        <v>157.76137</v>
      </c>
      <c r="K586" s="411">
        <v>16537.95</v>
      </c>
      <c r="L586" s="526" t="s">
        <v>554</v>
      </c>
      <c r="M586" s="409" t="s">
        <v>586</v>
      </c>
      <c r="N586" s="195">
        <v>850.4298</v>
      </c>
    </row>
    <row r="587" spans="1:14" ht="15" x14ac:dyDescent="0.25">
      <c r="A587" s="415">
        <v>134489</v>
      </c>
      <c r="B587" t="str">
        <f t="shared" si="20"/>
        <v>SEVROLL 10022-SV Ursus sada kovania ZP-18 pro 1 krídlo</v>
      </c>
      <c r="C587" s="198">
        <f t="shared" si="21"/>
        <v>38.158790000000003</v>
      </c>
      <c r="D587" s="526" t="s">
        <v>2867</v>
      </c>
      <c r="E587" s="526" t="s">
        <v>4944</v>
      </c>
      <c r="F587" s="526" t="s">
        <v>4945</v>
      </c>
      <c r="G587" s="526" t="s">
        <v>4946</v>
      </c>
      <c r="H587" s="412" t="e">
        <v>#N/A</v>
      </c>
      <c r="I587" s="411">
        <v>38.158790000000003</v>
      </c>
      <c r="J587" s="411">
        <v>134.14932999999999</v>
      </c>
      <c r="K587" s="411">
        <v>14357.405769999999</v>
      </c>
      <c r="L587" s="526" t="e">
        <v>#N/A</v>
      </c>
      <c r="M587" s="416" t="s">
        <v>587</v>
      </c>
      <c r="N587" s="195">
        <v>851.29993999999999</v>
      </c>
    </row>
    <row r="588" spans="1:14" ht="15" x14ac:dyDescent="0.25">
      <c r="A588" s="415">
        <v>214825</v>
      </c>
      <c r="B588" t="str">
        <f t="shared" si="20"/>
        <v>SEVROLL Exclusive sada kovania ZPE18</v>
      </c>
      <c r="C588" s="198">
        <f t="shared" si="21"/>
        <v>38.988329999999998</v>
      </c>
      <c r="D588" s="526" t="s">
        <v>3031</v>
      </c>
      <c r="E588" s="526" t="s">
        <v>4947</v>
      </c>
      <c r="F588" s="526" t="s">
        <v>1195</v>
      </c>
      <c r="G588" s="526" t="s">
        <v>4948</v>
      </c>
      <c r="H588" s="412">
        <v>1029.06655</v>
      </c>
      <c r="I588" s="411">
        <v>38.988329999999998</v>
      </c>
      <c r="J588" s="411">
        <v>134.14932999999999</v>
      </c>
      <c r="K588" s="411">
        <v>14357.405769999999</v>
      </c>
      <c r="L588" s="526" t="s">
        <v>554</v>
      </c>
      <c r="M588" s="416" t="s">
        <v>586</v>
      </c>
      <c r="N588" s="195">
        <v>851.29993999999999</v>
      </c>
    </row>
    <row r="589" spans="1:14" ht="15" x14ac:dyDescent="0.25">
      <c r="A589" s="410">
        <v>227321</v>
      </c>
      <c r="B589" t="str">
        <f t="shared" si="20"/>
        <v>SEVROLL Comfort horné vedenie 2,35m strieborná</v>
      </c>
      <c r="C589" s="198">
        <f t="shared" si="21"/>
        <v>41.207389999999997</v>
      </c>
      <c r="D589" s="526" t="s">
        <v>3168</v>
      </c>
      <c r="E589" s="526" t="s">
        <v>4949</v>
      </c>
      <c r="F589" s="526" t="s">
        <v>1285</v>
      </c>
      <c r="G589" s="526" t="s">
        <v>4950</v>
      </c>
      <c r="H589" s="412">
        <v>1140.99262</v>
      </c>
      <c r="I589" s="411">
        <v>41.207389999999997</v>
      </c>
      <c r="J589" s="411">
        <v>149.685</v>
      </c>
      <c r="K589" s="411">
        <v>15686.596530000001</v>
      </c>
      <c r="L589" s="526" t="s">
        <v>553</v>
      </c>
      <c r="M589" s="409" t="s">
        <v>586</v>
      </c>
      <c r="N589" s="195">
        <v>863.6626</v>
      </c>
    </row>
    <row r="590" spans="1:14" ht="15" x14ac:dyDescent="0.25">
      <c r="A590" s="415">
        <v>89259</v>
      </c>
      <c r="B590" t="e">
        <f t="shared" si="20"/>
        <v>#N/A</v>
      </c>
      <c r="C590" s="198" t="e">
        <f t="shared" si="21"/>
        <v>#N/A</v>
      </c>
      <c r="D590" s="526" t="e">
        <v>#N/A</v>
      </c>
      <c r="E590" s="526" t="e">
        <v>#N/A</v>
      </c>
      <c r="F590" s="526" t="e">
        <v>#N/A</v>
      </c>
      <c r="G590" s="526" t="e">
        <v>#N/A</v>
      </c>
      <c r="H590" s="412" t="e">
        <v>#N/A</v>
      </c>
      <c r="I590" s="411" t="e">
        <v>#N/A</v>
      </c>
      <c r="J590" s="411" t="e">
        <v>#N/A</v>
      </c>
      <c r="K590" s="411" t="e">
        <v>#N/A</v>
      </c>
      <c r="L590" s="526" t="e">
        <v>#N/A</v>
      </c>
      <c r="M590" s="416" t="s">
        <v>586</v>
      </c>
      <c r="N590" s="195">
        <v>867.70749999999998</v>
      </c>
    </row>
    <row r="591" spans="1:14" ht="15" x14ac:dyDescent="0.25">
      <c r="A591" s="410">
        <v>351578</v>
      </c>
      <c r="B591" t="str">
        <f t="shared" si="20"/>
        <v>SEVROLL 04764 Gemini II spodné vedenie 6m biela lesk</v>
      </c>
      <c r="C591" s="198">
        <f t="shared" si="21"/>
        <v>36.861400000000003</v>
      </c>
      <c r="D591" s="526" t="s">
        <v>3459</v>
      </c>
      <c r="E591" s="526" t="s">
        <v>4951</v>
      </c>
      <c r="F591" s="526" t="s">
        <v>4952</v>
      </c>
      <c r="G591" s="526" t="s">
        <v>4953</v>
      </c>
      <c r="H591" s="412">
        <v>1020.96334</v>
      </c>
      <c r="I591" s="411">
        <v>36.861400000000003</v>
      </c>
      <c r="J591" s="411">
        <v>147.88980000000001</v>
      </c>
      <c r="K591" s="411">
        <v>14032.18615</v>
      </c>
      <c r="L591" s="526" t="s">
        <v>554</v>
      </c>
      <c r="M591" s="409" t="s">
        <v>586</v>
      </c>
      <c r="N591" s="195">
        <v>873.46209999999996</v>
      </c>
    </row>
    <row r="592" spans="1:14" ht="15" x14ac:dyDescent="0.25">
      <c r="A592" s="415">
        <v>351578</v>
      </c>
      <c r="B592" t="str">
        <f t="shared" si="20"/>
        <v>SEVROLL 04764 Gemini II spodné vedenie 6m biela lesk</v>
      </c>
      <c r="C592" s="198">
        <f t="shared" si="21"/>
        <v>36.861400000000003</v>
      </c>
      <c r="D592" s="526" t="s">
        <v>3459</v>
      </c>
      <c r="E592" s="526" t="s">
        <v>4951</v>
      </c>
      <c r="F592" s="526" t="s">
        <v>4952</v>
      </c>
      <c r="G592" s="526" t="s">
        <v>4953</v>
      </c>
      <c r="H592" s="412">
        <v>1020.96334</v>
      </c>
      <c r="I592" s="411">
        <v>36.861400000000003</v>
      </c>
      <c r="J592" s="411">
        <v>147.88980000000001</v>
      </c>
      <c r="K592" s="411">
        <v>14032.18615</v>
      </c>
      <c r="L592" s="526" t="s">
        <v>554</v>
      </c>
      <c r="M592" s="416" t="s">
        <v>586</v>
      </c>
      <c r="N592" s="195">
        <v>873.46209999999996</v>
      </c>
    </row>
    <row r="593" spans="1:14" ht="15" x14ac:dyDescent="0.25">
      <c r="A593" s="413">
        <v>167748</v>
      </c>
      <c r="B593" t="e">
        <f t="shared" si="20"/>
        <v>#N/A</v>
      </c>
      <c r="C593" s="198" t="e">
        <f t="shared" si="21"/>
        <v>#N/A</v>
      </c>
      <c r="D593" s="526" t="e">
        <v>#N/A</v>
      </c>
      <c r="E593" s="526" t="e">
        <v>#N/A</v>
      </c>
      <c r="F593" s="526" t="e">
        <v>#N/A</v>
      </c>
      <c r="G593" s="526" t="e">
        <v>#N/A</v>
      </c>
      <c r="H593" s="412" t="e">
        <v>#N/A</v>
      </c>
      <c r="I593" s="411" t="e">
        <v>#N/A</v>
      </c>
      <c r="J593" s="411" t="e">
        <v>#N/A</v>
      </c>
      <c r="K593" s="411" t="e">
        <v>#N/A</v>
      </c>
      <c r="L593" s="526" t="e">
        <v>#N/A</v>
      </c>
      <c r="M593" s="414" t="s">
        <v>586</v>
      </c>
      <c r="N593" s="195">
        <v>874</v>
      </c>
    </row>
    <row r="594" spans="1:14" ht="15" x14ac:dyDescent="0.25">
      <c r="A594" s="410">
        <v>238031</v>
      </c>
      <c r="B594" t="str">
        <f t="shared" si="20"/>
        <v>SEVROLL Maxim vodiaca lišta 4,3m oliva</v>
      </c>
      <c r="C594" s="198" t="e">
        <f t="shared" si="21"/>
        <v>#N/A</v>
      </c>
      <c r="D594" s="526" t="s">
        <v>3200</v>
      </c>
      <c r="E594" s="526" t="s">
        <v>4954</v>
      </c>
      <c r="F594" s="526" t="s">
        <v>4955</v>
      </c>
      <c r="G594" s="526" t="s">
        <v>4956</v>
      </c>
      <c r="H594" s="412" t="e">
        <v>#N/A</v>
      </c>
      <c r="I594" s="411" t="e">
        <v>#N/A</v>
      </c>
      <c r="J594" s="411" t="e">
        <v>#N/A</v>
      </c>
      <c r="K594" s="411" t="e">
        <v>#N/A</v>
      </c>
      <c r="L594" s="526" t="e">
        <v>#N/A</v>
      </c>
      <c r="M594" s="409" t="s">
        <v>586</v>
      </c>
      <c r="N594" s="195">
        <v>879.34180000000003</v>
      </c>
    </row>
    <row r="595" spans="1:14" ht="15" x14ac:dyDescent="0.25">
      <c r="A595" s="410">
        <v>179224</v>
      </c>
      <c r="B595" t="str">
        <f t="shared" si="20"/>
        <v>SEVROLL FUTURE II ÚCH.LIŠTA 3,5 M str.</v>
      </c>
      <c r="C595" s="198">
        <f t="shared" si="21"/>
        <v>41.70796</v>
      </c>
      <c r="D595" s="526" t="s">
        <v>2930</v>
      </c>
      <c r="E595" s="526" t="s">
        <v>4957</v>
      </c>
      <c r="F595" s="526" t="s">
        <v>4958</v>
      </c>
      <c r="G595" s="526" t="s">
        <v>4959</v>
      </c>
      <c r="H595" s="412">
        <v>1154.56736</v>
      </c>
      <c r="I595" s="411">
        <v>41.70796</v>
      </c>
      <c r="J595" s="411">
        <v>154.6728</v>
      </c>
      <c r="K595" s="411">
        <v>15877.153749999999</v>
      </c>
      <c r="L595" s="526" t="s">
        <v>553</v>
      </c>
      <c r="M595" s="409" t="s">
        <v>586</v>
      </c>
      <c r="N595" s="195">
        <v>879.99509999999998</v>
      </c>
    </row>
    <row r="596" spans="1:14" ht="15" x14ac:dyDescent="0.25">
      <c r="A596" s="410">
        <v>102838</v>
      </c>
      <c r="B596" t="str">
        <f t="shared" si="20"/>
        <v>SEVROLL HORNÉ VEDENIE MAXIM 3,5M STR.</v>
      </c>
      <c r="C596" s="198">
        <f t="shared" si="21"/>
        <v>39.825560000000003</v>
      </c>
      <c r="D596" s="526" t="s">
        <v>2837</v>
      </c>
      <c r="E596" s="526" t="s">
        <v>4960</v>
      </c>
      <c r="F596" s="526" t="s">
        <v>4961</v>
      </c>
      <c r="G596" s="526" t="s">
        <v>4962</v>
      </c>
      <c r="H596" s="412">
        <v>1052.5355300000001</v>
      </c>
      <c r="I596" s="411">
        <v>39.825560000000003</v>
      </c>
      <c r="J596" s="411">
        <v>137.36080000000001</v>
      </c>
      <c r="K596" s="411">
        <v>15317.52231</v>
      </c>
      <c r="L596" s="526" t="s">
        <v>555</v>
      </c>
      <c r="M596" s="409" t="s">
        <v>586</v>
      </c>
      <c r="N596" s="195">
        <v>894.36770000000001</v>
      </c>
    </row>
    <row r="597" spans="1:14" ht="15" x14ac:dyDescent="0.25">
      <c r="A597" s="410">
        <v>98113</v>
      </c>
      <c r="B597" t="str">
        <f t="shared" si="20"/>
        <v>SEVROLL HOR.VEDENIE COMFORT 2,35 M OLIVA</v>
      </c>
      <c r="C597" s="198">
        <f t="shared" si="21"/>
        <v>51.48086</v>
      </c>
      <c r="D597" s="526" t="s">
        <v>2816</v>
      </c>
      <c r="E597" s="526" t="s">
        <v>4963</v>
      </c>
      <c r="F597" s="526" t="s">
        <v>4964</v>
      </c>
      <c r="G597" s="526" t="s">
        <v>4965</v>
      </c>
      <c r="H597" s="412">
        <v>1425.3477</v>
      </c>
      <c r="I597" s="411">
        <v>51.48086</v>
      </c>
      <c r="J597" s="411">
        <v>174.3228</v>
      </c>
      <c r="K597" s="411">
        <v>19597.440709999999</v>
      </c>
      <c r="L597" s="526" t="s">
        <v>554</v>
      </c>
      <c r="M597" s="409" t="s">
        <v>586</v>
      </c>
      <c r="N597" s="195">
        <v>904.16719999999998</v>
      </c>
    </row>
    <row r="598" spans="1:14" ht="15" x14ac:dyDescent="0.25">
      <c r="A598" s="410">
        <v>223554</v>
      </c>
      <c r="B598" t="str">
        <f t="shared" si="20"/>
        <v>SEVROLL Simple horné vedenie 6m oliva</v>
      </c>
      <c r="C598" s="198">
        <f t="shared" si="21"/>
        <v>53.218690000000002</v>
      </c>
      <c r="D598" s="526" t="s">
        <v>3097</v>
      </c>
      <c r="E598" s="526" t="s">
        <v>4966</v>
      </c>
      <c r="F598" s="526" t="s">
        <v>4967</v>
      </c>
      <c r="G598" s="526" t="s">
        <v>4968</v>
      </c>
      <c r="H598" s="412">
        <v>1458.0252499999999</v>
      </c>
      <c r="I598" s="411">
        <v>53.218690000000002</v>
      </c>
      <c r="J598" s="411">
        <v>181.37522999999999</v>
      </c>
      <c r="K598" s="411">
        <v>20672.437699999999</v>
      </c>
      <c r="L598" s="526" t="s">
        <v>554</v>
      </c>
      <c r="M598" s="409" t="s">
        <v>586</v>
      </c>
      <c r="N598" s="195">
        <v>940.5018</v>
      </c>
    </row>
    <row r="599" spans="1:14" ht="15" x14ac:dyDescent="0.25">
      <c r="A599" s="413">
        <v>248419</v>
      </c>
      <c r="B599" t="e">
        <f t="shared" si="20"/>
        <v>#N/A</v>
      </c>
      <c r="C599" s="198" t="e">
        <f t="shared" si="21"/>
        <v>#N/A</v>
      </c>
      <c r="D599" s="526" t="e">
        <v>#N/A</v>
      </c>
      <c r="E599" s="526" t="e">
        <v>#N/A</v>
      </c>
      <c r="F599" s="526" t="e">
        <v>#N/A</v>
      </c>
      <c r="G599" s="526" t="e">
        <v>#N/A</v>
      </c>
      <c r="H599" s="412" t="e">
        <v>#N/A</v>
      </c>
      <c r="I599" s="411" t="e">
        <v>#N/A</v>
      </c>
      <c r="J599" s="411" t="e">
        <v>#N/A</v>
      </c>
      <c r="K599" s="411" t="e">
        <v>#N/A</v>
      </c>
      <c r="L599" s="526" t="e">
        <v>#N/A</v>
      </c>
      <c r="M599" s="414" t="s">
        <v>586</v>
      </c>
      <c r="N599" s="195">
        <v>945.67259999999999</v>
      </c>
    </row>
    <row r="600" spans="1:14" ht="15" x14ac:dyDescent="0.25">
      <c r="A600" s="413">
        <v>157354</v>
      </c>
      <c r="B600" t="e">
        <f t="shared" si="20"/>
        <v>#N/A</v>
      </c>
      <c r="C600" s="198" t="e">
        <f t="shared" si="21"/>
        <v>#N/A</v>
      </c>
      <c r="D600" s="526" t="e">
        <v>#N/A</v>
      </c>
      <c r="E600" s="526" t="e">
        <v>#N/A</v>
      </c>
      <c r="F600" s="526" t="e">
        <v>#N/A</v>
      </c>
      <c r="G600" s="526" t="e">
        <v>#N/A</v>
      </c>
      <c r="H600" s="412" t="e">
        <v>#N/A</v>
      </c>
      <c r="I600" s="411" t="e">
        <v>#N/A</v>
      </c>
      <c r="J600" s="411" t="e">
        <v>#N/A</v>
      </c>
      <c r="K600" s="411" t="e">
        <v>#N/A</v>
      </c>
      <c r="L600" s="526" t="e">
        <v>#N/A</v>
      </c>
      <c r="M600" s="414" t="s">
        <v>586</v>
      </c>
      <c r="N600" s="195">
        <v>946.95140000000004</v>
      </c>
    </row>
    <row r="601" spans="1:14" ht="15" x14ac:dyDescent="0.25">
      <c r="A601" s="410">
        <v>102830</v>
      </c>
      <c r="B601" t="str">
        <f t="shared" si="20"/>
        <v>SEVROLL Maxim spod.krycia lišta 3,5m 18mm strieborná</v>
      </c>
      <c r="C601" s="198">
        <f t="shared" si="21"/>
        <v>42.224690000000002</v>
      </c>
      <c r="D601" s="526" t="s">
        <v>2830</v>
      </c>
      <c r="E601" s="526" t="s">
        <v>4969</v>
      </c>
      <c r="F601" s="526" t="s">
        <v>4970</v>
      </c>
      <c r="G601" s="526" t="s">
        <v>4971</v>
      </c>
      <c r="H601" s="412">
        <v>1115.94129</v>
      </c>
      <c r="I601" s="411">
        <v>42.224690000000002</v>
      </c>
      <c r="J601" s="411">
        <v>145.7038</v>
      </c>
      <c r="K601" s="411">
        <v>16240.26463</v>
      </c>
      <c r="L601" s="526" t="s">
        <v>555</v>
      </c>
      <c r="M601" s="409" t="s">
        <v>586</v>
      </c>
      <c r="N601" s="195">
        <v>948.59159999999997</v>
      </c>
    </row>
    <row r="602" spans="1:14" ht="15" x14ac:dyDescent="0.25">
      <c r="A602" s="413">
        <v>248458</v>
      </c>
      <c r="B602" t="e">
        <f t="shared" si="20"/>
        <v>#N/A</v>
      </c>
      <c r="C602" s="198" t="e">
        <f t="shared" si="21"/>
        <v>#N/A</v>
      </c>
      <c r="D602" s="526" t="e">
        <v>#N/A</v>
      </c>
      <c r="E602" s="526" t="e">
        <v>#N/A</v>
      </c>
      <c r="F602" s="526" t="e">
        <v>#N/A</v>
      </c>
      <c r="G602" s="526" t="e">
        <v>#N/A</v>
      </c>
      <c r="H602" s="412" t="e">
        <v>#N/A</v>
      </c>
      <c r="I602" s="411" t="e">
        <v>#N/A</v>
      </c>
      <c r="J602" s="411" t="e">
        <v>#N/A</v>
      </c>
      <c r="K602" s="411" t="e">
        <v>#N/A</v>
      </c>
      <c r="L602" s="526" t="e">
        <v>#N/A</v>
      </c>
      <c r="M602" s="414" t="s">
        <v>586</v>
      </c>
      <c r="N602" s="195">
        <v>961.01819999999998</v>
      </c>
    </row>
    <row r="603" spans="1:14" ht="15" x14ac:dyDescent="0.25">
      <c r="A603" s="410">
        <v>134933</v>
      </c>
      <c r="B603" t="str">
        <f t="shared" si="20"/>
        <v>SEVROLL 01391 Gemini horné vedenie 6m strieborná</v>
      </c>
      <c r="C603" s="198">
        <f t="shared" si="21"/>
        <v>49.464350000000003</v>
      </c>
      <c r="D603" s="526" t="s">
        <v>2868</v>
      </c>
      <c r="E603" s="526" t="s">
        <v>4972</v>
      </c>
      <c r="F603" s="526" t="s">
        <v>4973</v>
      </c>
      <c r="G603" s="526" t="s">
        <v>4974</v>
      </c>
      <c r="H603" s="412">
        <v>1369.6198199999999</v>
      </c>
      <c r="I603" s="411">
        <v>49.464350000000003</v>
      </c>
      <c r="J603" s="411">
        <v>184.17554999999999</v>
      </c>
      <c r="K603" s="411">
        <v>18829.80933</v>
      </c>
      <c r="L603" s="526" t="s">
        <v>553</v>
      </c>
      <c r="M603" s="409" t="s">
        <v>586</v>
      </c>
      <c r="N603" s="195">
        <v>962.96420000000001</v>
      </c>
    </row>
    <row r="604" spans="1:14" ht="15" x14ac:dyDescent="0.25">
      <c r="A604" s="410">
        <v>349807</v>
      </c>
      <c r="B604" t="str">
        <f t="shared" ref="B604:B667" si="22">IF($A$2=1,D604,IF($A$2=2,F604,IF($A$2=3,G604,IF($A$2=4,E604,"zadat jazyk"))))</f>
        <v>SEVROLL 04476 Blue horné vedenie  6m strieborná</v>
      </c>
      <c r="C604" s="198">
        <f t="shared" si="21"/>
        <v>44.897219999999997</v>
      </c>
      <c r="D604" s="526" t="s">
        <v>3425</v>
      </c>
      <c r="E604" s="526" t="s">
        <v>4975</v>
      </c>
      <c r="F604" s="526" t="s">
        <v>4976</v>
      </c>
      <c r="G604" s="526" t="s">
        <v>4977</v>
      </c>
      <c r="H604" s="412">
        <v>1224.2893999999999</v>
      </c>
      <c r="I604" s="411">
        <v>44.897219999999997</v>
      </c>
      <c r="J604" s="411">
        <v>160.97072</v>
      </c>
      <c r="K604" s="411">
        <v>17440.02</v>
      </c>
      <c r="L604" s="526" t="s">
        <v>555</v>
      </c>
      <c r="M604" s="409" t="s">
        <v>586</v>
      </c>
      <c r="N604" s="195">
        <v>968.274</v>
      </c>
    </row>
    <row r="605" spans="1:14" ht="15" x14ac:dyDescent="0.25">
      <c r="A605" s="410">
        <v>304006</v>
      </c>
      <c r="B605" t="str">
        <f t="shared" si="22"/>
        <v>SEVROLL bezpečnostná fólia 300mm/50m transparentná</v>
      </c>
      <c r="C605" s="198">
        <f t="shared" si="21"/>
        <v>42.42013</v>
      </c>
      <c r="D605" s="526" t="s">
        <v>3313</v>
      </c>
      <c r="E605" s="526" t="s">
        <v>4978</v>
      </c>
      <c r="F605" s="526" t="s">
        <v>4979</v>
      </c>
      <c r="G605" s="526" t="s">
        <v>4980</v>
      </c>
      <c r="H605" s="412">
        <v>1246.3986</v>
      </c>
      <c r="I605" s="411">
        <v>42.42013</v>
      </c>
      <c r="J605" s="411">
        <v>143.16999999999999</v>
      </c>
      <c r="K605" s="411">
        <v>16477.81193</v>
      </c>
      <c r="L605" s="526" t="s">
        <v>554</v>
      </c>
      <c r="M605" s="409" t="s">
        <v>586</v>
      </c>
      <c r="N605" s="195">
        <v>978.64340000000004</v>
      </c>
    </row>
    <row r="606" spans="1:14" ht="15" x14ac:dyDescent="0.25">
      <c r="A606" s="410">
        <v>299759</v>
      </c>
      <c r="B606" t="str">
        <f t="shared" si="22"/>
        <v>SEVROLL Idea horné/spodné vedenie 6m strieborná</v>
      </c>
      <c r="C606" s="198">
        <f t="shared" si="21"/>
        <v>44.484369999999998</v>
      </c>
      <c r="D606" s="526" t="s">
        <v>3308</v>
      </c>
      <c r="E606" s="526" t="s">
        <v>4981</v>
      </c>
      <c r="F606" s="526" t="s">
        <v>4982</v>
      </c>
      <c r="G606" s="526" t="s">
        <v>4983</v>
      </c>
      <c r="H606" s="412">
        <v>1231.7290399999999</v>
      </c>
      <c r="I606" s="411">
        <v>44.484369999999998</v>
      </c>
      <c r="J606" s="411">
        <v>156.44759999999999</v>
      </c>
      <c r="K606" s="411">
        <v>16934.05889</v>
      </c>
      <c r="L606" s="526" t="s">
        <v>554</v>
      </c>
      <c r="M606" s="409" t="s">
        <v>586</v>
      </c>
      <c r="N606" s="195">
        <v>978.64340000000004</v>
      </c>
    </row>
    <row r="607" spans="1:14" ht="15" x14ac:dyDescent="0.25">
      <c r="A607" s="413">
        <v>195452</v>
      </c>
      <c r="B607" t="e">
        <f t="shared" si="22"/>
        <v>#N/A</v>
      </c>
      <c r="C607" s="198" t="e">
        <f t="shared" si="21"/>
        <v>#N/A</v>
      </c>
      <c r="D607" s="526" t="e">
        <v>#N/A</v>
      </c>
      <c r="E607" s="526" t="e">
        <v>#N/A</v>
      </c>
      <c r="F607" s="526" t="e">
        <v>#N/A</v>
      </c>
      <c r="G607" s="526" t="e">
        <v>#N/A</v>
      </c>
      <c r="H607" s="412" t="e">
        <v>#N/A</v>
      </c>
      <c r="I607" s="411" t="e">
        <v>#N/A</v>
      </c>
      <c r="J607" s="411" t="e">
        <v>#N/A</v>
      </c>
      <c r="K607" s="411" t="e">
        <v>#N/A</v>
      </c>
      <c r="L607" s="526" t="e">
        <v>#N/A</v>
      </c>
      <c r="M607" s="414" t="s">
        <v>586</v>
      </c>
      <c r="N607" s="195">
        <v>979.24109999999996</v>
      </c>
    </row>
    <row r="608" spans="1:14" ht="15" x14ac:dyDescent="0.25">
      <c r="A608" s="410">
        <v>100968</v>
      </c>
      <c r="B608" t="str">
        <f t="shared" si="22"/>
        <v>SEVROLL Maxim sada kovánia pre 3 dvere 2,5m strieborná</v>
      </c>
      <c r="C608" s="198" t="e">
        <f t="shared" si="21"/>
        <v>#N/A</v>
      </c>
      <c r="D608" s="526" t="s">
        <v>2819</v>
      </c>
      <c r="E608" s="526" t="s">
        <v>4984</v>
      </c>
      <c r="F608" s="526" t="s">
        <v>4985</v>
      </c>
      <c r="G608" s="526" t="s">
        <v>4986</v>
      </c>
      <c r="H608" s="412" t="e">
        <v>#N/A</v>
      </c>
      <c r="I608" s="411" t="e">
        <v>#N/A</v>
      </c>
      <c r="J608" s="411" t="e">
        <v>#N/A</v>
      </c>
      <c r="K608" s="411" t="e">
        <v>#N/A</v>
      </c>
      <c r="L608" s="526" t="e">
        <v>#N/A</v>
      </c>
      <c r="M608" s="409" t="s">
        <v>586</v>
      </c>
      <c r="N608" s="195">
        <v>999.54899999999998</v>
      </c>
    </row>
    <row r="609" spans="1:14" ht="15" x14ac:dyDescent="0.25">
      <c r="A609" s="415">
        <v>223514</v>
      </c>
      <c r="B609" t="str">
        <f t="shared" si="22"/>
        <v>SEVROLL Herkules sada kovania60kg, 1,2m</v>
      </c>
      <c r="C609" s="198" t="e">
        <f t="shared" si="21"/>
        <v>#N/A</v>
      </c>
      <c r="D609" s="526" t="s">
        <v>3080</v>
      </c>
      <c r="E609" s="526" t="s">
        <v>4987</v>
      </c>
      <c r="F609" s="526" t="s">
        <v>1177</v>
      </c>
      <c r="G609" s="526" t="s">
        <v>4988</v>
      </c>
      <c r="H609" s="412" t="e">
        <v>#N/A</v>
      </c>
      <c r="I609" s="411" t="e">
        <v>#N/A</v>
      </c>
      <c r="J609" s="411" t="e">
        <v>#N/A</v>
      </c>
      <c r="K609" s="411" t="e">
        <v>#N/A</v>
      </c>
      <c r="L609" s="526" t="e">
        <v>#N/A</v>
      </c>
      <c r="M609" s="416" t="s">
        <v>587</v>
      </c>
      <c r="N609" s="195">
        <v>1001.49222</v>
      </c>
    </row>
    <row r="610" spans="1:14" ht="15" x14ac:dyDescent="0.25">
      <c r="A610" s="410">
        <v>349806</v>
      </c>
      <c r="B610" t="str">
        <f t="shared" si="22"/>
        <v>SEVROLL 04470 Blue horné vedenie  6m oliva</v>
      </c>
      <c r="C610" s="198">
        <f t="shared" si="21"/>
        <v>56.12153</v>
      </c>
      <c r="D610" s="526" t="s">
        <v>3424</v>
      </c>
      <c r="E610" s="526" t="s">
        <v>4989</v>
      </c>
      <c r="F610" s="526" t="s">
        <v>4990</v>
      </c>
      <c r="G610" s="526" t="s">
        <v>4991</v>
      </c>
      <c r="H610" s="412">
        <v>1537.1812500000001</v>
      </c>
      <c r="I610" s="411">
        <v>56.12153</v>
      </c>
      <c r="J610" s="411">
        <v>189.86785</v>
      </c>
      <c r="K610" s="411">
        <v>21800.025000000001</v>
      </c>
      <c r="L610" s="526" t="s">
        <v>553</v>
      </c>
      <c r="M610" s="409" t="s">
        <v>586</v>
      </c>
      <c r="N610" s="195">
        <v>1018.5642</v>
      </c>
    </row>
    <row r="611" spans="1:14" ht="15" x14ac:dyDescent="0.25">
      <c r="A611" s="410">
        <v>318663</v>
      </c>
      <c r="B611" t="str">
        <f t="shared" si="22"/>
        <v>SEVROLL 20363-SV tlmič Central 10/18mm obojstranný 25kg</v>
      </c>
      <c r="C611" s="198">
        <f t="shared" si="21"/>
        <v>48.741869999999999</v>
      </c>
      <c r="D611" s="526" t="s">
        <v>3363</v>
      </c>
      <c r="E611" s="526" t="s">
        <v>4992</v>
      </c>
      <c r="F611" s="526" t="s">
        <v>4993</v>
      </c>
      <c r="G611" s="526" t="s">
        <v>4994</v>
      </c>
      <c r="H611" s="412">
        <v>1432.14535</v>
      </c>
      <c r="I611" s="411">
        <v>48.741869999999999</v>
      </c>
      <c r="J611" s="411">
        <v>206.958</v>
      </c>
      <c r="K611" s="411">
        <v>18933.446929999998</v>
      </c>
      <c r="L611" s="526" t="s">
        <v>553</v>
      </c>
      <c r="M611" s="409" t="s">
        <v>586</v>
      </c>
      <c r="N611" s="195">
        <v>1022.4145</v>
      </c>
    </row>
    <row r="612" spans="1:14" ht="15" x14ac:dyDescent="0.25">
      <c r="A612" s="410">
        <v>283955</v>
      </c>
      <c r="B612" t="str">
        <f t="shared" si="22"/>
        <v>SEVROLL 20319-SV tlmič Central 10/18mm obojstranný 25-40kg</v>
      </c>
      <c r="C612" s="198">
        <f t="shared" si="21"/>
        <v>48.741869999999999</v>
      </c>
      <c r="D612" s="526" t="s">
        <v>3271</v>
      </c>
      <c r="E612" s="526" t="s">
        <v>4995</v>
      </c>
      <c r="F612" s="526" t="s">
        <v>4996</v>
      </c>
      <c r="G612" s="526" t="s">
        <v>4997</v>
      </c>
      <c r="H612" s="412">
        <v>1432.14535</v>
      </c>
      <c r="I612" s="411">
        <v>48.741869999999999</v>
      </c>
      <c r="J612" s="411">
        <v>206.958</v>
      </c>
      <c r="K612" s="411">
        <v>18933.446929999998</v>
      </c>
      <c r="L612" s="526" t="s">
        <v>553</v>
      </c>
      <c r="M612" s="409" t="s">
        <v>586</v>
      </c>
      <c r="N612" s="195">
        <v>1022.4145</v>
      </c>
    </row>
    <row r="613" spans="1:14" ht="15" x14ac:dyDescent="0.25">
      <c r="A613" s="410">
        <v>284973</v>
      </c>
      <c r="B613" t="str">
        <f t="shared" si="22"/>
        <v>SEVROLL Maxim horné vedenie 3,5m oliva</v>
      </c>
      <c r="C613" s="198" t="e">
        <f t="shared" si="21"/>
        <v>#N/A</v>
      </c>
      <c r="D613" s="526" t="s">
        <v>3292</v>
      </c>
      <c r="E613" s="526" t="s">
        <v>4998</v>
      </c>
      <c r="F613" s="526" t="s">
        <v>1157</v>
      </c>
      <c r="G613" s="526" t="s">
        <v>4999</v>
      </c>
      <c r="H613" s="412" t="e">
        <v>#N/A</v>
      </c>
      <c r="I613" s="411" t="e">
        <v>#N/A</v>
      </c>
      <c r="J613" s="411" t="e">
        <v>#N/A</v>
      </c>
      <c r="K613" s="411" t="e">
        <v>#N/A</v>
      </c>
      <c r="L613" s="526" t="e">
        <v>#N/A</v>
      </c>
      <c r="M613" s="409" t="s">
        <v>586</v>
      </c>
      <c r="N613" s="195">
        <v>1028.9475</v>
      </c>
    </row>
    <row r="614" spans="1:14" ht="15" x14ac:dyDescent="0.25">
      <c r="A614" s="410">
        <v>163110</v>
      </c>
      <c r="B614" t="str">
        <f t="shared" si="22"/>
        <v>SEVROLL 02853 Doubler II spodné vedenie 6m strieborná</v>
      </c>
      <c r="C614" s="198">
        <f t="shared" si="21"/>
        <v>50.67709</v>
      </c>
      <c r="D614" s="526" t="s">
        <v>2911</v>
      </c>
      <c r="E614" s="526" t="s">
        <v>5000</v>
      </c>
      <c r="F614" s="526" t="s">
        <v>5001</v>
      </c>
      <c r="G614" s="526" t="s">
        <v>5002</v>
      </c>
      <c r="H614" s="412">
        <v>1403.1994400000001</v>
      </c>
      <c r="I614" s="411">
        <v>50.67709</v>
      </c>
      <c r="J614" s="411">
        <v>188.25120000000001</v>
      </c>
      <c r="K614" s="411">
        <v>19291.468489999999</v>
      </c>
      <c r="L614" s="526" t="s">
        <v>554</v>
      </c>
      <c r="M614" s="409" t="s">
        <v>586</v>
      </c>
      <c r="N614" s="195">
        <v>1033.5206000000001</v>
      </c>
    </row>
    <row r="615" spans="1:14" ht="15" x14ac:dyDescent="0.25">
      <c r="A615" s="410">
        <v>232989</v>
      </c>
      <c r="B615" t="str">
        <f t="shared" si="22"/>
        <v>SEVROLL Optima sada tlmičov P+L</v>
      </c>
      <c r="C615" s="198">
        <f t="shared" si="21"/>
        <v>55.605469999999997</v>
      </c>
      <c r="D615" s="526" t="s">
        <v>3189</v>
      </c>
      <c r="E615" s="526" t="s">
        <v>5003</v>
      </c>
      <c r="F615" s="526" t="s">
        <v>1144</v>
      </c>
      <c r="G615" s="526" t="s">
        <v>5004</v>
      </c>
      <c r="H615" s="412">
        <v>1633.8132499999999</v>
      </c>
      <c r="I615" s="411">
        <v>55.605469999999997</v>
      </c>
      <c r="J615" s="411">
        <v>198.7062</v>
      </c>
      <c r="K615" s="411">
        <v>21599.564999999999</v>
      </c>
      <c r="L615" s="526" t="s">
        <v>554</v>
      </c>
      <c r="M615" s="409" t="s">
        <v>589</v>
      </c>
      <c r="N615" s="195">
        <v>1055.0795000000001</v>
      </c>
    </row>
    <row r="616" spans="1:14" ht="15" x14ac:dyDescent="0.25">
      <c r="A616" s="415">
        <v>223511</v>
      </c>
      <c r="B616" t="str">
        <f t="shared" si="22"/>
        <v>SEVROLL Herkules 2 horné vedenie 4m alu</v>
      </c>
      <c r="C616" s="198" t="e">
        <f t="shared" si="21"/>
        <v>#N/A</v>
      </c>
      <c r="D616" s="526" t="s">
        <v>3078</v>
      </c>
      <c r="E616" s="526" t="s">
        <v>5005</v>
      </c>
      <c r="F616" s="526" t="s">
        <v>5006</v>
      </c>
      <c r="G616" s="526" t="s">
        <v>5007</v>
      </c>
      <c r="H616" s="412" t="e">
        <v>#N/A</v>
      </c>
      <c r="I616" s="411" t="e">
        <v>#N/A</v>
      </c>
      <c r="J616" s="411" t="e">
        <v>#N/A</v>
      </c>
      <c r="K616" s="411" t="e">
        <v>#N/A</v>
      </c>
      <c r="L616" s="526" t="e">
        <v>#N/A</v>
      </c>
      <c r="M616" s="416" t="s">
        <v>586</v>
      </c>
      <c r="N616" s="195">
        <v>1062.7050400000001</v>
      </c>
    </row>
    <row r="617" spans="1:14" ht="15" x14ac:dyDescent="0.25">
      <c r="A617" s="410">
        <v>180419</v>
      </c>
      <c r="B617" t="str">
        <f t="shared" si="22"/>
        <v>SEVROLL 02893 Maxim vodiaca lišta 6m strieborná</v>
      </c>
      <c r="C617" s="198" t="e">
        <f t="shared" si="21"/>
        <v>#N/A</v>
      </c>
      <c r="D617" s="526" t="s">
        <v>2945</v>
      </c>
      <c r="E617" s="526" t="s">
        <v>5008</v>
      </c>
      <c r="F617" s="526" t="s">
        <v>5009</v>
      </c>
      <c r="G617" s="526" t="s">
        <v>5010</v>
      </c>
      <c r="H617" s="412" t="e">
        <v>#N/A</v>
      </c>
      <c r="I617" s="411" t="e">
        <v>#N/A</v>
      </c>
      <c r="J617" s="411" t="e">
        <v>#N/A</v>
      </c>
      <c r="K617" s="411" t="e">
        <v>#N/A</v>
      </c>
      <c r="L617" s="526" t="e">
        <v>#N/A</v>
      </c>
      <c r="M617" s="409" t="s">
        <v>586</v>
      </c>
      <c r="N617" s="195">
        <v>1068.1455000000001</v>
      </c>
    </row>
    <row r="618" spans="1:14" ht="15" x14ac:dyDescent="0.25">
      <c r="A618" s="413">
        <v>248829</v>
      </c>
      <c r="B618" t="e">
        <f t="shared" si="22"/>
        <v>#N/A</v>
      </c>
      <c r="C618" s="198" t="e">
        <f t="shared" si="21"/>
        <v>#N/A</v>
      </c>
      <c r="D618" s="526" t="e">
        <v>#N/A</v>
      </c>
      <c r="E618" s="526" t="e">
        <v>#N/A</v>
      </c>
      <c r="F618" s="526" t="e">
        <v>#N/A</v>
      </c>
      <c r="G618" s="526" t="e">
        <v>#N/A</v>
      </c>
      <c r="H618" s="412" t="e">
        <v>#N/A</v>
      </c>
      <c r="I618" s="411" t="e">
        <v>#N/A</v>
      </c>
      <c r="J618" s="411" t="e">
        <v>#N/A</v>
      </c>
      <c r="K618" s="411" t="e">
        <v>#N/A</v>
      </c>
      <c r="L618" s="526" t="e">
        <v>#N/A</v>
      </c>
      <c r="M618" s="414" t="s">
        <v>586</v>
      </c>
      <c r="N618" s="195">
        <v>1077.3889999999999</v>
      </c>
    </row>
    <row r="619" spans="1:14" ht="15" x14ac:dyDescent="0.25">
      <c r="A619" s="415">
        <v>223516</v>
      </c>
      <c r="B619" t="str">
        <f t="shared" si="22"/>
        <v>SEVROLL Herkules sada kovania60kg, 1,5m</v>
      </c>
      <c r="C619" s="198" t="e">
        <f t="shared" si="21"/>
        <v>#N/A</v>
      </c>
      <c r="D619" s="526" t="s">
        <v>3082</v>
      </c>
      <c r="E619" s="526" t="s">
        <v>5011</v>
      </c>
      <c r="F619" s="526" t="s">
        <v>1176</v>
      </c>
      <c r="G619" s="526" t="s">
        <v>5012</v>
      </c>
      <c r="H619" s="412" t="e">
        <v>#N/A</v>
      </c>
      <c r="I619" s="411" t="e">
        <v>#N/A</v>
      </c>
      <c r="J619" s="411" t="e">
        <v>#N/A</v>
      </c>
      <c r="K619" s="411" t="e">
        <v>#N/A</v>
      </c>
      <c r="L619" s="526" t="e">
        <v>#N/A</v>
      </c>
      <c r="M619" s="416" t="s">
        <v>587</v>
      </c>
      <c r="N619" s="195">
        <v>1086.68532</v>
      </c>
    </row>
    <row r="620" spans="1:14" ht="15" x14ac:dyDescent="0.25">
      <c r="A620" s="410">
        <v>284971</v>
      </c>
      <c r="B620" t="str">
        <f t="shared" si="22"/>
        <v>SEVROLL Maxim spodná krycia lišta 3,5m 18mm oliva</v>
      </c>
      <c r="C620" s="198" t="e">
        <f t="shared" si="21"/>
        <v>#N/A</v>
      </c>
      <c r="D620" s="526" t="s">
        <v>3290</v>
      </c>
      <c r="E620" s="526" t="s">
        <v>5013</v>
      </c>
      <c r="F620" s="526" t="s">
        <v>5014</v>
      </c>
      <c r="G620" s="526" t="s">
        <v>5015</v>
      </c>
      <c r="H620" s="412" t="e">
        <v>#N/A</v>
      </c>
      <c r="I620" s="411" t="e">
        <v>#N/A</v>
      </c>
      <c r="J620" s="411" t="e">
        <v>#N/A</v>
      </c>
      <c r="K620" s="411" t="e">
        <v>#N/A</v>
      </c>
      <c r="L620" s="526" t="e">
        <v>#N/A</v>
      </c>
      <c r="M620" s="409" t="s">
        <v>586</v>
      </c>
      <c r="N620" s="195">
        <v>1091.011</v>
      </c>
    </row>
    <row r="621" spans="1:14" ht="15" x14ac:dyDescent="0.25">
      <c r="A621" s="410">
        <v>102839</v>
      </c>
      <c r="B621" t="str">
        <f t="shared" si="22"/>
        <v>SEVROLL HORNÉ VEDENIE MAXIM 4,3M STR.</v>
      </c>
      <c r="C621" s="198">
        <f t="shared" si="21"/>
        <v>48.967509999999997</v>
      </c>
      <c r="D621" s="526" t="s">
        <v>2838</v>
      </c>
      <c r="E621" s="526" t="s">
        <v>5016</v>
      </c>
      <c r="F621" s="526" t="s">
        <v>5017</v>
      </c>
      <c r="G621" s="526" t="s">
        <v>5018</v>
      </c>
      <c r="H621" s="412">
        <v>1294.14483</v>
      </c>
      <c r="I621" s="411">
        <v>48.967509999999997</v>
      </c>
      <c r="J621" s="411">
        <v>168.92</v>
      </c>
      <c r="K621" s="411">
        <v>18833.656149999999</v>
      </c>
      <c r="L621" s="526" t="s">
        <v>555</v>
      </c>
      <c r="M621" s="409" t="s">
        <v>586</v>
      </c>
      <c r="N621" s="195">
        <v>1100.1572000000001</v>
      </c>
    </row>
    <row r="622" spans="1:14" ht="15" x14ac:dyDescent="0.25">
      <c r="A622" s="410">
        <v>227324</v>
      </c>
      <c r="B622" t="str">
        <f t="shared" si="22"/>
        <v>SEVROLL Comfort horné vedenie 3m strieborné</v>
      </c>
      <c r="C622" s="198">
        <f t="shared" si="21"/>
        <v>52.586509999999997</v>
      </c>
      <c r="D622" s="526" t="s">
        <v>3169</v>
      </c>
      <c r="E622" s="526" t="s">
        <v>5019</v>
      </c>
      <c r="F622" s="526" t="s">
        <v>1284</v>
      </c>
      <c r="G622" s="526" t="s">
        <v>5020</v>
      </c>
      <c r="H622" s="412">
        <v>1456.0694800000001</v>
      </c>
      <c r="I622" s="411">
        <v>52.586509999999997</v>
      </c>
      <c r="J622" s="411">
        <v>191.09700000000001</v>
      </c>
      <c r="K622" s="411">
        <v>20018.336370000001</v>
      </c>
      <c r="L622" s="526" t="s">
        <v>553</v>
      </c>
      <c r="M622" s="409" t="s">
        <v>586</v>
      </c>
      <c r="N622" s="195">
        <v>1102.1170999999999</v>
      </c>
    </row>
    <row r="623" spans="1:14" ht="15" x14ac:dyDescent="0.25">
      <c r="A623" s="413">
        <v>195455</v>
      </c>
      <c r="B623" t="e">
        <f t="shared" si="22"/>
        <v>#N/A</v>
      </c>
      <c r="C623" s="198" t="e">
        <f t="shared" si="21"/>
        <v>#N/A</v>
      </c>
      <c r="D623" s="526" t="e">
        <v>#N/A</v>
      </c>
      <c r="E623" s="526" t="e">
        <v>#N/A</v>
      </c>
      <c r="F623" s="526" t="e">
        <v>#N/A</v>
      </c>
      <c r="G623" s="526" t="e">
        <v>#N/A</v>
      </c>
      <c r="H623" s="412" t="e">
        <v>#N/A</v>
      </c>
      <c r="I623" s="411" t="e">
        <v>#N/A</v>
      </c>
      <c r="J623" s="411" t="e">
        <v>#N/A</v>
      </c>
      <c r="K623" s="411" t="e">
        <v>#N/A</v>
      </c>
      <c r="L623" s="526" t="e">
        <v>#N/A</v>
      </c>
      <c r="M623" s="414" t="s">
        <v>586</v>
      </c>
      <c r="N623" s="195">
        <v>1110.6378</v>
      </c>
    </row>
    <row r="624" spans="1:14" ht="15" x14ac:dyDescent="0.25">
      <c r="A624" s="410">
        <v>134935</v>
      </c>
      <c r="B624" t="str">
        <f t="shared" si="22"/>
        <v>SEVROLL 01392 Gemini horné vedenie 6m zlatá</v>
      </c>
      <c r="C624" s="198">
        <f t="shared" si="21"/>
        <v>61.927199999999999</v>
      </c>
      <c r="D624" s="526" t="s">
        <v>2870</v>
      </c>
      <c r="E624" s="526" t="s">
        <v>5021</v>
      </c>
      <c r="F624" s="526" t="s">
        <v>5022</v>
      </c>
      <c r="G624" s="526" t="s">
        <v>5023</v>
      </c>
      <c r="H624" s="412">
        <v>1714.704</v>
      </c>
      <c r="I624" s="411">
        <v>61.927199999999999</v>
      </c>
      <c r="J624" s="411">
        <v>214.22382999999999</v>
      </c>
      <c r="K624" s="411">
        <v>23574.096000000001</v>
      </c>
      <c r="L624" s="526" t="s">
        <v>554</v>
      </c>
      <c r="M624" s="409" t="s">
        <v>586</v>
      </c>
      <c r="N624" s="195">
        <v>1115.8363999999999</v>
      </c>
    </row>
    <row r="625" spans="1:14" ht="15" x14ac:dyDescent="0.25">
      <c r="A625" s="410">
        <v>163115</v>
      </c>
      <c r="B625" t="str">
        <f t="shared" si="22"/>
        <v>SEVROLL 02848 Doubler II spodné vedenie 6m oliva</v>
      </c>
      <c r="C625" s="198">
        <f t="shared" si="21"/>
        <v>63.34637</v>
      </c>
      <c r="D625" s="526" t="s">
        <v>2916</v>
      </c>
      <c r="E625" s="526" t="s">
        <v>5024</v>
      </c>
      <c r="F625" s="526" t="s">
        <v>5025</v>
      </c>
      <c r="G625" s="526" t="s">
        <v>5026</v>
      </c>
      <c r="H625" s="412">
        <v>1753.9992999999999</v>
      </c>
      <c r="I625" s="411">
        <v>63.34637</v>
      </c>
      <c r="J625" s="411">
        <v>215.1694</v>
      </c>
      <c r="K625" s="411">
        <v>24114.3357</v>
      </c>
      <c r="L625" s="526" t="s">
        <v>554</v>
      </c>
      <c r="M625" s="409" t="s">
        <v>586</v>
      </c>
      <c r="N625" s="195">
        <v>1137.3952999999999</v>
      </c>
    </row>
    <row r="626" spans="1:14" ht="15" x14ac:dyDescent="0.25">
      <c r="A626" s="415">
        <v>223515</v>
      </c>
      <c r="B626" t="str">
        <f t="shared" si="22"/>
        <v>SEVROLL Herkules sada kovania120kg, 1,2m</v>
      </c>
      <c r="C626" s="198" t="e">
        <f t="shared" si="21"/>
        <v>#N/A</v>
      </c>
      <c r="D626" s="526" t="s">
        <v>3081</v>
      </c>
      <c r="E626" s="526" t="s">
        <v>5027</v>
      </c>
      <c r="F626" s="526" t="s">
        <v>1184</v>
      </c>
      <c r="G626" s="526" t="s">
        <v>5028</v>
      </c>
      <c r="H626" s="412" t="e">
        <v>#N/A</v>
      </c>
      <c r="I626" s="411" t="e">
        <v>#N/A</v>
      </c>
      <c r="J626" s="411" t="e">
        <v>#N/A</v>
      </c>
      <c r="K626" s="411" t="e">
        <v>#N/A</v>
      </c>
      <c r="L626" s="526" t="e">
        <v>#N/A</v>
      </c>
      <c r="M626" s="416" t="s">
        <v>587</v>
      </c>
      <c r="N626" s="195">
        <v>1148.5291999999999</v>
      </c>
    </row>
    <row r="627" spans="1:14" ht="15" x14ac:dyDescent="0.25">
      <c r="A627" s="410">
        <v>279077</v>
      </c>
      <c r="B627" t="str">
        <f t="shared" si="22"/>
        <v>SEVROLL Single horné vedenie 6m strieborná</v>
      </c>
      <c r="C627" s="198">
        <f t="shared" si="21"/>
        <v>52.328479999999999</v>
      </c>
      <c r="D627" s="526" t="s">
        <v>3253</v>
      </c>
      <c r="E627" s="526" t="s">
        <v>5029</v>
      </c>
      <c r="F627" s="526" t="s">
        <v>5030</v>
      </c>
      <c r="G627" s="526" t="s">
        <v>5031</v>
      </c>
      <c r="H627" s="412">
        <v>1448.92488</v>
      </c>
      <c r="I627" s="411">
        <v>52.328479999999999</v>
      </c>
      <c r="J627" s="411">
        <v>184.14060000000001</v>
      </c>
      <c r="K627" s="411">
        <v>19920.110970000002</v>
      </c>
      <c r="L627" s="526" t="s">
        <v>554</v>
      </c>
      <c r="M627" s="409" t="s">
        <v>586</v>
      </c>
      <c r="N627" s="195">
        <v>1153.0744999999999</v>
      </c>
    </row>
    <row r="628" spans="1:14" ht="15" x14ac:dyDescent="0.25">
      <c r="A628" s="410">
        <v>98115</v>
      </c>
      <c r="B628" t="str">
        <f t="shared" si="22"/>
        <v>SEVROLL HOR.VEDENIE COMFORT 3 M OLIVA</v>
      </c>
      <c r="C628" s="198">
        <f t="shared" si="21"/>
        <v>65.720240000000004</v>
      </c>
      <c r="D628" s="526" t="s">
        <v>2817</v>
      </c>
      <c r="E628" s="526" t="s">
        <v>5032</v>
      </c>
      <c r="F628" s="526" t="s">
        <v>5033</v>
      </c>
      <c r="G628" s="526" t="s">
        <v>5034</v>
      </c>
      <c r="H628" s="412">
        <v>1819.7296200000001</v>
      </c>
      <c r="I628" s="411">
        <v>65.720240000000004</v>
      </c>
      <c r="J628" s="411">
        <v>222.58799999999999</v>
      </c>
      <c r="K628" s="411">
        <v>25018.009529999999</v>
      </c>
      <c r="L628" s="526" t="s">
        <v>554</v>
      </c>
      <c r="M628" s="409" t="s">
        <v>586</v>
      </c>
      <c r="N628" s="195">
        <v>1153.7277999999999</v>
      </c>
    </row>
    <row r="629" spans="1:14" ht="15" x14ac:dyDescent="0.25">
      <c r="A629" s="415">
        <v>346130</v>
      </c>
      <c r="B629" t="str">
        <f t="shared" si="22"/>
        <v>SEVROLL 214-379 Herkules plus horné vedenie 6m alu</v>
      </c>
      <c r="C629" s="198" t="e">
        <f t="shared" si="21"/>
        <v>#N/A</v>
      </c>
      <c r="D629" s="526" t="s">
        <v>3403</v>
      </c>
      <c r="E629" s="526" t="s">
        <v>5035</v>
      </c>
      <c r="F629" s="526" t="s">
        <v>5036</v>
      </c>
      <c r="G629" s="526" t="s">
        <v>5037</v>
      </c>
      <c r="H629" s="412" t="e">
        <v>#N/A</v>
      </c>
      <c r="I629" s="411" t="e">
        <v>#N/A</v>
      </c>
      <c r="J629" s="411" t="e">
        <v>#N/A</v>
      </c>
      <c r="K629" s="411" t="e">
        <v>#N/A</v>
      </c>
      <c r="L629" s="526" t="e">
        <v>#N/A</v>
      </c>
      <c r="M629" s="416" t="s">
        <v>586</v>
      </c>
      <c r="N629" s="195">
        <v>1162.9907599999999</v>
      </c>
    </row>
    <row r="630" spans="1:14" ht="15" x14ac:dyDescent="0.25">
      <c r="A630" s="410">
        <v>102831</v>
      </c>
      <c r="B630" t="str">
        <f t="shared" si="22"/>
        <v>SEVROLL Maxim spod.krycia lišta 4,3m 18mm strieborná</v>
      </c>
      <c r="C630" s="198">
        <f t="shared" si="21"/>
        <v>51.871720000000003</v>
      </c>
      <c r="D630" s="526" t="s">
        <v>2831</v>
      </c>
      <c r="E630" s="526" t="s">
        <v>5038</v>
      </c>
      <c r="F630" s="526" t="s">
        <v>5039</v>
      </c>
      <c r="G630" s="526" t="s">
        <v>5040</v>
      </c>
      <c r="H630" s="412">
        <v>1370.8991699999999</v>
      </c>
      <c r="I630" s="411">
        <v>51.871720000000003</v>
      </c>
      <c r="J630" s="411">
        <v>179.00370000000001</v>
      </c>
      <c r="K630" s="411">
        <v>19950.66</v>
      </c>
      <c r="L630" s="526" t="s">
        <v>555</v>
      </c>
      <c r="M630" s="409" t="s">
        <v>586</v>
      </c>
      <c r="N630" s="195">
        <v>1166.1405</v>
      </c>
    </row>
    <row r="631" spans="1:14" ht="15" x14ac:dyDescent="0.25">
      <c r="A631" s="410">
        <v>134934</v>
      </c>
      <c r="B631" t="str">
        <f t="shared" si="22"/>
        <v>SEVROLL Gemini horné vedenie 6m oliva</v>
      </c>
      <c r="C631" s="198">
        <f t="shared" si="21"/>
        <v>61.927199999999999</v>
      </c>
      <c r="D631" s="526" t="s">
        <v>2869</v>
      </c>
      <c r="E631" s="526" t="s">
        <v>5041</v>
      </c>
      <c r="F631" s="526" t="s">
        <v>1272</v>
      </c>
      <c r="G631" s="526" t="s">
        <v>5042</v>
      </c>
      <c r="H631" s="412">
        <v>1714.704</v>
      </c>
      <c r="I631" s="411">
        <v>61.927199999999999</v>
      </c>
      <c r="J631" s="411">
        <v>214.22382999999999</v>
      </c>
      <c r="K631" s="411">
        <v>23574.096000000001</v>
      </c>
      <c r="L631" s="526" t="s">
        <v>553</v>
      </c>
      <c r="M631" s="409" t="s">
        <v>586</v>
      </c>
      <c r="N631" s="195">
        <v>1171.3669</v>
      </c>
    </row>
    <row r="632" spans="1:14" ht="15" x14ac:dyDescent="0.25">
      <c r="A632" s="410">
        <v>288822</v>
      </c>
      <c r="B632" t="str">
        <f t="shared" si="22"/>
        <v>SEVROLL tlumič dorazu Top SV60 - 2ks</v>
      </c>
      <c r="C632" s="198">
        <f t="shared" si="21"/>
        <v>50.599679999999999</v>
      </c>
      <c r="D632" s="526" t="s">
        <v>3300</v>
      </c>
      <c r="E632" s="526" t="s">
        <v>5043</v>
      </c>
      <c r="F632" s="526" t="s">
        <v>1119</v>
      </c>
      <c r="G632" s="526" t="s">
        <v>5044</v>
      </c>
      <c r="H632" s="412">
        <v>1486.73215</v>
      </c>
      <c r="I632" s="411">
        <v>50.599679999999999</v>
      </c>
      <c r="J632" s="411">
        <v>170.82550000000001</v>
      </c>
      <c r="K632" s="411">
        <v>19655.103080000001</v>
      </c>
      <c r="L632" s="526" t="s">
        <v>554</v>
      </c>
      <c r="M632" s="409" t="s">
        <v>589</v>
      </c>
      <c r="N632" s="195">
        <v>1201.4186999999999</v>
      </c>
    </row>
    <row r="633" spans="1:14" ht="15" x14ac:dyDescent="0.25">
      <c r="A633" s="410">
        <v>299760</v>
      </c>
      <c r="B633" t="str">
        <f t="shared" si="22"/>
        <v>SEVROLL Idea sada kovania pre dvoje dvere 50kg</v>
      </c>
      <c r="C633" s="198">
        <f t="shared" si="21"/>
        <v>49.957189999999997</v>
      </c>
      <c r="D633" s="526" t="s">
        <v>3309</v>
      </c>
      <c r="E633" s="526" t="s">
        <v>5045</v>
      </c>
      <c r="F633" s="526" t="s">
        <v>5046</v>
      </c>
      <c r="G633" s="526" t="s">
        <v>5047</v>
      </c>
      <c r="H633" s="412">
        <v>1383.2660100000001</v>
      </c>
      <c r="I633" s="411">
        <v>49.957189999999997</v>
      </c>
      <c r="J633" s="411">
        <v>175.74600000000001</v>
      </c>
      <c r="K633" s="411">
        <v>19017.41977</v>
      </c>
      <c r="L633" s="526" t="s">
        <v>554</v>
      </c>
      <c r="M633" s="409" t="s">
        <v>587</v>
      </c>
      <c r="N633" s="195">
        <v>1202.7253000000001</v>
      </c>
    </row>
    <row r="634" spans="1:14" ht="15" x14ac:dyDescent="0.25">
      <c r="A634" s="410">
        <v>238027</v>
      </c>
      <c r="B634" t="str">
        <f t="shared" si="22"/>
        <v>SEVROLL Maxim horné vedenie 4,3m oliva</v>
      </c>
      <c r="C634" s="198" t="e">
        <f t="shared" si="21"/>
        <v>#N/A</v>
      </c>
      <c r="D634" s="526" t="s">
        <v>3196</v>
      </c>
      <c r="E634" s="526" t="s">
        <v>5048</v>
      </c>
      <c r="F634" s="526" t="s">
        <v>1156</v>
      </c>
      <c r="G634" s="526" t="s">
        <v>5049</v>
      </c>
      <c r="H634" s="412" t="e">
        <v>#N/A</v>
      </c>
      <c r="I634" s="411" t="e">
        <v>#N/A</v>
      </c>
      <c r="J634" s="411" t="e">
        <v>#N/A</v>
      </c>
      <c r="K634" s="411" t="e">
        <v>#N/A</v>
      </c>
      <c r="L634" s="526" t="e">
        <v>#N/A</v>
      </c>
      <c r="M634" s="409" t="s">
        <v>586</v>
      </c>
      <c r="N634" s="195">
        <v>1204.6851999999999</v>
      </c>
    </row>
    <row r="635" spans="1:14" ht="15" x14ac:dyDescent="0.25">
      <c r="A635" s="415">
        <v>213363</v>
      </c>
      <c r="B635" t="str">
        <f t="shared" si="22"/>
        <v>SEVROLL Herkules tlmič 40-80kg</v>
      </c>
      <c r="C635" s="198">
        <f t="shared" ref="C635:C698" si="23">IF($A$2=1,H635,IF($A$2=2,I635,IF($A$2=3,J635,IF($A$2=4,K635,"zadat jazyk"))))</f>
        <v>66.971950000000007</v>
      </c>
      <c r="D635" s="526" t="s">
        <v>3024</v>
      </c>
      <c r="E635" s="526" t="s">
        <v>5050</v>
      </c>
      <c r="F635" s="526" t="s">
        <v>1171</v>
      </c>
      <c r="G635" s="526" t="s">
        <v>5051</v>
      </c>
      <c r="H635" s="412">
        <v>1789.7994000000001</v>
      </c>
      <c r="I635" s="411">
        <v>66.971950000000007</v>
      </c>
      <c r="J635" s="411">
        <v>233.31861000000001</v>
      </c>
      <c r="K635" s="411">
        <v>24971.05384</v>
      </c>
      <c r="L635" s="526" t="s">
        <v>555</v>
      </c>
      <c r="M635" s="416" t="s">
        <v>586</v>
      </c>
      <c r="N635" s="195">
        <v>1218.5768599999999</v>
      </c>
    </row>
    <row r="636" spans="1:14" ht="15" x14ac:dyDescent="0.25">
      <c r="A636" s="410">
        <v>306089</v>
      </c>
      <c r="B636" t="str">
        <f t="shared" si="22"/>
        <v>SEVROLL tlmič dorazu Top SV80 - 2ks</v>
      </c>
      <c r="C636" s="198">
        <f t="shared" si="23"/>
        <v>54.108890000000002</v>
      </c>
      <c r="D636" s="526" t="s">
        <v>3317</v>
      </c>
      <c r="E636" s="526" t="s">
        <v>5052</v>
      </c>
      <c r="F636" s="526" t="s">
        <v>1118</v>
      </c>
      <c r="G636" s="526" t="s">
        <v>5053</v>
      </c>
      <c r="H636" s="412">
        <v>1589.8405499999999</v>
      </c>
      <c r="I636" s="411">
        <v>54.108890000000002</v>
      </c>
      <c r="J636" s="411">
        <v>182.6087</v>
      </c>
      <c r="K636" s="411">
        <v>21018.23115</v>
      </c>
      <c r="L636" s="526" t="s">
        <v>554</v>
      </c>
      <c r="M636" s="409" t="s">
        <v>589</v>
      </c>
      <c r="N636" s="195">
        <v>1223.6309000000001</v>
      </c>
    </row>
    <row r="637" spans="1:14" ht="15" x14ac:dyDescent="0.25">
      <c r="A637" s="413">
        <v>195462</v>
      </c>
      <c r="B637" t="e">
        <f t="shared" si="22"/>
        <v>#N/A</v>
      </c>
      <c r="C637" s="198" t="e">
        <f t="shared" si="23"/>
        <v>#N/A</v>
      </c>
      <c r="D637" s="526" t="e">
        <v>#N/A</v>
      </c>
      <c r="E637" s="526" t="e">
        <v>#N/A</v>
      </c>
      <c r="F637" s="526" t="e">
        <v>#N/A</v>
      </c>
      <c r="G637" s="526" t="e">
        <v>#N/A</v>
      </c>
      <c r="H637" s="412" t="e">
        <v>#N/A</v>
      </c>
      <c r="I637" s="411" t="e">
        <v>#N/A</v>
      </c>
      <c r="J637" s="411" t="e">
        <v>#N/A</v>
      </c>
      <c r="K637" s="411" t="e">
        <v>#N/A</v>
      </c>
      <c r="L637" s="526" t="e">
        <v>#N/A</v>
      </c>
      <c r="M637" s="414" t="s">
        <v>586</v>
      </c>
      <c r="N637" s="195">
        <v>1252.5845999999999</v>
      </c>
    </row>
    <row r="638" spans="1:14" ht="15" x14ac:dyDescent="0.25">
      <c r="A638" s="413">
        <v>340591</v>
      </c>
      <c r="B638" t="e">
        <f t="shared" si="22"/>
        <v>#N/A</v>
      </c>
      <c r="C638" s="198" t="e">
        <f t="shared" si="23"/>
        <v>#N/A</v>
      </c>
      <c r="D638" s="526" t="e">
        <v>#N/A</v>
      </c>
      <c r="E638" s="526" t="e">
        <v>#N/A</v>
      </c>
      <c r="F638" s="526" t="e">
        <v>#N/A</v>
      </c>
      <c r="G638" s="526" t="e">
        <v>#N/A</v>
      </c>
      <c r="H638" s="412" t="e">
        <v>#N/A</v>
      </c>
      <c r="I638" s="411" t="e">
        <v>#N/A</v>
      </c>
      <c r="J638" s="411" t="e">
        <v>#N/A</v>
      </c>
      <c r="K638" s="411" t="e">
        <v>#N/A</v>
      </c>
      <c r="L638" s="526" t="e">
        <v>#N/A</v>
      </c>
      <c r="M638" s="414" t="s">
        <v>586</v>
      </c>
      <c r="N638" s="195">
        <v>1253.2239999999999</v>
      </c>
    </row>
    <row r="639" spans="1:14" ht="15" x14ac:dyDescent="0.25">
      <c r="A639" s="413">
        <v>195449</v>
      </c>
      <c r="B639" t="e">
        <f t="shared" si="22"/>
        <v>#N/A</v>
      </c>
      <c r="C639" s="198" t="e">
        <f t="shared" si="23"/>
        <v>#N/A</v>
      </c>
      <c r="D639" s="526" t="e">
        <v>#N/A</v>
      </c>
      <c r="E639" s="526" t="e">
        <v>#N/A</v>
      </c>
      <c r="F639" s="526" t="e">
        <v>#N/A</v>
      </c>
      <c r="G639" s="526" t="e">
        <v>#N/A</v>
      </c>
      <c r="H639" s="412" t="e">
        <v>#N/A</v>
      </c>
      <c r="I639" s="411" t="e">
        <v>#N/A</v>
      </c>
      <c r="J639" s="411" t="e">
        <v>#N/A</v>
      </c>
      <c r="K639" s="411" t="e">
        <v>#N/A</v>
      </c>
      <c r="L639" s="526" t="e">
        <v>#N/A</v>
      </c>
      <c r="M639" s="414" t="s">
        <v>586</v>
      </c>
      <c r="N639" s="195">
        <v>1265.0528999999999</v>
      </c>
    </row>
    <row r="640" spans="1:14" ht="15" x14ac:dyDescent="0.25">
      <c r="A640" s="410">
        <v>238032</v>
      </c>
      <c r="B640" t="str">
        <f t="shared" si="22"/>
        <v>SEVROLL Maxim spodná krycia lišta 4,3m 18mm oliva</v>
      </c>
      <c r="C640" s="198" t="e">
        <f t="shared" si="23"/>
        <v>#N/A</v>
      </c>
      <c r="D640" s="526" t="s">
        <v>3201</v>
      </c>
      <c r="E640" s="526" t="s">
        <v>5054</v>
      </c>
      <c r="F640" s="526" t="s">
        <v>5055</v>
      </c>
      <c r="G640" s="526" t="s">
        <v>5056</v>
      </c>
      <c r="H640" s="412" t="e">
        <v>#N/A</v>
      </c>
      <c r="I640" s="411" t="e">
        <v>#N/A</v>
      </c>
      <c r="J640" s="411" t="e">
        <v>#N/A</v>
      </c>
      <c r="K640" s="411" t="e">
        <v>#N/A</v>
      </c>
      <c r="L640" s="526" t="e">
        <v>#N/A</v>
      </c>
      <c r="M640" s="409" t="s">
        <v>586</v>
      </c>
      <c r="N640" s="195">
        <v>1276.5482</v>
      </c>
    </row>
    <row r="641" spans="1:14" ht="15" x14ac:dyDescent="0.25">
      <c r="A641" s="413">
        <v>340597</v>
      </c>
      <c r="B641" t="e">
        <f t="shared" si="22"/>
        <v>#N/A</v>
      </c>
      <c r="C641" s="198" t="e">
        <f t="shared" si="23"/>
        <v>#N/A</v>
      </c>
      <c r="D641" s="526" t="e">
        <v>#N/A</v>
      </c>
      <c r="E641" s="526" t="e">
        <v>#N/A</v>
      </c>
      <c r="F641" s="526" t="e">
        <v>#N/A</v>
      </c>
      <c r="G641" s="526" t="e">
        <v>#N/A</v>
      </c>
      <c r="H641" s="412" t="e">
        <v>#N/A</v>
      </c>
      <c r="I641" s="411" t="e">
        <v>#N/A</v>
      </c>
      <c r="J641" s="411" t="e">
        <v>#N/A</v>
      </c>
      <c r="K641" s="411" t="e">
        <v>#N/A</v>
      </c>
      <c r="L641" s="526" t="e">
        <v>#N/A</v>
      </c>
      <c r="M641" s="414" t="s">
        <v>586</v>
      </c>
      <c r="N641" s="195">
        <v>1277.5211999999999</v>
      </c>
    </row>
    <row r="642" spans="1:14" ht="15" x14ac:dyDescent="0.25">
      <c r="A642" s="415">
        <v>223518</v>
      </c>
      <c r="B642" t="str">
        <f t="shared" si="22"/>
        <v>SEVROLL Herkules sada kovania60kg, 1,8m</v>
      </c>
      <c r="C642" s="198" t="e">
        <f t="shared" si="23"/>
        <v>#N/A</v>
      </c>
      <c r="D642" s="526" t="s">
        <v>3084</v>
      </c>
      <c r="E642" s="526" t="s">
        <v>5057</v>
      </c>
      <c r="F642" s="526" t="s">
        <v>1175</v>
      </c>
      <c r="G642" s="526" t="s">
        <v>5058</v>
      </c>
      <c r="H642" s="412" t="e">
        <v>#N/A</v>
      </c>
      <c r="I642" s="411" t="e">
        <v>#N/A</v>
      </c>
      <c r="J642" s="411" t="e">
        <v>#N/A</v>
      </c>
      <c r="K642" s="411" t="e">
        <v>#N/A</v>
      </c>
      <c r="L642" s="526" t="e">
        <v>#N/A</v>
      </c>
      <c r="M642" s="416" t="s">
        <v>587</v>
      </c>
      <c r="N642" s="195">
        <v>1299.9836</v>
      </c>
    </row>
    <row r="643" spans="1:14" ht="15" x14ac:dyDescent="0.25">
      <c r="A643" s="415">
        <v>223520</v>
      </c>
      <c r="B643" t="str">
        <f t="shared" si="22"/>
        <v>SEVROLL Herkules sada kovania60kg, 2m</v>
      </c>
      <c r="C643" s="198" t="e">
        <f t="shared" si="23"/>
        <v>#N/A</v>
      </c>
      <c r="D643" s="526" t="s">
        <v>3086</v>
      </c>
      <c r="E643" s="526" t="s">
        <v>5059</v>
      </c>
      <c r="F643" s="526" t="s">
        <v>1173</v>
      </c>
      <c r="G643" s="526" t="s">
        <v>5060</v>
      </c>
      <c r="H643" s="412" t="e">
        <v>#N/A</v>
      </c>
      <c r="I643" s="411" t="e">
        <v>#N/A</v>
      </c>
      <c r="J643" s="411" t="e">
        <v>#N/A</v>
      </c>
      <c r="K643" s="411" t="e">
        <v>#N/A</v>
      </c>
      <c r="L643" s="526" t="e">
        <v>#N/A</v>
      </c>
      <c r="M643" s="416" t="s">
        <v>587</v>
      </c>
      <c r="N643" s="195">
        <v>1303.1388999999999</v>
      </c>
    </row>
    <row r="644" spans="1:14" ht="15" x14ac:dyDescent="0.25">
      <c r="A644" s="415">
        <v>223517</v>
      </c>
      <c r="B644" t="str">
        <f t="shared" si="22"/>
        <v>SEVROLL Herkules sada kovania120kg, 1,5m</v>
      </c>
      <c r="C644" s="198" t="e">
        <f t="shared" si="23"/>
        <v>#N/A</v>
      </c>
      <c r="D644" s="526" t="s">
        <v>3083</v>
      </c>
      <c r="E644" s="526" t="s">
        <v>5061</v>
      </c>
      <c r="F644" s="526" t="s">
        <v>1183</v>
      </c>
      <c r="G644" s="526" t="s">
        <v>5062</v>
      </c>
      <c r="H644" s="412" t="e">
        <v>#N/A</v>
      </c>
      <c r="I644" s="411" t="e">
        <v>#N/A</v>
      </c>
      <c r="J644" s="411" t="e">
        <v>#N/A</v>
      </c>
      <c r="K644" s="411" t="e">
        <v>#N/A</v>
      </c>
      <c r="L644" s="526" t="e">
        <v>#N/A</v>
      </c>
      <c r="M644" s="416" t="s">
        <v>587</v>
      </c>
      <c r="N644" s="195">
        <v>1303.1388999999999</v>
      </c>
    </row>
    <row r="645" spans="1:14" ht="15" x14ac:dyDescent="0.25">
      <c r="A645" s="410">
        <v>181590</v>
      </c>
      <c r="B645" t="str">
        <f t="shared" si="22"/>
        <v>SEVROLL 10229-SV Everest sada pre úchytovú lištu Fox II</v>
      </c>
      <c r="C645" s="198">
        <f t="shared" si="23"/>
        <v>52.702629999999999</v>
      </c>
      <c r="D645" s="526" t="s">
        <v>2947</v>
      </c>
      <c r="E645" s="526" t="s">
        <v>5063</v>
      </c>
      <c r="F645" s="526" t="s">
        <v>5064</v>
      </c>
      <c r="G645" s="526" t="s">
        <v>5065</v>
      </c>
      <c r="H645" s="412">
        <v>1459.6417799999999</v>
      </c>
      <c r="I645" s="411">
        <v>52.702629999999999</v>
      </c>
      <c r="J645" s="411">
        <v>185.4768</v>
      </c>
      <c r="K645" s="411">
        <v>20062.53815</v>
      </c>
      <c r="L645" s="526" t="s">
        <v>553</v>
      </c>
      <c r="M645" s="409" t="s">
        <v>587</v>
      </c>
      <c r="N645" s="195">
        <v>1317.0527999999999</v>
      </c>
    </row>
    <row r="646" spans="1:14" ht="15" x14ac:dyDescent="0.25">
      <c r="A646" s="415">
        <v>223519</v>
      </c>
      <c r="B646" t="str">
        <f t="shared" si="22"/>
        <v>SEVROLL Herkules sada kovania120kg, 1,8m</v>
      </c>
      <c r="C646" s="198" t="e">
        <f t="shared" si="23"/>
        <v>#N/A</v>
      </c>
      <c r="D646" s="526" t="s">
        <v>3085</v>
      </c>
      <c r="E646" s="526" t="s">
        <v>5066</v>
      </c>
      <c r="F646" s="526" t="s">
        <v>1182</v>
      </c>
      <c r="G646" s="526" t="s">
        <v>5067</v>
      </c>
      <c r="H646" s="412" t="e">
        <v>#N/A</v>
      </c>
      <c r="I646" s="411" t="e">
        <v>#N/A</v>
      </c>
      <c r="J646" s="411" t="e">
        <v>#N/A</v>
      </c>
      <c r="K646" s="411" t="e">
        <v>#N/A</v>
      </c>
      <c r="L646" s="526" t="e">
        <v>#N/A</v>
      </c>
      <c r="M646" s="416" t="s">
        <v>587</v>
      </c>
      <c r="N646" s="195">
        <v>1407.2637999999999</v>
      </c>
    </row>
    <row r="647" spans="1:14" ht="15" x14ac:dyDescent="0.25">
      <c r="A647" s="410">
        <v>98079</v>
      </c>
      <c r="B647" t="str">
        <f t="shared" si="22"/>
        <v>SEVROLL -COMFORT HORNÉ VEDENI 4,05M STR</v>
      </c>
      <c r="C647" s="198">
        <f t="shared" si="23"/>
        <v>71.009860000000003</v>
      </c>
      <c r="D647" s="526" t="s">
        <v>2811</v>
      </c>
      <c r="E647" s="526" t="s">
        <v>5068</v>
      </c>
      <c r="F647" s="526" t="s">
        <v>1211</v>
      </c>
      <c r="G647" s="526" t="s">
        <v>5069</v>
      </c>
      <c r="H647" s="412">
        <v>1966.1939199999999</v>
      </c>
      <c r="I647" s="411">
        <v>71.009860000000003</v>
      </c>
      <c r="J647" s="411">
        <v>257.95800000000003</v>
      </c>
      <c r="K647" s="411">
        <v>27031.630229999999</v>
      </c>
      <c r="L647" s="526" t="s">
        <v>553</v>
      </c>
      <c r="M647" s="409" t="s">
        <v>586</v>
      </c>
      <c r="N647" s="195">
        <v>1416.3543999999999</v>
      </c>
    </row>
    <row r="648" spans="1:14" ht="15" x14ac:dyDescent="0.25">
      <c r="A648" s="415">
        <v>223522</v>
      </c>
      <c r="B648" t="str">
        <f t="shared" si="22"/>
        <v>SEVROLL Herkules sada kovania60kg, 2,4m</v>
      </c>
      <c r="C648" s="198" t="e">
        <f t="shared" si="23"/>
        <v>#N/A</v>
      </c>
      <c r="D648" s="526" t="s">
        <v>3088</v>
      </c>
      <c r="E648" s="526" t="s">
        <v>5070</v>
      </c>
      <c r="F648" s="526" t="s">
        <v>1174</v>
      </c>
      <c r="G648" s="526" t="s">
        <v>5071</v>
      </c>
      <c r="H648" s="412" t="e">
        <v>#N/A</v>
      </c>
      <c r="I648" s="411" t="e">
        <v>#N/A</v>
      </c>
      <c r="J648" s="411" t="e">
        <v>#N/A</v>
      </c>
      <c r="K648" s="411" t="e">
        <v>#N/A</v>
      </c>
      <c r="L648" s="526" t="e">
        <v>#N/A</v>
      </c>
      <c r="M648" s="416" t="s">
        <v>587</v>
      </c>
      <c r="N648" s="195">
        <v>1420.5160599999999</v>
      </c>
    </row>
    <row r="649" spans="1:14" ht="15" x14ac:dyDescent="0.25">
      <c r="A649" s="413">
        <v>261946</v>
      </c>
      <c r="B649" t="e">
        <f t="shared" si="22"/>
        <v>#N/A</v>
      </c>
      <c r="C649" s="198" t="e">
        <f t="shared" si="23"/>
        <v>#N/A</v>
      </c>
      <c r="D649" s="526" t="e">
        <v>#N/A</v>
      </c>
      <c r="E649" s="526" t="e">
        <v>#N/A</v>
      </c>
      <c r="F649" s="526" t="e">
        <v>#N/A</v>
      </c>
      <c r="G649" s="526" t="e">
        <v>#N/A</v>
      </c>
      <c r="H649" s="412" t="e">
        <v>#N/A</v>
      </c>
      <c r="I649" s="411" t="e">
        <v>#N/A</v>
      </c>
      <c r="J649" s="411" t="e">
        <v>#N/A</v>
      </c>
      <c r="K649" s="411" t="e">
        <v>#N/A</v>
      </c>
      <c r="L649" s="526" t="e">
        <v>#N/A</v>
      </c>
      <c r="M649" s="414" t="s">
        <v>586</v>
      </c>
      <c r="N649" s="195">
        <v>1438.65</v>
      </c>
    </row>
    <row r="650" spans="1:14" ht="15" x14ac:dyDescent="0.25">
      <c r="A650" s="410">
        <v>191641</v>
      </c>
      <c r="B650" t="str">
        <f t="shared" si="22"/>
        <v>SEVROLL 03075 Top horné vedenie jednoduché 6m strieborná</v>
      </c>
      <c r="C650" s="198">
        <f t="shared" si="23"/>
        <v>66.15889</v>
      </c>
      <c r="D650" s="526" t="s">
        <v>2959</v>
      </c>
      <c r="E650" s="526" t="s">
        <v>5072</v>
      </c>
      <c r="F650" s="526" t="s">
        <v>5073</v>
      </c>
      <c r="G650" s="526" t="s">
        <v>5074</v>
      </c>
      <c r="H650" s="412">
        <v>1831.87544</v>
      </c>
      <c r="I650" s="411">
        <v>66.15889</v>
      </c>
      <c r="J650" s="411">
        <v>232.83539999999999</v>
      </c>
      <c r="K650" s="411">
        <v>25184.992490000001</v>
      </c>
      <c r="L650" s="526" t="s">
        <v>554</v>
      </c>
      <c r="M650" s="409" t="s">
        <v>586</v>
      </c>
      <c r="N650" s="195">
        <v>1458.1656</v>
      </c>
    </row>
    <row r="651" spans="1:14" ht="15" x14ac:dyDescent="0.25">
      <c r="A651" s="410">
        <v>197377</v>
      </c>
      <c r="B651" t="str">
        <f t="shared" si="22"/>
        <v>SEVROLL 02892 Maxim horné vedenie 6m strieborná</v>
      </c>
      <c r="C651" s="198" t="e">
        <f t="shared" si="23"/>
        <v>#N/A</v>
      </c>
      <c r="D651" s="526" t="s">
        <v>2969</v>
      </c>
      <c r="E651" s="526" t="s">
        <v>5075</v>
      </c>
      <c r="F651" s="526" t="s">
        <v>5076</v>
      </c>
      <c r="G651" s="526" t="s">
        <v>5077</v>
      </c>
      <c r="H651" s="412" t="e">
        <v>#N/A</v>
      </c>
      <c r="I651" s="411" t="e">
        <v>#N/A</v>
      </c>
      <c r="J651" s="411" t="e">
        <v>#N/A</v>
      </c>
      <c r="K651" s="411" t="e">
        <v>#N/A</v>
      </c>
      <c r="L651" s="526" t="e">
        <v>#N/A</v>
      </c>
      <c r="M651" s="409" t="s">
        <v>586</v>
      </c>
      <c r="N651" s="195">
        <v>1460.1255000000001</v>
      </c>
    </row>
    <row r="652" spans="1:14" ht="15" x14ac:dyDescent="0.25">
      <c r="A652" s="415">
        <v>223521</v>
      </c>
      <c r="B652" t="str">
        <f t="shared" si="22"/>
        <v>SEVROLL Herkules sada kovania120kg, 2m</v>
      </c>
      <c r="C652" s="198" t="e">
        <f t="shared" si="23"/>
        <v>#N/A</v>
      </c>
      <c r="D652" s="526" t="s">
        <v>3087</v>
      </c>
      <c r="E652" s="526" t="s">
        <v>5078</v>
      </c>
      <c r="F652" s="526" t="s">
        <v>1180</v>
      </c>
      <c r="G652" s="526" t="s">
        <v>5079</v>
      </c>
      <c r="H652" s="412" t="e">
        <v>#N/A</v>
      </c>
      <c r="I652" s="411" t="e">
        <v>#N/A</v>
      </c>
      <c r="J652" s="411" t="e">
        <v>#N/A</v>
      </c>
      <c r="K652" s="411" t="e">
        <v>#N/A</v>
      </c>
      <c r="L652" s="526" t="e">
        <v>#N/A</v>
      </c>
      <c r="M652" s="416" t="s">
        <v>587</v>
      </c>
      <c r="N652" s="195">
        <v>1472.8940399999999</v>
      </c>
    </row>
    <row r="653" spans="1:14" ht="15" x14ac:dyDescent="0.25">
      <c r="A653" s="413">
        <v>157362</v>
      </c>
      <c r="B653" t="str">
        <f t="shared" si="22"/>
        <v>ASTIN horné vedenie 3,6m kartáč.ČIERNA</v>
      </c>
      <c r="C653" s="198">
        <f t="shared" si="23"/>
        <v>0</v>
      </c>
      <c r="D653" s="526" t="s">
        <v>1091</v>
      </c>
      <c r="E653" s="526" t="s">
        <v>5080</v>
      </c>
      <c r="F653" s="526" t="s">
        <v>1092</v>
      </c>
      <c r="G653" s="526" t="s">
        <v>5081</v>
      </c>
      <c r="H653" s="412" t="e">
        <v>#N/A</v>
      </c>
      <c r="I653" s="411">
        <v>0</v>
      </c>
      <c r="J653" s="411">
        <v>240.54835</v>
      </c>
      <c r="K653" s="411">
        <v>0</v>
      </c>
      <c r="L653" s="526" t="e">
        <v>#N/A</v>
      </c>
      <c r="M653" s="414" t="s">
        <v>586</v>
      </c>
      <c r="N653" s="195">
        <v>1498.7536</v>
      </c>
    </row>
    <row r="654" spans="1:14" ht="15" x14ac:dyDescent="0.25">
      <c r="A654" s="410">
        <v>180420</v>
      </c>
      <c r="B654" t="str">
        <f t="shared" si="22"/>
        <v>SEVROLL 02889  Maxim spodná krycia lišta 6m 10mm strieborná</v>
      </c>
      <c r="C654" s="198" t="e">
        <f t="shared" si="23"/>
        <v>#N/A</v>
      </c>
      <c r="D654" s="526" t="s">
        <v>2946</v>
      </c>
      <c r="E654" s="526" t="s">
        <v>5082</v>
      </c>
      <c r="F654" s="526" t="s">
        <v>5083</v>
      </c>
      <c r="G654" s="526" t="s">
        <v>5084</v>
      </c>
      <c r="H654" s="412" t="e">
        <v>#N/A</v>
      </c>
      <c r="I654" s="411" t="e">
        <v>#N/A</v>
      </c>
      <c r="J654" s="411" t="e">
        <v>#N/A</v>
      </c>
      <c r="K654" s="411" t="e">
        <v>#N/A</v>
      </c>
      <c r="L654" s="526" t="e">
        <v>#N/A</v>
      </c>
      <c r="M654" s="409" t="s">
        <v>586</v>
      </c>
      <c r="N654" s="195">
        <v>1548.9743000000001</v>
      </c>
    </row>
    <row r="655" spans="1:14" ht="15" x14ac:dyDescent="0.25">
      <c r="A655" s="410">
        <v>98117</v>
      </c>
      <c r="B655" t="str">
        <f t="shared" si="22"/>
        <v>SEVROLL HOR.VEDENIE COMFORT 4,05 M OLIVA</v>
      </c>
      <c r="C655" s="198">
        <f t="shared" si="23"/>
        <v>88.722319999999996</v>
      </c>
      <c r="D655" s="526" t="s">
        <v>2818</v>
      </c>
      <c r="E655" s="526" t="s">
        <v>5085</v>
      </c>
      <c r="F655" s="526" t="s">
        <v>5086</v>
      </c>
      <c r="G655" s="526" t="s">
        <v>5087</v>
      </c>
      <c r="H655" s="412">
        <v>2456.3134799999998</v>
      </c>
      <c r="I655" s="411">
        <v>88.722319999999996</v>
      </c>
      <c r="J655" s="411">
        <v>300.4452</v>
      </c>
      <c r="K655" s="411">
        <v>33774.31293</v>
      </c>
      <c r="L655" s="526" t="s">
        <v>554</v>
      </c>
      <c r="M655" s="409" t="s">
        <v>586</v>
      </c>
      <c r="N655" s="195">
        <v>1557.4672</v>
      </c>
    </row>
    <row r="656" spans="1:14" ht="15" x14ac:dyDescent="0.25">
      <c r="A656" s="410">
        <v>212761</v>
      </c>
      <c r="B656" t="str">
        <f t="shared" si="22"/>
        <v>SEVROLL Line horné vedenie 2m alu surová</v>
      </c>
      <c r="C656" s="198">
        <f t="shared" si="23"/>
        <v>69.719710000000006</v>
      </c>
      <c r="D656" s="526" t="s">
        <v>3018</v>
      </c>
      <c r="E656" s="526" t="s">
        <v>5088</v>
      </c>
      <c r="F656" s="526" t="s">
        <v>1166</v>
      </c>
      <c r="G656" s="526" t="s">
        <v>5089</v>
      </c>
      <c r="H656" s="412">
        <v>1930.47092</v>
      </c>
      <c r="I656" s="411">
        <v>69.719710000000006</v>
      </c>
      <c r="J656" s="411">
        <v>246.024</v>
      </c>
      <c r="K656" s="411">
        <v>26540.503229999998</v>
      </c>
      <c r="L656" s="526" t="s">
        <v>554</v>
      </c>
      <c r="M656" s="409" t="s">
        <v>586</v>
      </c>
      <c r="N656" s="195">
        <v>1564.0001999999999</v>
      </c>
    </row>
    <row r="657" spans="1:14" ht="15" x14ac:dyDescent="0.25">
      <c r="A657" s="415">
        <v>223512</v>
      </c>
      <c r="B657" t="str">
        <f t="shared" si="22"/>
        <v>SEVROLL Herkules 2 horné vedenie 6m alu</v>
      </c>
      <c r="C657" s="198" t="e">
        <f t="shared" si="23"/>
        <v>#N/A</v>
      </c>
      <c r="D657" s="526" t="s">
        <v>3079</v>
      </c>
      <c r="E657" s="526" t="s">
        <v>5090</v>
      </c>
      <c r="F657" s="526" t="s">
        <v>5091</v>
      </c>
      <c r="G657" s="526" t="s">
        <v>5092</v>
      </c>
      <c r="H657" s="412" t="e">
        <v>#N/A</v>
      </c>
      <c r="I657" s="411" t="e">
        <v>#N/A</v>
      </c>
      <c r="J657" s="411" t="e">
        <v>#N/A</v>
      </c>
      <c r="K657" s="411" t="e">
        <v>#N/A</v>
      </c>
      <c r="L657" s="526" t="e">
        <v>#N/A</v>
      </c>
      <c r="M657" s="416" t="s">
        <v>586</v>
      </c>
      <c r="N657" s="195">
        <v>1588.3780200000001</v>
      </c>
    </row>
    <row r="658" spans="1:14" ht="15" x14ac:dyDescent="0.25">
      <c r="A658" s="410">
        <v>191642</v>
      </c>
      <c r="B658" t="str">
        <f t="shared" si="22"/>
        <v>SEVROLL 03073 Top horné vedenie jednoduché 6m oliva</v>
      </c>
      <c r="C658" s="198">
        <f t="shared" si="23"/>
        <v>80.505359999999996</v>
      </c>
      <c r="D658" s="526" t="s">
        <v>2960</v>
      </c>
      <c r="E658" s="526" t="s">
        <v>5093</v>
      </c>
      <c r="F658" s="526" t="s">
        <v>5094</v>
      </c>
      <c r="G658" s="526" t="s">
        <v>5095</v>
      </c>
      <c r="H658" s="412">
        <v>2229.1152000000002</v>
      </c>
      <c r="I658" s="411">
        <v>80.505359999999996</v>
      </c>
      <c r="J658" s="411">
        <v>273.53550000000001</v>
      </c>
      <c r="K658" s="411">
        <v>30646.324799999999</v>
      </c>
      <c r="L658" s="526" t="s">
        <v>554</v>
      </c>
      <c r="M658" s="409" t="s">
        <v>586</v>
      </c>
      <c r="N658" s="195">
        <v>1602.5449000000001</v>
      </c>
    </row>
    <row r="659" spans="1:14" ht="15" x14ac:dyDescent="0.25">
      <c r="A659" s="410">
        <v>262430</v>
      </c>
      <c r="B659" t="str">
        <f t="shared" si="22"/>
        <v>SEVROLL Optima horné vedenie 6m strieb</v>
      </c>
      <c r="C659" s="198">
        <f t="shared" si="23"/>
        <v>80.995620000000002</v>
      </c>
      <c r="D659" s="526" t="s">
        <v>3226</v>
      </c>
      <c r="E659" s="526" t="s">
        <v>5096</v>
      </c>
      <c r="F659" s="526" t="s">
        <v>1145</v>
      </c>
      <c r="G659" s="526" t="s">
        <v>5097</v>
      </c>
      <c r="H659" s="412">
        <v>2242.6899400000002</v>
      </c>
      <c r="I659" s="411">
        <v>80.995620000000002</v>
      </c>
      <c r="J659" s="411">
        <v>304.86430000000001</v>
      </c>
      <c r="K659" s="411">
        <v>30832.952990000002</v>
      </c>
      <c r="L659" s="526" t="s">
        <v>554</v>
      </c>
      <c r="M659" s="409" t="s">
        <v>586</v>
      </c>
      <c r="N659" s="195">
        <v>1611.0378000000001</v>
      </c>
    </row>
    <row r="660" spans="1:14" ht="15" x14ac:dyDescent="0.25">
      <c r="A660" s="415">
        <v>223523</v>
      </c>
      <c r="B660" t="str">
        <f t="shared" si="22"/>
        <v>SEVROLL Herkules sada kovania120kg, 2,4m</v>
      </c>
      <c r="C660" s="198" t="e">
        <f t="shared" si="23"/>
        <v>#N/A</v>
      </c>
      <c r="D660" s="526" t="s">
        <v>3089</v>
      </c>
      <c r="E660" s="526" t="s">
        <v>5098</v>
      </c>
      <c r="F660" s="526" t="s">
        <v>1181</v>
      </c>
      <c r="G660" s="526" t="s">
        <v>5099</v>
      </c>
      <c r="H660" s="412" t="e">
        <v>#N/A</v>
      </c>
      <c r="I660" s="411" t="e">
        <v>#N/A</v>
      </c>
      <c r="J660" s="411" t="e">
        <v>#N/A</v>
      </c>
      <c r="K660" s="411" t="e">
        <v>#N/A</v>
      </c>
      <c r="L660" s="526" t="e">
        <v>#N/A</v>
      </c>
      <c r="M660" s="416" t="s">
        <v>587</v>
      </c>
      <c r="N660" s="195">
        <v>1616.1446599999999</v>
      </c>
    </row>
    <row r="661" spans="1:14" ht="15" x14ac:dyDescent="0.25">
      <c r="A661" s="415">
        <v>223524</v>
      </c>
      <c r="B661" t="str">
        <f t="shared" si="22"/>
        <v>SEVROLL Herkules sada kovania60kg, 3m</v>
      </c>
      <c r="C661" s="198" t="e">
        <f t="shared" si="23"/>
        <v>#N/A</v>
      </c>
      <c r="D661" s="526" t="s">
        <v>3090</v>
      </c>
      <c r="E661" s="526" t="s">
        <v>5100</v>
      </c>
      <c r="F661" s="526" t="s">
        <v>1172</v>
      </c>
      <c r="G661" s="526" t="s">
        <v>5101</v>
      </c>
      <c r="H661" s="412" t="e">
        <v>#N/A</v>
      </c>
      <c r="I661" s="411" t="e">
        <v>#N/A</v>
      </c>
      <c r="J661" s="411" t="e">
        <v>#N/A</v>
      </c>
      <c r="K661" s="411" t="e">
        <v>#N/A</v>
      </c>
      <c r="L661" s="526" t="e">
        <v>#N/A</v>
      </c>
      <c r="M661" s="416" t="s">
        <v>587</v>
      </c>
      <c r="N661" s="195">
        <v>1629.3969199999999</v>
      </c>
    </row>
    <row r="662" spans="1:14" ht="15" x14ac:dyDescent="0.25">
      <c r="A662" s="410">
        <v>304010</v>
      </c>
      <c r="B662" t="str">
        <f t="shared" si="22"/>
        <v>SEVROLL bezpečnostná fólia 500mm/50m transparentná</v>
      </c>
      <c r="C662" s="198">
        <f t="shared" si="23"/>
        <v>70.700220000000002</v>
      </c>
      <c r="D662" s="526" t="s">
        <v>3314</v>
      </c>
      <c r="E662" s="526" t="s">
        <v>5102</v>
      </c>
      <c r="F662" s="526" t="s">
        <v>5103</v>
      </c>
      <c r="G662" s="526" t="s">
        <v>5104</v>
      </c>
      <c r="H662" s="412">
        <v>2077.3310000000001</v>
      </c>
      <c r="I662" s="411">
        <v>70.700220000000002</v>
      </c>
      <c r="J662" s="411">
        <v>238.62010000000001</v>
      </c>
      <c r="K662" s="411">
        <v>27463.02</v>
      </c>
      <c r="L662" s="526" t="s">
        <v>554</v>
      </c>
      <c r="M662" s="409" t="s">
        <v>586</v>
      </c>
      <c r="N662" s="195">
        <v>1631.2900999999999</v>
      </c>
    </row>
    <row r="663" spans="1:14" ht="15" x14ac:dyDescent="0.25">
      <c r="A663" s="413">
        <v>248420</v>
      </c>
      <c r="B663" t="e">
        <f t="shared" si="22"/>
        <v>#N/A</v>
      </c>
      <c r="C663" s="198" t="e">
        <f t="shared" si="23"/>
        <v>#N/A</v>
      </c>
      <c r="D663" s="526" t="e">
        <v>#N/A</v>
      </c>
      <c r="E663" s="526" t="e">
        <v>#N/A</v>
      </c>
      <c r="F663" s="526" t="e">
        <v>#N/A</v>
      </c>
      <c r="G663" s="526" t="e">
        <v>#N/A</v>
      </c>
      <c r="H663" s="412" t="e">
        <v>#N/A</v>
      </c>
      <c r="I663" s="411" t="e">
        <v>#N/A</v>
      </c>
      <c r="J663" s="411" t="e">
        <v>#N/A</v>
      </c>
      <c r="K663" s="411" t="e">
        <v>#N/A</v>
      </c>
      <c r="L663" s="526" t="e">
        <v>#N/A</v>
      </c>
      <c r="M663" s="414" t="s">
        <v>586</v>
      </c>
      <c r="N663" s="195">
        <v>1679.0644</v>
      </c>
    </row>
    <row r="664" spans="1:14" ht="15" x14ac:dyDescent="0.25">
      <c r="A664" s="413">
        <v>195457</v>
      </c>
      <c r="B664" t="e">
        <f t="shared" si="22"/>
        <v>#N/A</v>
      </c>
      <c r="C664" s="198" t="e">
        <f t="shared" si="23"/>
        <v>#N/A</v>
      </c>
      <c r="D664" s="526" t="e">
        <v>#N/A</v>
      </c>
      <c r="E664" s="526" t="e">
        <v>#N/A</v>
      </c>
      <c r="F664" s="526" t="e">
        <v>#N/A</v>
      </c>
      <c r="G664" s="526" t="e">
        <v>#N/A</v>
      </c>
      <c r="H664" s="412" t="e">
        <v>#N/A</v>
      </c>
      <c r="I664" s="411" t="e">
        <v>#N/A</v>
      </c>
      <c r="J664" s="411" t="e">
        <v>#N/A</v>
      </c>
      <c r="K664" s="411" t="e">
        <v>#N/A</v>
      </c>
      <c r="L664" s="526" t="e">
        <v>#N/A</v>
      </c>
      <c r="M664" s="414" t="s">
        <v>586</v>
      </c>
      <c r="N664" s="195">
        <v>1703.3616</v>
      </c>
    </row>
    <row r="665" spans="1:14" ht="15" x14ac:dyDescent="0.25">
      <c r="A665" s="415">
        <v>223525</v>
      </c>
      <c r="B665" t="str">
        <f t="shared" si="22"/>
        <v>SEVROLL Herkules sada kovania120kg, 3m</v>
      </c>
      <c r="C665" s="198" t="e">
        <f t="shared" si="23"/>
        <v>#N/A</v>
      </c>
      <c r="D665" s="526" t="s">
        <v>3091</v>
      </c>
      <c r="E665" s="526" t="s">
        <v>5105</v>
      </c>
      <c r="F665" s="526" t="s">
        <v>1179</v>
      </c>
      <c r="G665" s="526" t="s">
        <v>5106</v>
      </c>
      <c r="H665" s="412" t="e">
        <v>#N/A</v>
      </c>
      <c r="I665" s="411" t="e">
        <v>#N/A</v>
      </c>
      <c r="J665" s="411" t="e">
        <v>#N/A</v>
      </c>
      <c r="K665" s="411" t="e">
        <v>#N/A</v>
      </c>
      <c r="L665" s="526" t="e">
        <v>#N/A</v>
      </c>
      <c r="M665" s="416" t="s">
        <v>587</v>
      </c>
      <c r="N665" s="195">
        <v>1746.7740799999999</v>
      </c>
    </row>
    <row r="666" spans="1:14" ht="15" x14ac:dyDescent="0.25">
      <c r="A666" s="413">
        <v>195451</v>
      </c>
      <c r="B666" t="e">
        <f t="shared" si="22"/>
        <v>#N/A</v>
      </c>
      <c r="C666" s="198" t="e">
        <f t="shared" si="23"/>
        <v>#N/A</v>
      </c>
      <c r="D666" s="526" t="e">
        <v>#N/A</v>
      </c>
      <c r="E666" s="526" t="e">
        <v>#N/A</v>
      </c>
      <c r="F666" s="526" t="e">
        <v>#N/A</v>
      </c>
      <c r="G666" s="526" t="e">
        <v>#N/A</v>
      </c>
      <c r="H666" s="412" t="e">
        <v>#N/A</v>
      </c>
      <c r="I666" s="411" t="e">
        <v>#N/A</v>
      </c>
      <c r="J666" s="411" t="e">
        <v>#N/A</v>
      </c>
      <c r="K666" s="411" t="e">
        <v>#N/A</v>
      </c>
      <c r="L666" s="526" t="e">
        <v>#N/A</v>
      </c>
      <c r="M666" s="414" t="s">
        <v>586</v>
      </c>
      <c r="N666" s="195">
        <v>1801.1898000000001</v>
      </c>
    </row>
    <row r="667" spans="1:14" ht="15" x14ac:dyDescent="0.25">
      <c r="A667" s="413">
        <v>248459</v>
      </c>
      <c r="B667" t="e">
        <f t="shared" si="22"/>
        <v>#N/A</v>
      </c>
      <c r="C667" s="198" t="e">
        <f t="shared" si="23"/>
        <v>#N/A</v>
      </c>
      <c r="D667" s="526" t="e">
        <v>#N/A</v>
      </c>
      <c r="E667" s="526" t="e">
        <v>#N/A</v>
      </c>
      <c r="F667" s="526" t="e">
        <v>#N/A</v>
      </c>
      <c r="G667" s="526" t="e">
        <v>#N/A</v>
      </c>
      <c r="H667" s="412" t="e">
        <v>#N/A</v>
      </c>
      <c r="I667" s="411" t="e">
        <v>#N/A</v>
      </c>
      <c r="J667" s="411" t="e">
        <v>#N/A</v>
      </c>
      <c r="K667" s="411" t="e">
        <v>#N/A</v>
      </c>
      <c r="L667" s="526" t="e">
        <v>#N/A</v>
      </c>
      <c r="M667" s="414" t="s">
        <v>586</v>
      </c>
      <c r="N667" s="195">
        <v>2014.11</v>
      </c>
    </row>
    <row r="668" spans="1:14" ht="15" x14ac:dyDescent="0.25">
      <c r="A668" s="415">
        <v>317377</v>
      </c>
      <c r="B668" t="str">
        <f t="shared" ref="B668:B731" si="24">IF($A$2=1,D668,IF($A$2=2,F668,IF($A$2=3,G668,IF($A$2=4,E668,"zadat jazyk"))))</f>
        <v>SEVROLL 219-313 Herkules Glass sada kovania 100kg</v>
      </c>
      <c r="C668" s="198" t="e">
        <f t="shared" si="23"/>
        <v>#N/A</v>
      </c>
      <c r="D668" s="526" t="s">
        <v>3350</v>
      </c>
      <c r="E668" s="526" t="s">
        <v>5107</v>
      </c>
      <c r="F668" s="526" t="s">
        <v>5108</v>
      </c>
      <c r="G668" s="526" t="s">
        <v>5109</v>
      </c>
      <c r="H668" s="412" t="e">
        <v>#N/A</v>
      </c>
      <c r="I668" s="411" t="e">
        <v>#N/A</v>
      </c>
      <c r="J668" s="411" t="e">
        <v>#N/A</v>
      </c>
      <c r="K668" s="411" t="e">
        <v>#N/A</v>
      </c>
      <c r="L668" s="526" t="e">
        <v>#N/A</v>
      </c>
      <c r="M668" s="416" t="s">
        <v>587</v>
      </c>
      <c r="N668" s="195">
        <v>2076.1873999999998</v>
      </c>
    </row>
    <row r="669" spans="1:14" ht="15" x14ac:dyDescent="0.25">
      <c r="A669" s="410">
        <v>227196</v>
      </c>
      <c r="B669" t="str">
        <f t="shared" si="24"/>
        <v>SEVROLL Comfort horné vedenie 6m strieborné</v>
      </c>
      <c r="C669" s="198">
        <f t="shared" si="23"/>
        <v>105.19883</v>
      </c>
      <c r="D669" s="526" t="s">
        <v>3166</v>
      </c>
      <c r="E669" s="526" t="s">
        <v>5110</v>
      </c>
      <c r="F669" s="526" t="s">
        <v>1209</v>
      </c>
      <c r="G669" s="526" t="s">
        <v>5111</v>
      </c>
      <c r="H669" s="412">
        <v>2912.8534199999999</v>
      </c>
      <c r="I669" s="411">
        <v>105.19883</v>
      </c>
      <c r="J669" s="411">
        <v>382.18380000000002</v>
      </c>
      <c r="K669" s="411">
        <v>40046.495730000002</v>
      </c>
      <c r="L669" s="526" t="s">
        <v>554</v>
      </c>
      <c r="M669" s="409" t="s">
        <v>586</v>
      </c>
      <c r="N669" s="195">
        <v>2099.0529000000001</v>
      </c>
    </row>
    <row r="670" spans="1:14" ht="15" x14ac:dyDescent="0.25">
      <c r="A670" s="410">
        <v>212763</v>
      </c>
      <c r="B670" t="str">
        <f t="shared" si="24"/>
        <v>SEVROLL Line sada kovania pre 2 krídla-ľavá</v>
      </c>
      <c r="C670" s="198">
        <f t="shared" si="23"/>
        <v>56.71499</v>
      </c>
      <c r="D670" s="526" t="s">
        <v>3020</v>
      </c>
      <c r="E670" s="526" t="s">
        <v>5112</v>
      </c>
      <c r="F670" s="526" t="s">
        <v>1165</v>
      </c>
      <c r="G670" s="526" t="s">
        <v>5113</v>
      </c>
      <c r="H670" s="412">
        <v>1570.3830800000001</v>
      </c>
      <c r="I670" s="411">
        <v>56.71499</v>
      </c>
      <c r="J670" s="411">
        <v>368.93400000000003</v>
      </c>
      <c r="K670" s="411">
        <v>21589.942770000001</v>
      </c>
      <c r="L670" s="526" t="s">
        <v>554</v>
      </c>
      <c r="M670" s="409" t="s">
        <v>587</v>
      </c>
      <c r="N670" s="195">
        <v>2215.9935999999998</v>
      </c>
    </row>
    <row r="671" spans="1:14" ht="15" x14ac:dyDescent="0.25">
      <c r="A671" s="410">
        <v>212764</v>
      </c>
      <c r="B671" t="str">
        <f t="shared" si="24"/>
        <v>SEVROLL Line sada kovania pre 2krídla- pravá</v>
      </c>
      <c r="C671" s="198">
        <f t="shared" si="23"/>
        <v>56.71499</v>
      </c>
      <c r="D671" s="526" t="s">
        <v>3021</v>
      </c>
      <c r="E671" s="526" t="s">
        <v>5114</v>
      </c>
      <c r="F671" s="526" t="s">
        <v>1164</v>
      </c>
      <c r="G671" s="526" t="s">
        <v>5115</v>
      </c>
      <c r="H671" s="412">
        <v>1570.3830800000001</v>
      </c>
      <c r="I671" s="411">
        <v>56.71499</v>
      </c>
      <c r="J671" s="411">
        <v>368.93400000000003</v>
      </c>
      <c r="K671" s="411">
        <v>21589.942770000001</v>
      </c>
      <c r="L671" s="526" t="s">
        <v>554</v>
      </c>
      <c r="M671" s="409" t="s">
        <v>587</v>
      </c>
      <c r="N671" s="195">
        <v>2215.9935999999998</v>
      </c>
    </row>
    <row r="672" spans="1:14" ht="15" x14ac:dyDescent="0.25">
      <c r="A672" s="410">
        <v>227197</v>
      </c>
      <c r="B672" t="str">
        <f t="shared" si="24"/>
        <v>SEVROLL Comfort horné vedenie 6m oliva</v>
      </c>
      <c r="C672" s="198">
        <f t="shared" si="23"/>
        <v>131.44048000000001</v>
      </c>
      <c r="D672" s="526" t="s">
        <v>3167</v>
      </c>
      <c r="E672" s="526" t="s">
        <v>5116</v>
      </c>
      <c r="F672" s="526" t="s">
        <v>1210</v>
      </c>
      <c r="G672" s="526" t="s">
        <v>5117</v>
      </c>
      <c r="H672" s="412">
        <v>3639.4592400000001</v>
      </c>
      <c r="I672" s="411">
        <v>131.44048000000001</v>
      </c>
      <c r="J672" s="411">
        <v>445.12200000000001</v>
      </c>
      <c r="K672" s="411">
        <v>50036.018689999997</v>
      </c>
      <c r="L672" s="526" t="s">
        <v>554</v>
      </c>
      <c r="M672" s="409" t="s">
        <v>586</v>
      </c>
      <c r="N672" s="195">
        <v>2308.7622000000001</v>
      </c>
    </row>
    <row r="673" spans="1:14" ht="15" x14ac:dyDescent="0.25">
      <c r="A673" s="415">
        <v>213362</v>
      </c>
      <c r="B673" t="str">
        <f t="shared" si="24"/>
        <v>SEVROLL Herkules Glass sada kov.100kg + 2m</v>
      </c>
      <c r="C673" s="198" t="e">
        <f t="shared" si="23"/>
        <v>#N/A</v>
      </c>
      <c r="D673" s="526" t="s">
        <v>3023</v>
      </c>
      <c r="E673" s="526" t="s">
        <v>5118</v>
      </c>
      <c r="F673" s="526" t="s">
        <v>1186</v>
      </c>
      <c r="G673" s="526" t="s">
        <v>5119</v>
      </c>
      <c r="H673" s="412" t="e">
        <v>#N/A</v>
      </c>
      <c r="I673" s="411" t="e">
        <v>#N/A</v>
      </c>
      <c r="J673" s="411" t="e">
        <v>#N/A</v>
      </c>
      <c r="K673" s="411" t="e">
        <v>#N/A</v>
      </c>
      <c r="L673" s="526" t="e">
        <v>#N/A</v>
      </c>
      <c r="M673" s="416" t="s">
        <v>587</v>
      </c>
      <c r="N673" s="195">
        <v>2809.47912</v>
      </c>
    </row>
    <row r="674" spans="1:14" ht="15" x14ac:dyDescent="0.25">
      <c r="A674" s="410">
        <v>182716</v>
      </c>
      <c r="B674" t="e">
        <f t="shared" si="24"/>
        <v>#N/A</v>
      </c>
      <c r="C674" s="198" t="e">
        <f t="shared" si="23"/>
        <v>#N/A</v>
      </c>
      <c r="D674" s="526" t="e">
        <v>#N/A</v>
      </c>
      <c r="E674" s="526" t="e">
        <v>#N/A</v>
      </c>
      <c r="F674" s="526" t="e">
        <v>#N/A</v>
      </c>
      <c r="G674" s="526" t="e">
        <v>#N/A</v>
      </c>
      <c r="H674" s="412" t="e">
        <v>#N/A</v>
      </c>
      <c r="I674" s="411" t="e">
        <v>#N/A</v>
      </c>
      <c r="J674" s="411" t="e">
        <v>#N/A</v>
      </c>
      <c r="K674" s="411" t="e">
        <v>#N/A</v>
      </c>
      <c r="L674" s="526" t="e">
        <v>#N/A</v>
      </c>
      <c r="M674" s="409" t="s">
        <v>586</v>
      </c>
      <c r="N674" s="195">
        <v>3325.9503</v>
      </c>
    </row>
    <row r="675" spans="1:14" ht="15" x14ac:dyDescent="0.25">
      <c r="A675" s="410">
        <v>98056</v>
      </c>
      <c r="B675" t="str">
        <f t="shared" si="24"/>
        <v>SEVROLL Prince sada kovania pre skládacie dvere 1200mm strieborná</v>
      </c>
      <c r="C675" s="198">
        <f t="shared" si="23"/>
        <v>190.27132</v>
      </c>
      <c r="D675" s="526" t="s">
        <v>2792</v>
      </c>
      <c r="E675" s="526" t="s">
        <v>5120</v>
      </c>
      <c r="F675" s="526" t="s">
        <v>5121</v>
      </c>
      <c r="G675" s="526" t="s">
        <v>5122</v>
      </c>
      <c r="H675" s="412">
        <v>5268.4280399999998</v>
      </c>
      <c r="I675" s="411">
        <v>190.27132</v>
      </c>
      <c r="J675" s="411">
        <v>642.30799999999999</v>
      </c>
      <c r="K675" s="411">
        <v>72431.409889999995</v>
      </c>
      <c r="L675" s="526" t="s">
        <v>554</v>
      </c>
      <c r="M675" s="409" t="s">
        <v>586</v>
      </c>
      <c r="N675" s="195">
        <v>3847.5728199999999</v>
      </c>
    </row>
    <row r="676" spans="1:14" ht="15" x14ac:dyDescent="0.25">
      <c r="A676" s="410">
        <v>100967</v>
      </c>
      <c r="B676" t="str">
        <f t="shared" si="24"/>
        <v>SEVROLL Maxim sada líšt pre 3 dv. 2,5m str.</v>
      </c>
      <c r="C676" s="198" t="e">
        <f t="shared" si="23"/>
        <v>#N/A</v>
      </c>
      <c r="D676" s="526" t="s">
        <v>5123</v>
      </c>
      <c r="E676" s="526" t="s">
        <v>5124</v>
      </c>
      <c r="F676" s="526" t="s">
        <v>1253</v>
      </c>
      <c r="G676" s="526" t="s">
        <v>5125</v>
      </c>
      <c r="H676" s="412" t="e">
        <v>#N/A</v>
      </c>
      <c r="I676" s="411" t="e">
        <v>#N/A</v>
      </c>
      <c r="J676" s="411" t="e">
        <v>#N/A</v>
      </c>
      <c r="K676" s="411" t="e">
        <v>#N/A</v>
      </c>
      <c r="L676" s="526" t="e">
        <v>#N/A</v>
      </c>
      <c r="M676" s="409" t="s">
        <v>586</v>
      </c>
      <c r="N676" s="195">
        <v>4762.5569999999998</v>
      </c>
    </row>
    <row r="677" spans="1:14" ht="15" x14ac:dyDescent="0.25">
      <c r="A677" s="410">
        <v>203857</v>
      </c>
      <c r="B677" t="e">
        <f t="shared" si="24"/>
        <v>#N/A</v>
      </c>
      <c r="C677" s="198" t="e">
        <f t="shared" si="23"/>
        <v>#N/A</v>
      </c>
      <c r="D677" s="526" t="e">
        <v>#N/A</v>
      </c>
      <c r="E677" s="526" t="e">
        <v>#N/A</v>
      </c>
      <c r="F677" s="526" t="e">
        <v>#N/A</v>
      </c>
      <c r="G677" s="526" t="e">
        <v>#N/A</v>
      </c>
      <c r="H677" s="412" t="e">
        <v>#N/A</v>
      </c>
      <c r="I677" s="411" t="e">
        <v>#N/A</v>
      </c>
      <c r="J677" s="411" t="e">
        <v>#N/A</v>
      </c>
      <c r="K677" s="411" t="e">
        <v>#N/A</v>
      </c>
      <c r="L677" s="526" t="e">
        <v>#N/A</v>
      </c>
      <c r="M677" s="409" t="s">
        <v>586</v>
      </c>
      <c r="N677" s="195"/>
    </row>
    <row r="678" spans="1:14" ht="15" x14ac:dyDescent="0.25">
      <c r="A678" s="410">
        <v>203859</v>
      </c>
      <c r="B678" t="e">
        <f t="shared" si="24"/>
        <v>#N/A</v>
      </c>
      <c r="C678" s="198" t="e">
        <f t="shared" si="23"/>
        <v>#N/A</v>
      </c>
      <c r="D678" s="526" t="e">
        <v>#N/A</v>
      </c>
      <c r="E678" s="526" t="e">
        <v>#N/A</v>
      </c>
      <c r="F678" s="526" t="e">
        <v>#N/A</v>
      </c>
      <c r="G678" s="526" t="e">
        <v>#N/A</v>
      </c>
      <c r="H678" s="412" t="e">
        <v>#N/A</v>
      </c>
      <c r="I678" s="411" t="e">
        <v>#N/A</v>
      </c>
      <c r="J678" s="411" t="e">
        <v>#N/A</v>
      </c>
      <c r="K678" s="411" t="e">
        <v>#N/A</v>
      </c>
      <c r="L678" s="526" t="e">
        <v>#N/A</v>
      </c>
      <c r="M678" s="409" t="s">
        <v>586</v>
      </c>
      <c r="N678" s="195"/>
    </row>
    <row r="679" spans="1:14" ht="15" x14ac:dyDescent="0.25">
      <c r="A679" s="410">
        <v>203860</v>
      </c>
      <c r="B679" t="e">
        <f t="shared" si="24"/>
        <v>#N/A</v>
      </c>
      <c r="C679" s="198" t="e">
        <f t="shared" si="23"/>
        <v>#N/A</v>
      </c>
      <c r="D679" s="526" t="e">
        <v>#N/A</v>
      </c>
      <c r="E679" s="526" t="e">
        <v>#N/A</v>
      </c>
      <c r="F679" s="526" t="e">
        <v>#N/A</v>
      </c>
      <c r="G679" s="526" t="e">
        <v>#N/A</v>
      </c>
      <c r="H679" s="412" t="e">
        <v>#N/A</v>
      </c>
      <c r="I679" s="411" t="e">
        <v>#N/A</v>
      </c>
      <c r="J679" s="411" t="e">
        <v>#N/A</v>
      </c>
      <c r="K679" s="411" t="e">
        <v>#N/A</v>
      </c>
      <c r="L679" s="526" t="e">
        <v>#N/A</v>
      </c>
      <c r="M679" s="409" t="s">
        <v>586</v>
      </c>
      <c r="N679" s="195"/>
    </row>
    <row r="680" spans="1:14" ht="15" x14ac:dyDescent="0.25">
      <c r="A680" s="410">
        <v>203861</v>
      </c>
      <c r="B680" t="e">
        <f t="shared" si="24"/>
        <v>#N/A</v>
      </c>
      <c r="C680" s="198" t="e">
        <f t="shared" si="23"/>
        <v>#N/A</v>
      </c>
      <c r="D680" s="526" t="e">
        <v>#N/A</v>
      </c>
      <c r="E680" s="526" t="e">
        <v>#N/A</v>
      </c>
      <c r="F680" s="526" t="e">
        <v>#N/A</v>
      </c>
      <c r="G680" s="526" t="e">
        <v>#N/A</v>
      </c>
      <c r="H680" s="412" t="e">
        <v>#N/A</v>
      </c>
      <c r="I680" s="411" t="e">
        <v>#N/A</v>
      </c>
      <c r="J680" s="411" t="e">
        <v>#N/A</v>
      </c>
      <c r="K680" s="411" t="e">
        <v>#N/A</v>
      </c>
      <c r="L680" s="526" t="e">
        <v>#N/A</v>
      </c>
      <c r="M680" s="409" t="s">
        <v>586</v>
      </c>
      <c r="N680" s="195"/>
    </row>
    <row r="681" spans="1:14" ht="15" x14ac:dyDescent="0.25">
      <c r="A681" s="410">
        <v>203862</v>
      </c>
      <c r="B681" t="e">
        <f t="shared" si="24"/>
        <v>#N/A</v>
      </c>
      <c r="C681" s="198" t="e">
        <f t="shared" si="23"/>
        <v>#N/A</v>
      </c>
      <c r="D681" s="526" t="e">
        <v>#N/A</v>
      </c>
      <c r="E681" s="526" t="e">
        <v>#N/A</v>
      </c>
      <c r="F681" s="526" t="e">
        <v>#N/A</v>
      </c>
      <c r="G681" s="526" t="e">
        <v>#N/A</v>
      </c>
      <c r="H681" s="412" t="e">
        <v>#N/A</v>
      </c>
      <c r="I681" s="411" t="e">
        <v>#N/A</v>
      </c>
      <c r="J681" s="411" t="e">
        <v>#N/A</v>
      </c>
      <c r="K681" s="411" t="e">
        <v>#N/A</v>
      </c>
      <c r="L681" s="526" t="e">
        <v>#N/A</v>
      </c>
      <c r="M681" s="409" t="s">
        <v>586</v>
      </c>
      <c r="N681" s="195"/>
    </row>
    <row r="682" spans="1:14" ht="15" x14ac:dyDescent="0.25">
      <c r="A682" s="410">
        <v>89293</v>
      </c>
      <c r="B682" t="e">
        <f t="shared" si="24"/>
        <v>#N/A</v>
      </c>
      <c r="C682" s="198" t="e">
        <f t="shared" si="23"/>
        <v>#N/A</v>
      </c>
      <c r="D682" s="526" t="e">
        <v>#N/A</v>
      </c>
      <c r="E682" s="526" t="e">
        <v>#N/A</v>
      </c>
      <c r="F682" s="526" t="e">
        <v>#N/A</v>
      </c>
      <c r="G682" s="526" t="e">
        <v>#N/A</v>
      </c>
      <c r="H682" s="412" t="e">
        <v>#N/A</v>
      </c>
      <c r="I682" s="411" t="e">
        <v>#N/A</v>
      </c>
      <c r="J682" s="411" t="e">
        <v>#N/A</v>
      </c>
      <c r="K682" s="411" t="e">
        <v>#N/A</v>
      </c>
      <c r="L682" s="526" t="e">
        <v>#N/A</v>
      </c>
      <c r="M682" s="409" t="s">
        <v>585</v>
      </c>
      <c r="N682" s="195"/>
    </row>
    <row r="683" spans="1:14" ht="15" x14ac:dyDescent="0.25">
      <c r="A683" s="410">
        <v>96438</v>
      </c>
      <c r="B683" t="e">
        <f t="shared" si="24"/>
        <v>#N/A</v>
      </c>
      <c r="C683" s="198" t="e">
        <f t="shared" si="23"/>
        <v>#N/A</v>
      </c>
      <c r="D683" s="526" t="e">
        <v>#N/A</v>
      </c>
      <c r="E683" s="526" t="e">
        <v>#N/A</v>
      </c>
      <c r="F683" s="526" t="e">
        <v>#N/A</v>
      </c>
      <c r="G683" s="526" t="e">
        <v>#N/A</v>
      </c>
      <c r="H683" s="412" t="e">
        <v>#N/A</v>
      </c>
      <c r="I683" s="411" t="e">
        <v>#N/A</v>
      </c>
      <c r="J683" s="411" t="e">
        <v>#N/A</v>
      </c>
      <c r="K683" s="411" t="e">
        <v>#N/A</v>
      </c>
      <c r="L683" s="526" t="e">
        <v>#N/A</v>
      </c>
      <c r="M683" s="409" t="s">
        <v>585</v>
      </c>
      <c r="N683" s="195"/>
    </row>
    <row r="684" spans="1:14" ht="15" x14ac:dyDescent="0.25">
      <c r="A684" s="410">
        <v>89290</v>
      </c>
      <c r="B684" t="e">
        <f t="shared" si="24"/>
        <v>#N/A</v>
      </c>
      <c r="C684" s="198" t="e">
        <f t="shared" si="23"/>
        <v>#N/A</v>
      </c>
      <c r="D684" s="526" t="e">
        <v>#N/A</v>
      </c>
      <c r="E684" s="526" t="e">
        <v>#N/A</v>
      </c>
      <c r="F684" s="526" t="e">
        <v>#N/A</v>
      </c>
      <c r="G684" s="526" t="e">
        <v>#N/A</v>
      </c>
      <c r="H684" s="412" t="e">
        <v>#N/A</v>
      </c>
      <c r="I684" s="411" t="e">
        <v>#N/A</v>
      </c>
      <c r="J684" s="411" t="e">
        <v>#N/A</v>
      </c>
      <c r="K684" s="411" t="e">
        <v>#N/A</v>
      </c>
      <c r="L684" s="526" t="e">
        <v>#N/A</v>
      </c>
      <c r="M684" s="409" t="s">
        <v>585</v>
      </c>
      <c r="N684" s="195"/>
    </row>
    <row r="685" spans="1:14" ht="15" x14ac:dyDescent="0.25">
      <c r="A685" s="410">
        <v>89291</v>
      </c>
      <c r="B685" t="e">
        <f t="shared" si="24"/>
        <v>#N/A</v>
      </c>
      <c r="C685" s="198" t="e">
        <f t="shared" si="23"/>
        <v>#N/A</v>
      </c>
      <c r="D685" s="526" t="e">
        <v>#N/A</v>
      </c>
      <c r="E685" s="526" t="e">
        <v>#N/A</v>
      </c>
      <c r="F685" s="526" t="e">
        <v>#N/A</v>
      </c>
      <c r="G685" s="526" t="e">
        <v>#N/A</v>
      </c>
      <c r="H685" s="412" t="e">
        <v>#N/A</v>
      </c>
      <c r="I685" s="411" t="e">
        <v>#N/A</v>
      </c>
      <c r="J685" s="411" t="e">
        <v>#N/A</v>
      </c>
      <c r="K685" s="411" t="e">
        <v>#N/A</v>
      </c>
      <c r="L685" s="526" t="e">
        <v>#N/A</v>
      </c>
      <c r="M685" s="409" t="s">
        <v>585</v>
      </c>
      <c r="N685" s="195"/>
    </row>
    <row r="686" spans="1:14" ht="15" x14ac:dyDescent="0.25">
      <c r="A686" s="410">
        <v>89292</v>
      </c>
      <c r="B686" t="e">
        <f t="shared" si="24"/>
        <v>#N/A</v>
      </c>
      <c r="C686" s="198" t="e">
        <f t="shared" si="23"/>
        <v>#N/A</v>
      </c>
      <c r="D686" s="526" t="e">
        <v>#N/A</v>
      </c>
      <c r="E686" s="526" t="e">
        <v>#N/A</v>
      </c>
      <c r="F686" s="526" t="e">
        <v>#N/A</v>
      </c>
      <c r="G686" s="526" t="e">
        <v>#N/A</v>
      </c>
      <c r="H686" s="412" t="e">
        <v>#N/A</v>
      </c>
      <c r="I686" s="411" t="e">
        <v>#N/A</v>
      </c>
      <c r="J686" s="411" t="e">
        <v>#N/A</v>
      </c>
      <c r="K686" s="411" t="e">
        <v>#N/A</v>
      </c>
      <c r="L686" s="526" t="e">
        <v>#N/A</v>
      </c>
      <c r="M686" s="409" t="s">
        <v>585</v>
      </c>
      <c r="N686" s="195"/>
    </row>
    <row r="687" spans="1:14" ht="15" x14ac:dyDescent="0.25">
      <c r="A687" s="410">
        <v>89294</v>
      </c>
      <c r="B687" t="e">
        <f t="shared" si="24"/>
        <v>#N/A</v>
      </c>
      <c r="C687" s="198" t="e">
        <f t="shared" si="23"/>
        <v>#N/A</v>
      </c>
      <c r="D687" s="526" t="e">
        <v>#N/A</v>
      </c>
      <c r="E687" s="526" t="e">
        <v>#N/A</v>
      </c>
      <c r="F687" s="526" t="e">
        <v>#N/A</v>
      </c>
      <c r="G687" s="526" t="e">
        <v>#N/A</v>
      </c>
      <c r="H687" s="412" t="e">
        <v>#N/A</v>
      </c>
      <c r="I687" s="411" t="e">
        <v>#N/A</v>
      </c>
      <c r="J687" s="411" t="e">
        <v>#N/A</v>
      </c>
      <c r="K687" s="411" t="e">
        <v>#N/A</v>
      </c>
      <c r="L687" s="526" t="e">
        <v>#N/A</v>
      </c>
      <c r="M687" s="409" t="s">
        <v>585</v>
      </c>
      <c r="N687" s="195"/>
    </row>
    <row r="688" spans="1:14" ht="15" x14ac:dyDescent="0.25">
      <c r="A688" s="410">
        <v>362252</v>
      </c>
      <c r="B688" t="str">
        <f t="shared" si="24"/>
        <v>SEVROLL 10236 2x spodný vozík WD18V bez pozicionéru s pružinou</v>
      </c>
      <c r="C688" s="198">
        <f t="shared" si="23"/>
        <v>5.1863999999999999</v>
      </c>
      <c r="D688" s="526" t="s">
        <v>3464</v>
      </c>
      <c r="E688" s="526" t="s">
        <v>5126</v>
      </c>
      <c r="F688" s="526" t="s">
        <v>5127</v>
      </c>
      <c r="G688" s="526" t="s">
        <v>5128</v>
      </c>
      <c r="H688" s="412">
        <v>152.38815</v>
      </c>
      <c r="I688" s="411">
        <v>5.1863999999999999</v>
      </c>
      <c r="J688" s="411">
        <v>24.316800000000001</v>
      </c>
      <c r="K688" s="411">
        <v>2014.6230800000001</v>
      </c>
      <c r="L688" s="526" t="s">
        <v>710</v>
      </c>
      <c r="M688" s="409" t="s">
        <v>587</v>
      </c>
      <c r="N688" s="195"/>
    </row>
    <row r="689" spans="1:14" ht="15" x14ac:dyDescent="0.25">
      <c r="A689" s="410">
        <v>89117</v>
      </c>
      <c r="B689" t="str">
        <f t="shared" si="24"/>
        <v>SEVROLL Cleft spodné vedenie 1,7m oliva</v>
      </c>
      <c r="C689" s="198">
        <f t="shared" si="23"/>
        <v>6.5603600000000002</v>
      </c>
      <c r="D689" s="526" t="s">
        <v>2667</v>
      </c>
      <c r="E689" s="526" t="s">
        <v>5129</v>
      </c>
      <c r="F689" s="526" t="s">
        <v>1090</v>
      </c>
      <c r="G689" s="526" t="s">
        <v>5130</v>
      </c>
      <c r="H689" s="412">
        <v>166.1</v>
      </c>
      <c r="I689" s="411">
        <v>6.5603600000000002</v>
      </c>
      <c r="J689" s="411">
        <v>0</v>
      </c>
      <c r="K689" s="411">
        <v>2839.22181</v>
      </c>
      <c r="L689" s="526" t="s">
        <v>555</v>
      </c>
      <c r="M689" s="409" t="s">
        <v>586</v>
      </c>
      <c r="N689" s="195"/>
    </row>
    <row r="690" spans="1:14" ht="15" x14ac:dyDescent="0.25">
      <c r="A690" s="410">
        <v>89118</v>
      </c>
      <c r="B690" t="str">
        <f t="shared" si="24"/>
        <v>SEVROLL Cleft spodné vedenie 1,7m strieborná</v>
      </c>
      <c r="C690" s="198">
        <f t="shared" si="23"/>
        <v>6.5603600000000002</v>
      </c>
      <c r="D690" s="526" t="s">
        <v>2668</v>
      </c>
      <c r="E690" s="526" t="s">
        <v>5131</v>
      </c>
      <c r="F690" s="526" t="s">
        <v>1089</v>
      </c>
      <c r="G690" s="526" t="s">
        <v>5132</v>
      </c>
      <c r="H690" s="412">
        <v>166.1</v>
      </c>
      <c r="I690" s="411">
        <v>6.5603600000000002</v>
      </c>
      <c r="J690" s="411">
        <v>0</v>
      </c>
      <c r="K690" s="411">
        <v>2839.22181</v>
      </c>
      <c r="L690" s="526" t="s">
        <v>555</v>
      </c>
      <c r="M690" s="409" t="s">
        <v>586</v>
      </c>
      <c r="N690" s="195"/>
    </row>
    <row r="691" spans="1:14" ht="15" x14ac:dyDescent="0.25">
      <c r="A691" s="410">
        <v>89116</v>
      </c>
      <c r="B691" t="str">
        <f t="shared" si="24"/>
        <v>SEVROLL Cleft spodné vedenie 1,7m zlatá</v>
      </c>
      <c r="C691" s="198">
        <f t="shared" si="23"/>
        <v>6.5603600000000002</v>
      </c>
      <c r="D691" s="526" t="s">
        <v>2666</v>
      </c>
      <c r="E691" s="526" t="s">
        <v>5133</v>
      </c>
      <c r="F691" s="526" t="s">
        <v>5134</v>
      </c>
      <c r="G691" s="526" t="s">
        <v>5135</v>
      </c>
      <c r="H691" s="412" t="e">
        <v>#N/A</v>
      </c>
      <c r="I691" s="411">
        <v>6.5603600000000002</v>
      </c>
      <c r="J691" s="411">
        <v>0</v>
      </c>
      <c r="K691" s="411">
        <v>2839.22181</v>
      </c>
      <c r="L691" s="526" t="e">
        <v>#N/A</v>
      </c>
      <c r="M691" s="409" t="s">
        <v>586</v>
      </c>
      <c r="N691" s="195"/>
    </row>
    <row r="692" spans="1:14" ht="15" x14ac:dyDescent="0.25">
      <c r="A692" s="410">
        <v>89120</v>
      </c>
      <c r="B692" t="e">
        <f t="shared" si="24"/>
        <v>#N/A</v>
      </c>
      <c r="C692" s="198" t="e">
        <f t="shared" si="23"/>
        <v>#N/A</v>
      </c>
      <c r="D692" s="526" t="e">
        <v>#N/A</v>
      </c>
      <c r="E692" s="526" t="e">
        <v>#N/A</v>
      </c>
      <c r="F692" s="526" t="e">
        <v>#N/A</v>
      </c>
      <c r="G692" s="526" t="e">
        <v>#N/A</v>
      </c>
      <c r="H692" s="412" t="e">
        <v>#N/A</v>
      </c>
      <c r="I692" s="411" t="e">
        <v>#N/A</v>
      </c>
      <c r="J692" s="411" t="e">
        <v>#N/A</v>
      </c>
      <c r="K692" s="411" t="e">
        <v>#N/A</v>
      </c>
      <c r="L692" s="526" t="e">
        <v>#N/A</v>
      </c>
      <c r="M692" s="409" t="s">
        <v>586</v>
      </c>
      <c r="N692" s="195"/>
    </row>
    <row r="693" spans="1:14" ht="15" x14ac:dyDescent="0.25">
      <c r="A693" s="410">
        <v>89121</v>
      </c>
      <c r="B693" t="e">
        <f t="shared" si="24"/>
        <v>#N/A</v>
      </c>
      <c r="C693" s="198" t="e">
        <f t="shared" si="23"/>
        <v>#N/A</v>
      </c>
      <c r="D693" s="526" t="e">
        <v>#N/A</v>
      </c>
      <c r="E693" s="526" t="e">
        <v>#N/A</v>
      </c>
      <c r="F693" s="526" t="e">
        <v>#N/A</v>
      </c>
      <c r="G693" s="526" t="e">
        <v>#N/A</v>
      </c>
      <c r="H693" s="412" t="e">
        <v>#N/A</v>
      </c>
      <c r="I693" s="411" t="e">
        <v>#N/A</v>
      </c>
      <c r="J693" s="411" t="e">
        <v>#N/A</v>
      </c>
      <c r="K693" s="411" t="e">
        <v>#N/A</v>
      </c>
      <c r="L693" s="526" t="e">
        <v>#N/A</v>
      </c>
      <c r="M693" s="409" t="s">
        <v>586</v>
      </c>
      <c r="N693" s="195"/>
    </row>
    <row r="694" spans="1:14" ht="15" x14ac:dyDescent="0.25">
      <c r="A694" s="410">
        <v>89123</v>
      </c>
      <c r="B694" t="e">
        <f t="shared" si="24"/>
        <v>#N/A</v>
      </c>
      <c r="C694" s="198" t="e">
        <f t="shared" si="23"/>
        <v>#N/A</v>
      </c>
      <c r="D694" s="526" t="e">
        <v>#N/A</v>
      </c>
      <c r="E694" s="526" t="e">
        <v>#N/A</v>
      </c>
      <c r="F694" s="526" t="e">
        <v>#N/A</v>
      </c>
      <c r="G694" s="526" t="e">
        <v>#N/A</v>
      </c>
      <c r="H694" s="412" t="e">
        <v>#N/A</v>
      </c>
      <c r="I694" s="411" t="e">
        <v>#N/A</v>
      </c>
      <c r="J694" s="411" t="e">
        <v>#N/A</v>
      </c>
      <c r="K694" s="411" t="e">
        <v>#N/A</v>
      </c>
      <c r="L694" s="526" t="e">
        <v>#N/A</v>
      </c>
      <c r="M694" s="409" t="s">
        <v>586</v>
      </c>
      <c r="N694" s="195"/>
    </row>
    <row r="695" spans="1:14" ht="15" x14ac:dyDescent="0.25">
      <c r="A695" s="410">
        <v>89124</v>
      </c>
      <c r="B695" t="e">
        <f t="shared" si="24"/>
        <v>#N/A</v>
      </c>
      <c r="C695" s="198" t="e">
        <f t="shared" si="23"/>
        <v>#N/A</v>
      </c>
      <c r="D695" s="526" t="e">
        <v>#N/A</v>
      </c>
      <c r="E695" s="526" t="e">
        <v>#N/A</v>
      </c>
      <c r="F695" s="526" t="e">
        <v>#N/A</v>
      </c>
      <c r="G695" s="526" t="e">
        <v>#N/A</v>
      </c>
      <c r="H695" s="412" t="e">
        <v>#N/A</v>
      </c>
      <c r="I695" s="411" t="e">
        <v>#N/A</v>
      </c>
      <c r="J695" s="411" t="e">
        <v>#N/A</v>
      </c>
      <c r="K695" s="411" t="e">
        <v>#N/A</v>
      </c>
      <c r="L695" s="526" t="e">
        <v>#N/A</v>
      </c>
      <c r="M695" s="409" t="s">
        <v>586</v>
      </c>
      <c r="N695" s="195"/>
    </row>
    <row r="696" spans="1:14" ht="15" x14ac:dyDescent="0.25">
      <c r="A696" s="410">
        <v>89122</v>
      </c>
      <c r="B696" t="str">
        <f t="shared" si="24"/>
        <v>SEVROLL spodné vedenie 3m zlatá</v>
      </c>
      <c r="C696" s="198">
        <f t="shared" si="23"/>
        <v>11.426310000000001</v>
      </c>
      <c r="D696" s="526" t="s">
        <v>2669</v>
      </c>
      <c r="E696" s="526" t="s">
        <v>5136</v>
      </c>
      <c r="F696" s="526" t="s">
        <v>1088</v>
      </c>
      <c r="G696" s="526" t="s">
        <v>5137</v>
      </c>
      <c r="H696" s="412" t="e">
        <v>#N/A</v>
      </c>
      <c r="I696" s="411">
        <v>11.426310000000001</v>
      </c>
      <c r="J696" s="411">
        <v>0</v>
      </c>
      <c r="K696" s="411">
        <v>4945.1346899999999</v>
      </c>
      <c r="L696" s="526" t="e">
        <v>#N/A</v>
      </c>
      <c r="M696" s="409" t="s">
        <v>586</v>
      </c>
      <c r="N696" s="195"/>
    </row>
    <row r="697" spans="1:14" ht="15" x14ac:dyDescent="0.25">
      <c r="A697" s="410">
        <v>89126</v>
      </c>
      <c r="B697" t="e">
        <f t="shared" si="24"/>
        <v>#N/A</v>
      </c>
      <c r="C697" s="198" t="e">
        <f t="shared" si="23"/>
        <v>#N/A</v>
      </c>
      <c r="D697" s="526" t="e">
        <v>#N/A</v>
      </c>
      <c r="E697" s="526" t="e">
        <v>#N/A</v>
      </c>
      <c r="F697" s="526" t="e">
        <v>#N/A</v>
      </c>
      <c r="G697" s="526" t="e">
        <v>#N/A</v>
      </c>
      <c r="H697" s="412" t="e">
        <v>#N/A</v>
      </c>
      <c r="I697" s="411" t="e">
        <v>#N/A</v>
      </c>
      <c r="J697" s="411" t="e">
        <v>#N/A</v>
      </c>
      <c r="K697" s="411" t="e">
        <v>#N/A</v>
      </c>
      <c r="L697" s="526" t="e">
        <v>#N/A</v>
      </c>
      <c r="M697" s="409" t="s">
        <v>586</v>
      </c>
      <c r="N697" s="195"/>
    </row>
    <row r="698" spans="1:14" ht="15" x14ac:dyDescent="0.25">
      <c r="A698" s="410">
        <v>89127</v>
      </c>
      <c r="B698" t="e">
        <f t="shared" si="24"/>
        <v>#N/A</v>
      </c>
      <c r="C698" s="198" t="e">
        <f t="shared" si="23"/>
        <v>#N/A</v>
      </c>
      <c r="D698" s="526" t="e">
        <v>#N/A</v>
      </c>
      <c r="E698" s="526" t="e">
        <v>#N/A</v>
      </c>
      <c r="F698" s="526" t="e">
        <v>#N/A</v>
      </c>
      <c r="G698" s="526" t="e">
        <v>#N/A</v>
      </c>
      <c r="H698" s="412" t="e">
        <v>#N/A</v>
      </c>
      <c r="I698" s="411" t="e">
        <v>#N/A</v>
      </c>
      <c r="J698" s="411" t="e">
        <v>#N/A</v>
      </c>
      <c r="K698" s="411" t="e">
        <v>#N/A</v>
      </c>
      <c r="L698" s="526" t="e">
        <v>#N/A</v>
      </c>
      <c r="M698" s="409" t="s">
        <v>586</v>
      </c>
      <c r="N698" s="195"/>
    </row>
    <row r="699" spans="1:14" ht="15" x14ac:dyDescent="0.25">
      <c r="A699" s="410">
        <v>89125</v>
      </c>
      <c r="B699" t="str">
        <f t="shared" si="24"/>
        <v>SEVROLL spodné vedenie 4,05m zlatá</v>
      </c>
      <c r="C699" s="198">
        <f t="shared" ref="C699:C762" si="25">IF($A$2=1,H699,IF($A$2=2,I699,IF($A$2=3,J699,IF($A$2=4,K699,"zadat jazyk"))))</f>
        <v>14.684760000000001</v>
      </c>
      <c r="D699" s="526" t="s">
        <v>2670</v>
      </c>
      <c r="E699" s="526" t="s">
        <v>5138</v>
      </c>
      <c r="F699" s="526" t="s">
        <v>1087</v>
      </c>
      <c r="G699" s="526" t="s">
        <v>5139</v>
      </c>
      <c r="H699" s="412" t="e">
        <v>#N/A</v>
      </c>
      <c r="I699" s="411">
        <v>14.684760000000001</v>
      </c>
      <c r="J699" s="411">
        <v>0</v>
      </c>
      <c r="K699" s="411">
        <v>6355.3441899999998</v>
      </c>
      <c r="L699" s="526" t="e">
        <v>#N/A</v>
      </c>
      <c r="M699" s="409" t="s">
        <v>586</v>
      </c>
      <c r="N699" s="195"/>
    </row>
    <row r="700" spans="1:14" ht="15" x14ac:dyDescent="0.25">
      <c r="A700" s="410">
        <v>135115</v>
      </c>
      <c r="B700" t="str">
        <f t="shared" si="24"/>
        <v>SEVROLL Cleft spodné vedenie 6m strieborná</v>
      </c>
      <c r="C700" s="198">
        <f t="shared" si="25"/>
        <v>0</v>
      </c>
      <c r="D700" s="526" t="s">
        <v>2871</v>
      </c>
      <c r="E700" s="526" t="s">
        <v>5140</v>
      </c>
      <c r="F700" s="526" t="s">
        <v>1086</v>
      </c>
      <c r="G700" s="526" t="s">
        <v>5141</v>
      </c>
      <c r="H700" s="412">
        <v>0</v>
      </c>
      <c r="I700" s="411">
        <v>0</v>
      </c>
      <c r="J700" s="411">
        <v>0</v>
      </c>
      <c r="K700" s="411">
        <v>0</v>
      </c>
      <c r="L700" s="526" t="s">
        <v>555</v>
      </c>
      <c r="M700" s="409" t="s">
        <v>586</v>
      </c>
      <c r="N700" s="195"/>
    </row>
    <row r="701" spans="1:14" ht="15" x14ac:dyDescent="0.25">
      <c r="A701" s="410">
        <v>89284</v>
      </c>
      <c r="B701" t="str">
        <f t="shared" si="24"/>
        <v>SEVROLL dorazový kartáč samolep. 4,8x4mm</v>
      </c>
      <c r="C701" s="198">
        <f t="shared" si="25"/>
        <v>0.16205</v>
      </c>
      <c r="D701" s="526" t="s">
        <v>2715</v>
      </c>
      <c r="E701" s="526" t="s">
        <v>5142</v>
      </c>
      <c r="F701" s="526" t="s">
        <v>1283</v>
      </c>
      <c r="G701" s="526" t="s">
        <v>5143</v>
      </c>
      <c r="H701" s="412">
        <v>5.0229200000000001</v>
      </c>
      <c r="I701" s="411">
        <v>0.16205</v>
      </c>
      <c r="J701" s="411">
        <v>0.76500000000000001</v>
      </c>
      <c r="K701" s="411">
        <v>45.647039999999997</v>
      </c>
      <c r="L701" s="526" t="s">
        <v>553</v>
      </c>
      <c r="M701" s="409" t="s">
        <v>585</v>
      </c>
      <c r="N701" s="195"/>
    </row>
    <row r="702" spans="1:14" ht="15" x14ac:dyDescent="0.25">
      <c r="A702" s="410">
        <v>210545</v>
      </c>
      <c r="B702" t="str">
        <f t="shared" si="24"/>
        <v>SEVROLL dorazový kartáč samolepiaci 4,8x4mm</v>
      </c>
      <c r="C702" s="198" t="e">
        <f t="shared" si="25"/>
        <v>#N/A</v>
      </c>
      <c r="D702" s="526" t="s">
        <v>2715</v>
      </c>
      <c r="E702" s="526" t="s">
        <v>5142</v>
      </c>
      <c r="F702" s="526" t="s">
        <v>5144</v>
      </c>
      <c r="G702" s="526" t="s">
        <v>5145</v>
      </c>
      <c r="H702" s="412" t="e">
        <v>#N/A</v>
      </c>
      <c r="I702" s="411" t="e">
        <v>#N/A</v>
      </c>
      <c r="J702" s="411" t="e">
        <v>#N/A</v>
      </c>
      <c r="K702" s="411" t="e">
        <v>#N/A</v>
      </c>
      <c r="L702" s="526" t="e">
        <v>#N/A</v>
      </c>
      <c r="M702" s="409" t="s">
        <v>585</v>
      </c>
      <c r="N702" s="195"/>
    </row>
    <row r="703" spans="1:14" ht="15" x14ac:dyDescent="0.25">
      <c r="A703" s="410">
        <v>308639</v>
      </c>
      <c r="B703" t="str">
        <f t="shared" si="24"/>
        <v>SEVROLL protiprachový kartáč samolep. 6,7x13mm</v>
      </c>
      <c r="C703" s="198">
        <f t="shared" si="25"/>
        <v>0.29721999999999998</v>
      </c>
      <c r="D703" s="526" t="s">
        <v>1216</v>
      </c>
      <c r="E703" s="526" t="s">
        <v>5146</v>
      </c>
      <c r="F703" s="526" t="s">
        <v>1217</v>
      </c>
      <c r="G703" s="526" t="s">
        <v>5147</v>
      </c>
      <c r="H703" s="412">
        <v>9.2124199999999998</v>
      </c>
      <c r="I703" s="411">
        <v>0.29721999999999998</v>
      </c>
      <c r="J703" s="411">
        <v>1.2647999999999999</v>
      </c>
      <c r="K703" s="411">
        <v>83.720359999999999</v>
      </c>
      <c r="L703" s="526" t="s">
        <v>553</v>
      </c>
      <c r="M703" s="409" t="s">
        <v>585</v>
      </c>
      <c r="N703" s="195"/>
    </row>
    <row r="704" spans="1:14" ht="15" x14ac:dyDescent="0.25">
      <c r="A704" s="410">
        <v>89131</v>
      </c>
      <c r="B704" t="str">
        <f t="shared" si="24"/>
        <v>SEVROLL dorazový kartáč samolepiaci 6,7x4mm</v>
      </c>
      <c r="C704" s="198">
        <f t="shared" si="25"/>
        <v>0.17854</v>
      </c>
      <c r="D704" s="526" t="s">
        <v>1205</v>
      </c>
      <c r="E704" s="526" t="s">
        <v>5148</v>
      </c>
      <c r="F704" s="526" t="s">
        <v>1218</v>
      </c>
      <c r="G704" s="526" t="s">
        <v>5149</v>
      </c>
      <c r="H704" s="412">
        <v>5.5341199999999997</v>
      </c>
      <c r="I704" s="411">
        <v>0.17854</v>
      </c>
      <c r="J704" s="411">
        <v>1.0506</v>
      </c>
      <c r="K704" s="411">
        <v>50.292679999999997</v>
      </c>
      <c r="L704" s="526" t="s">
        <v>710</v>
      </c>
      <c r="M704" s="409" t="s">
        <v>585</v>
      </c>
      <c r="N704" s="195"/>
    </row>
    <row r="705" spans="1:14" ht="15" x14ac:dyDescent="0.25">
      <c r="A705" s="410">
        <v>361759</v>
      </c>
      <c r="B705" t="str">
        <f t="shared" si="24"/>
        <v>SEVROLL 20143-SV dorazový (protiprachový) kartáč samolepiaci 6,7x9mm šedý</v>
      </c>
      <c r="C705" s="198">
        <f t="shared" si="25"/>
        <v>0.38705000000000001</v>
      </c>
      <c r="D705" s="526" t="s">
        <v>5150</v>
      </c>
      <c r="E705" s="526" t="s">
        <v>5151</v>
      </c>
      <c r="F705" s="526" t="s">
        <v>5152</v>
      </c>
      <c r="G705" s="526" t="s">
        <v>5153</v>
      </c>
      <c r="H705" s="412">
        <v>11.372249999999999</v>
      </c>
      <c r="I705" s="411">
        <v>0.38705000000000001</v>
      </c>
      <c r="J705" s="411">
        <v>1.581</v>
      </c>
      <c r="K705" s="411">
        <v>150.345</v>
      </c>
      <c r="L705" s="526" t="s">
        <v>710</v>
      </c>
      <c r="M705" s="409" t="s">
        <v>585</v>
      </c>
      <c r="N705" s="195"/>
    </row>
    <row r="706" spans="1:14" ht="15" x14ac:dyDescent="0.25">
      <c r="A706" s="410">
        <v>98067</v>
      </c>
      <c r="B706" t="str">
        <f t="shared" si="24"/>
        <v>SEVROLL dorazová kefa zásuvná 14x4mm sivá</v>
      </c>
      <c r="C706" s="198">
        <f t="shared" si="25"/>
        <v>0.19361999999999999</v>
      </c>
      <c r="D706" s="526" t="s">
        <v>2798</v>
      </c>
      <c r="E706" s="526" t="s">
        <v>5154</v>
      </c>
      <c r="F706" s="526" t="s">
        <v>5155</v>
      </c>
      <c r="G706" s="526" t="s">
        <v>5156</v>
      </c>
      <c r="H706" s="412">
        <v>6.0008400000000002</v>
      </c>
      <c r="I706" s="411">
        <v>0.19361999999999999</v>
      </c>
      <c r="J706" s="411">
        <v>1.224</v>
      </c>
      <c r="K706" s="411">
        <v>54.534199999999998</v>
      </c>
      <c r="L706" s="526" t="s">
        <v>710</v>
      </c>
      <c r="M706" s="409" t="s">
        <v>585</v>
      </c>
      <c r="N706" s="195"/>
    </row>
    <row r="707" spans="1:14" ht="15" x14ac:dyDescent="0.25">
      <c r="A707" s="410">
        <v>245792</v>
      </c>
      <c r="B707" t="str">
        <f t="shared" si="24"/>
        <v>SEVROLL dorazový kartáč zásuvný 14x4mm, 50m</v>
      </c>
      <c r="C707" s="198">
        <f t="shared" si="25"/>
        <v>15.28055</v>
      </c>
      <c r="D707" s="526" t="s">
        <v>3207</v>
      </c>
      <c r="E707" s="526" t="s">
        <v>5157</v>
      </c>
      <c r="F707" s="526" t="s">
        <v>5158</v>
      </c>
      <c r="G707" s="526" t="s">
        <v>5159</v>
      </c>
      <c r="H707" s="412">
        <v>448.82479999999998</v>
      </c>
      <c r="I707" s="411">
        <v>15.28055</v>
      </c>
      <c r="J707" s="411">
        <v>68.401200000000003</v>
      </c>
      <c r="K707" s="411">
        <v>5935.6207800000002</v>
      </c>
      <c r="L707" s="526" t="s">
        <v>554</v>
      </c>
      <c r="M707" s="409" t="s">
        <v>586</v>
      </c>
      <c r="N707" s="195"/>
    </row>
    <row r="708" spans="1:14" ht="15" x14ac:dyDescent="0.25">
      <c r="A708" s="410">
        <v>229433</v>
      </c>
      <c r="B708" t="str">
        <f t="shared" si="24"/>
        <v>SEVROLL dorazová kefa zásuvná 4,8x4mm sivá</v>
      </c>
      <c r="C708" s="198">
        <f t="shared" si="25"/>
        <v>0.13</v>
      </c>
      <c r="D708" s="526" t="s">
        <v>3177</v>
      </c>
      <c r="E708" s="526" t="s">
        <v>5160</v>
      </c>
      <c r="F708" s="526" t="s">
        <v>5161</v>
      </c>
      <c r="G708" s="526" t="s">
        <v>5162</v>
      </c>
      <c r="H708" s="412">
        <v>3.45</v>
      </c>
      <c r="I708" s="411">
        <v>0.13</v>
      </c>
      <c r="J708" s="411">
        <v>0.35</v>
      </c>
      <c r="K708" s="411">
        <v>19.995799999999999</v>
      </c>
      <c r="L708" s="526" t="s">
        <v>710</v>
      </c>
      <c r="M708" s="409" t="s">
        <v>585</v>
      </c>
      <c r="N708" s="195"/>
    </row>
    <row r="709" spans="1:14" ht="15" x14ac:dyDescent="0.25">
      <c r="A709" s="410">
        <v>305137</v>
      </c>
      <c r="B709" t="str">
        <f t="shared" si="24"/>
        <v>SEVROLL 20287-SV dorazová štetina zásuvná 4,8x4mm biela</v>
      </c>
      <c r="C709" s="198">
        <f t="shared" si="25"/>
        <v>0.15629999999999999</v>
      </c>
      <c r="D709" s="526" t="s">
        <v>3315</v>
      </c>
      <c r="E709" s="526" t="s">
        <v>5163</v>
      </c>
      <c r="F709" s="526" t="s">
        <v>5164</v>
      </c>
      <c r="G709" s="526" t="s">
        <v>5165</v>
      </c>
      <c r="H709" s="412">
        <v>4.5774800000000004</v>
      </c>
      <c r="I709" s="411">
        <v>0.15629999999999999</v>
      </c>
      <c r="J709" s="411">
        <v>0.59363999999999995</v>
      </c>
      <c r="K709" s="411">
        <v>60.709229999999998</v>
      </c>
      <c r="L709" s="526" t="s">
        <v>553</v>
      </c>
      <c r="M709" s="409" t="s">
        <v>585</v>
      </c>
      <c r="N709" s="195"/>
    </row>
    <row r="710" spans="1:14" ht="15" x14ac:dyDescent="0.25">
      <c r="A710" s="410">
        <v>196947</v>
      </c>
      <c r="B710" t="str">
        <f t="shared" si="24"/>
        <v>SEVROLL 20021-BL dorazový kartáč zásuvný 4,8x6mm</v>
      </c>
      <c r="C710" s="198">
        <f t="shared" si="25"/>
        <v>0.13933000000000001</v>
      </c>
      <c r="D710" s="526" t="s">
        <v>2968</v>
      </c>
      <c r="E710" s="526" t="s">
        <v>5166</v>
      </c>
      <c r="F710" s="526" t="s">
        <v>5167</v>
      </c>
      <c r="G710" s="526" t="s">
        <v>5168</v>
      </c>
      <c r="H710" s="412">
        <v>4.0809699999999998</v>
      </c>
      <c r="I710" s="411">
        <v>0.13933000000000001</v>
      </c>
      <c r="J710" s="411">
        <v>0.54059999999999997</v>
      </c>
      <c r="K710" s="411">
        <v>54.124229999999997</v>
      </c>
      <c r="L710" s="526" t="s">
        <v>553</v>
      </c>
      <c r="M710" s="409" t="s">
        <v>585</v>
      </c>
      <c r="N710" s="195"/>
    </row>
    <row r="711" spans="1:14" ht="15" x14ac:dyDescent="0.25">
      <c r="A711" s="410">
        <v>305348</v>
      </c>
      <c r="B711" t="str">
        <f t="shared" si="24"/>
        <v>SEVROLL 20082-BL protiprachový kartáč zásuvný 4,8x9mm šedý</v>
      </c>
      <c r="C711" s="198">
        <f t="shared" si="25"/>
        <v>0.23222999999999999</v>
      </c>
      <c r="D711" s="526" t="s">
        <v>3316</v>
      </c>
      <c r="E711" s="526" t="s">
        <v>5169</v>
      </c>
      <c r="F711" s="526" t="s">
        <v>3316</v>
      </c>
      <c r="G711" s="526" t="s">
        <v>5170</v>
      </c>
      <c r="H711" s="412">
        <v>6.8233499999999996</v>
      </c>
      <c r="I711" s="411">
        <v>0.23222999999999999</v>
      </c>
      <c r="J711" s="411">
        <v>0.89759999999999995</v>
      </c>
      <c r="K711" s="411">
        <v>90.20693</v>
      </c>
      <c r="L711" s="526" t="s">
        <v>710</v>
      </c>
      <c r="M711" s="409" t="s">
        <v>585</v>
      </c>
      <c r="N711" s="195"/>
    </row>
    <row r="712" spans="1:14" ht="15" x14ac:dyDescent="0.25">
      <c r="A712" s="410">
        <v>306523</v>
      </c>
      <c r="B712" t="str">
        <f t="shared" si="24"/>
        <v>SEVROLL 20288-SV dorazová štetina zásuvná 14x4mm biela</v>
      </c>
      <c r="C712" s="198">
        <f t="shared" si="25"/>
        <v>0.37526999999999999</v>
      </c>
      <c r="D712" s="526" t="s">
        <v>3318</v>
      </c>
      <c r="E712" s="526" t="s">
        <v>5171</v>
      </c>
      <c r="F712" s="526" t="s">
        <v>5172</v>
      </c>
      <c r="G712" s="526" t="s">
        <v>5173</v>
      </c>
      <c r="H712" s="412">
        <v>11.372249999999999</v>
      </c>
      <c r="I712" s="411">
        <v>0.37526999999999999</v>
      </c>
      <c r="J712" s="411">
        <v>1.43</v>
      </c>
      <c r="K712" s="411">
        <v>145.77422999999999</v>
      </c>
      <c r="L712" s="526" t="s">
        <v>553</v>
      </c>
      <c r="M712" s="409" t="s">
        <v>585</v>
      </c>
      <c r="N712" s="195"/>
    </row>
    <row r="713" spans="1:14" ht="15" x14ac:dyDescent="0.25">
      <c r="A713" s="410">
        <v>276744</v>
      </c>
      <c r="B713" t="str">
        <f t="shared" si="24"/>
        <v>SEVROLL 04290 Elegant II spodné vedenie  1,7m biela lesk</v>
      </c>
      <c r="C713" s="198">
        <f t="shared" si="25"/>
        <v>10.74747</v>
      </c>
      <c r="D713" s="526" t="s">
        <v>3243</v>
      </c>
      <c r="E713" s="526" t="s">
        <v>5174</v>
      </c>
      <c r="F713" s="526" t="s">
        <v>5175</v>
      </c>
      <c r="G713" s="526" t="s">
        <v>5176</v>
      </c>
      <c r="H713" s="412">
        <v>297.92982000000001</v>
      </c>
      <c r="I713" s="411">
        <v>10.74747</v>
      </c>
      <c r="J713" s="411">
        <v>40.698</v>
      </c>
      <c r="K713" s="411">
        <v>4091.2844</v>
      </c>
      <c r="L713" s="526" t="s">
        <v>553</v>
      </c>
      <c r="M713" s="409" t="s">
        <v>586</v>
      </c>
      <c r="N713" s="195"/>
    </row>
    <row r="714" spans="1:14" ht="15" x14ac:dyDescent="0.25">
      <c r="A714" s="410">
        <v>205090</v>
      </c>
      <c r="B714" t="str">
        <f t="shared" si="24"/>
        <v>SEVROLL 04338 Elegant II spodné vedenie  1,7m čierna  kartáčovaná</v>
      </c>
      <c r="C714" s="198">
        <f t="shared" si="25"/>
        <v>15.404389999999999</v>
      </c>
      <c r="D714" s="526" t="s">
        <v>2985</v>
      </c>
      <c r="E714" s="526" t="s">
        <v>5177</v>
      </c>
      <c r="F714" s="526" t="s">
        <v>5178</v>
      </c>
      <c r="G714" s="526" t="s">
        <v>5179</v>
      </c>
      <c r="H714" s="412">
        <v>426.53262000000001</v>
      </c>
      <c r="I714" s="411">
        <v>15.404389999999999</v>
      </c>
      <c r="J714" s="411">
        <v>55.386000000000003</v>
      </c>
      <c r="K714" s="411">
        <v>5864.0565299999998</v>
      </c>
      <c r="L714" s="526" t="s">
        <v>553</v>
      </c>
      <c r="M714" s="409" t="s">
        <v>586</v>
      </c>
      <c r="N714" s="195"/>
    </row>
    <row r="715" spans="1:14" ht="15" x14ac:dyDescent="0.25">
      <c r="A715" s="410">
        <v>318666</v>
      </c>
      <c r="B715" t="str">
        <f t="shared" si="24"/>
        <v>SEVROLL 04273 Elegant II spodné vedenie 1,7m oliva</v>
      </c>
      <c r="C715" s="198">
        <f t="shared" si="25"/>
        <v>10.308299999999999</v>
      </c>
      <c r="D715" s="526" t="s">
        <v>3364</v>
      </c>
      <c r="E715" s="526" t="s">
        <v>5180</v>
      </c>
      <c r="F715" s="526" t="s">
        <v>5181</v>
      </c>
      <c r="G715" s="526" t="s">
        <v>5182</v>
      </c>
      <c r="H715" s="412">
        <v>285.42676999999998</v>
      </c>
      <c r="I715" s="411">
        <v>10.308299999999999</v>
      </c>
      <c r="J715" s="411">
        <v>39.086399999999998</v>
      </c>
      <c r="K715" s="411">
        <v>3924.1047100000001</v>
      </c>
      <c r="L715" s="526" t="s">
        <v>553</v>
      </c>
      <c r="M715" s="409" t="s">
        <v>586</v>
      </c>
      <c r="N715" s="195"/>
    </row>
    <row r="716" spans="1:14" ht="15" x14ac:dyDescent="0.25">
      <c r="A716" s="410">
        <v>120868</v>
      </c>
      <c r="B716" t="str">
        <f t="shared" si="24"/>
        <v>SEVROLL 04333-Y Elegant II spodné vedenie  1,7m oliva kartáčovaná</v>
      </c>
      <c r="C716" s="198">
        <f t="shared" si="25"/>
        <v>15.404389999999999</v>
      </c>
      <c r="D716" s="526" t="s">
        <v>2850</v>
      </c>
      <c r="E716" s="526" t="s">
        <v>5183</v>
      </c>
      <c r="F716" s="526" t="s">
        <v>5184</v>
      </c>
      <c r="G716" s="526" t="s">
        <v>5185</v>
      </c>
      <c r="H716" s="412">
        <v>426.53262000000001</v>
      </c>
      <c r="I716" s="411">
        <v>15.404389999999999</v>
      </c>
      <c r="J716" s="411">
        <v>55.386000000000003</v>
      </c>
      <c r="K716" s="411">
        <v>5864.0565299999998</v>
      </c>
      <c r="L716" s="526" t="s">
        <v>553</v>
      </c>
      <c r="M716" s="409" t="s">
        <v>586</v>
      </c>
      <c r="N716" s="195"/>
    </row>
    <row r="717" spans="1:14" ht="15" x14ac:dyDescent="0.25">
      <c r="A717" s="410">
        <v>205089</v>
      </c>
      <c r="B717" t="str">
        <f t="shared" si="24"/>
        <v>SEVROLL 04343 Elegant II spodné vedenie 1,7m oliva tmavá kartáčovaná</v>
      </c>
      <c r="C717" s="198">
        <f t="shared" si="25"/>
        <v>15.404389999999999</v>
      </c>
      <c r="D717" s="526" t="s">
        <v>2984</v>
      </c>
      <c r="E717" s="526" t="s">
        <v>5186</v>
      </c>
      <c r="F717" s="526" t="s">
        <v>5187</v>
      </c>
      <c r="G717" s="526" t="s">
        <v>5188</v>
      </c>
      <c r="H717" s="412">
        <v>426.53262000000001</v>
      </c>
      <c r="I717" s="411">
        <v>15.404389999999999</v>
      </c>
      <c r="J717" s="411">
        <v>55.386000000000003</v>
      </c>
      <c r="K717" s="411">
        <v>5864.0565299999998</v>
      </c>
      <c r="L717" s="526" t="s">
        <v>554</v>
      </c>
      <c r="M717" s="409" t="s">
        <v>586</v>
      </c>
      <c r="N717" s="195"/>
    </row>
    <row r="718" spans="1:14" ht="15" x14ac:dyDescent="0.25">
      <c r="A718" s="410">
        <v>84385</v>
      </c>
      <c r="B718" t="str">
        <f t="shared" si="24"/>
        <v>SEVROLL 04279 Elegant II spodné vedenie  1,7m strieborná</v>
      </c>
      <c r="C718" s="198">
        <f t="shared" si="25"/>
        <v>8.2672799999999995</v>
      </c>
      <c r="D718" s="526" t="s">
        <v>2763</v>
      </c>
      <c r="E718" s="526" t="s">
        <v>5189</v>
      </c>
      <c r="F718" s="526" t="s">
        <v>5190</v>
      </c>
      <c r="G718" s="526" t="s">
        <v>2403</v>
      </c>
      <c r="H718" s="412">
        <v>228.62719999999999</v>
      </c>
      <c r="I718" s="411">
        <v>8.2672799999999995</v>
      </c>
      <c r="J718" s="411">
        <v>31.293600000000001</v>
      </c>
      <c r="K718" s="411">
        <v>3147.1418399999998</v>
      </c>
      <c r="L718" s="526" t="s">
        <v>710</v>
      </c>
      <c r="M718" s="409" t="s">
        <v>586</v>
      </c>
      <c r="N718" s="195"/>
    </row>
    <row r="719" spans="1:14" ht="15" x14ac:dyDescent="0.25">
      <c r="A719" s="410">
        <v>84383</v>
      </c>
      <c r="B719" t="str">
        <f t="shared" si="24"/>
        <v>SEVROLL 04285 Elegant II spodné vedenie 1,7m zlatá</v>
      </c>
      <c r="C719" s="198">
        <f t="shared" si="25"/>
        <v>10.308299999999999</v>
      </c>
      <c r="D719" s="526" t="s">
        <v>2762</v>
      </c>
      <c r="E719" s="526" t="s">
        <v>5191</v>
      </c>
      <c r="F719" s="526" t="s">
        <v>5192</v>
      </c>
      <c r="G719" s="526" t="s">
        <v>5193</v>
      </c>
      <c r="H719" s="412">
        <v>285.78399999999999</v>
      </c>
      <c r="I719" s="411">
        <v>10.308299999999999</v>
      </c>
      <c r="J719" s="411">
        <v>39.086399999999998</v>
      </c>
      <c r="K719" s="411">
        <v>3924.1047100000001</v>
      </c>
      <c r="L719" s="526" t="s">
        <v>554</v>
      </c>
      <c r="M719" s="409" t="s">
        <v>586</v>
      </c>
      <c r="N719" s="195"/>
    </row>
    <row r="720" spans="1:14" ht="15" x14ac:dyDescent="0.25">
      <c r="A720" s="410">
        <v>276745</v>
      </c>
      <c r="B720" t="str">
        <f t="shared" si="24"/>
        <v>SEVROLL 04291 Elegant II spodné vedenie  2,35m biela lesk</v>
      </c>
      <c r="C720" s="198">
        <f t="shared" si="25"/>
        <v>14.79285</v>
      </c>
      <c r="D720" s="526" t="s">
        <v>3244</v>
      </c>
      <c r="E720" s="526" t="s">
        <v>5194</v>
      </c>
      <c r="F720" s="526" t="s">
        <v>5195</v>
      </c>
      <c r="G720" s="526" t="s">
        <v>5196</v>
      </c>
      <c r="H720" s="412">
        <v>409.38558</v>
      </c>
      <c r="I720" s="411">
        <v>14.79285</v>
      </c>
      <c r="J720" s="411">
        <v>56.242800000000003</v>
      </c>
      <c r="K720" s="411">
        <v>5631.26206</v>
      </c>
      <c r="L720" s="526" t="s">
        <v>553</v>
      </c>
      <c r="M720" s="409" t="s">
        <v>586</v>
      </c>
      <c r="N720" s="195"/>
    </row>
    <row r="721" spans="1:14" ht="15" x14ac:dyDescent="0.25">
      <c r="A721" s="410">
        <v>205079</v>
      </c>
      <c r="B721" t="str">
        <f t="shared" si="24"/>
        <v>SEVROLL 04339 Elegant II spodné vedenie  2,35m čierna  kartáčovaná</v>
      </c>
      <c r="C721" s="198">
        <f t="shared" si="25"/>
        <v>21.2836</v>
      </c>
      <c r="D721" s="526" t="s">
        <v>2981</v>
      </c>
      <c r="E721" s="526" t="s">
        <v>5197</v>
      </c>
      <c r="F721" s="526" t="s">
        <v>5198</v>
      </c>
      <c r="G721" s="526" t="s">
        <v>5199</v>
      </c>
      <c r="H721" s="412">
        <v>589.32232999999997</v>
      </c>
      <c r="I721" s="411">
        <v>21.2836</v>
      </c>
      <c r="J721" s="411">
        <v>76.367400000000004</v>
      </c>
      <c r="K721" s="411">
        <v>8102.1224899999997</v>
      </c>
      <c r="L721" s="526" t="s">
        <v>553</v>
      </c>
      <c r="M721" s="409" t="s">
        <v>586</v>
      </c>
      <c r="N721" s="195"/>
    </row>
    <row r="722" spans="1:14" ht="15" x14ac:dyDescent="0.25">
      <c r="A722" s="410">
        <v>120869</v>
      </c>
      <c r="B722" t="str">
        <f t="shared" si="24"/>
        <v>SEVROLL 04334-Y Elegant II spodné vedenie  2,35m oliva kartáčovaná</v>
      </c>
      <c r="C722" s="198">
        <f t="shared" si="25"/>
        <v>21.2836</v>
      </c>
      <c r="D722" s="526" t="s">
        <v>2851</v>
      </c>
      <c r="E722" s="526" t="s">
        <v>5200</v>
      </c>
      <c r="F722" s="526" t="s">
        <v>5201</v>
      </c>
      <c r="G722" s="526" t="s">
        <v>5202</v>
      </c>
      <c r="H722" s="412">
        <v>589.32232999999997</v>
      </c>
      <c r="I722" s="411">
        <v>21.2836</v>
      </c>
      <c r="J722" s="411">
        <v>76.367400000000004</v>
      </c>
      <c r="K722" s="411">
        <v>8102.1224899999997</v>
      </c>
      <c r="L722" s="526" t="s">
        <v>553</v>
      </c>
      <c r="M722" s="409" t="s">
        <v>586</v>
      </c>
      <c r="N722" s="195"/>
    </row>
    <row r="723" spans="1:14" ht="15" x14ac:dyDescent="0.25">
      <c r="A723" s="410">
        <v>205078</v>
      </c>
      <c r="B723" t="str">
        <f t="shared" si="24"/>
        <v>SEVROLL 04344 Elegant II spodné vedenie 2,35m oliva tmavá kartáčovaná</v>
      </c>
      <c r="C723" s="198">
        <f t="shared" si="25"/>
        <v>21.2836</v>
      </c>
      <c r="D723" s="526" t="s">
        <v>2980</v>
      </c>
      <c r="E723" s="526" t="s">
        <v>5203</v>
      </c>
      <c r="F723" s="526" t="s">
        <v>5204</v>
      </c>
      <c r="G723" s="526" t="s">
        <v>5205</v>
      </c>
      <c r="H723" s="412">
        <v>589.32232999999997</v>
      </c>
      <c r="I723" s="411">
        <v>21.2836</v>
      </c>
      <c r="J723" s="411">
        <v>76.367400000000004</v>
      </c>
      <c r="K723" s="411">
        <v>8102.1224899999997</v>
      </c>
      <c r="L723" s="526" t="s">
        <v>554</v>
      </c>
      <c r="M723" s="409" t="s">
        <v>586</v>
      </c>
      <c r="N723" s="195"/>
    </row>
    <row r="724" spans="1:14" ht="15" x14ac:dyDescent="0.25">
      <c r="A724" s="410">
        <v>84388</v>
      </c>
      <c r="B724" t="str">
        <f t="shared" si="24"/>
        <v>SEVROLL 04280 Elegant II spodné vedenie  2,35m strieborná</v>
      </c>
      <c r="C724" s="198">
        <f t="shared" si="25"/>
        <v>11.37912</v>
      </c>
      <c r="D724" s="526" t="s">
        <v>2766</v>
      </c>
      <c r="E724" s="526" t="s">
        <v>5206</v>
      </c>
      <c r="F724" s="526" t="s">
        <v>5207</v>
      </c>
      <c r="G724" s="526" t="s">
        <v>5208</v>
      </c>
      <c r="H724" s="412">
        <v>315.07686000000001</v>
      </c>
      <c r="I724" s="411">
        <v>11.37912</v>
      </c>
      <c r="J724" s="411">
        <v>43.278599999999997</v>
      </c>
      <c r="K724" s="411">
        <v>4331.7402099999999</v>
      </c>
      <c r="L724" s="526" t="s">
        <v>710</v>
      </c>
      <c r="M724" s="409" t="s">
        <v>586</v>
      </c>
      <c r="N724" s="195"/>
    </row>
    <row r="725" spans="1:14" ht="15" x14ac:dyDescent="0.25">
      <c r="A725" s="410">
        <v>252568</v>
      </c>
      <c r="B725" t="str">
        <f t="shared" si="24"/>
        <v>SEVROLL 04292 Elegant II spodné vedenie  3m biela lesk</v>
      </c>
      <c r="C725" s="198">
        <f t="shared" si="25"/>
        <v>18.777889999999999</v>
      </c>
      <c r="D725" s="526" t="s">
        <v>3220</v>
      </c>
      <c r="E725" s="526" t="s">
        <v>5209</v>
      </c>
      <c r="F725" s="526" t="s">
        <v>5210</v>
      </c>
      <c r="G725" s="526" t="s">
        <v>5211</v>
      </c>
      <c r="H725" s="412">
        <v>520.12688000000003</v>
      </c>
      <c r="I725" s="411">
        <v>18.777889999999999</v>
      </c>
      <c r="J725" s="411">
        <v>71.808000000000007</v>
      </c>
      <c r="K725" s="411">
        <v>7148.2553099999996</v>
      </c>
      <c r="L725" s="526" t="s">
        <v>553</v>
      </c>
      <c r="M725" s="409" t="s">
        <v>586</v>
      </c>
      <c r="N725" s="195"/>
    </row>
    <row r="726" spans="1:14" ht="15" x14ac:dyDescent="0.25">
      <c r="A726" s="410">
        <v>276743</v>
      </c>
      <c r="B726" t="str">
        <f t="shared" si="24"/>
        <v>SEVROLL 04437 Elegant II spodné vedenie  3m biela mat</v>
      </c>
      <c r="C726" s="198">
        <f t="shared" si="25"/>
        <v>18.777889999999999</v>
      </c>
      <c r="D726" s="526" t="s">
        <v>3242</v>
      </c>
      <c r="E726" s="526" t="s">
        <v>5212</v>
      </c>
      <c r="F726" s="526" t="s">
        <v>5213</v>
      </c>
      <c r="G726" s="526" t="s">
        <v>5214</v>
      </c>
      <c r="H726" s="412">
        <v>520.12688000000003</v>
      </c>
      <c r="I726" s="411">
        <v>18.777889999999999</v>
      </c>
      <c r="J726" s="411">
        <v>71.808000000000007</v>
      </c>
      <c r="K726" s="411">
        <v>7148.2553099999996</v>
      </c>
      <c r="L726" s="526" t="s">
        <v>553</v>
      </c>
      <c r="M726" s="409" t="s">
        <v>586</v>
      </c>
      <c r="N726" s="195"/>
    </row>
    <row r="727" spans="1:14" ht="15" x14ac:dyDescent="0.25">
      <c r="A727" s="410">
        <v>205186</v>
      </c>
      <c r="B727" t="str">
        <f t="shared" si="24"/>
        <v>SEVROLL 04340 Elegant II spodné vedenie  3m čierna  kartáčovaná</v>
      </c>
      <c r="C727" s="198">
        <f t="shared" si="25"/>
        <v>27.170559999999998</v>
      </c>
      <c r="D727" s="526" t="s">
        <v>3009</v>
      </c>
      <c r="E727" s="526" t="s">
        <v>5215</v>
      </c>
      <c r="F727" s="526" t="s">
        <v>5216</v>
      </c>
      <c r="G727" s="526" t="s">
        <v>5217</v>
      </c>
      <c r="H727" s="412">
        <v>752.32637999999997</v>
      </c>
      <c r="I727" s="411">
        <v>27.170559999999998</v>
      </c>
      <c r="J727" s="411">
        <v>97.675200000000004</v>
      </c>
      <c r="K727" s="411">
        <v>10343.134470000001</v>
      </c>
      <c r="L727" s="526" t="s">
        <v>553</v>
      </c>
      <c r="M727" s="409" t="s">
        <v>586</v>
      </c>
      <c r="N727" s="195"/>
    </row>
    <row r="728" spans="1:14" ht="15" x14ac:dyDescent="0.25">
      <c r="A728" s="410">
        <v>120870</v>
      </c>
      <c r="B728" t="str">
        <f t="shared" si="24"/>
        <v>SEVROLL 04335-Y Elegant II spodné vedenie  3m oliva kartáčovaná</v>
      </c>
      <c r="C728" s="198">
        <f t="shared" si="25"/>
        <v>27.170559999999998</v>
      </c>
      <c r="D728" s="526" t="s">
        <v>2852</v>
      </c>
      <c r="E728" s="526" t="s">
        <v>5218</v>
      </c>
      <c r="F728" s="526" t="s">
        <v>5219</v>
      </c>
      <c r="G728" s="526" t="s">
        <v>5220</v>
      </c>
      <c r="H728" s="412">
        <v>752.32637999999997</v>
      </c>
      <c r="I728" s="411">
        <v>27.170559999999998</v>
      </c>
      <c r="J728" s="411">
        <v>97.675200000000004</v>
      </c>
      <c r="K728" s="411">
        <v>10343.134470000001</v>
      </c>
      <c r="L728" s="526" t="s">
        <v>553</v>
      </c>
      <c r="M728" s="409" t="s">
        <v>586</v>
      </c>
      <c r="N728" s="195"/>
    </row>
    <row r="729" spans="1:14" ht="15" x14ac:dyDescent="0.25">
      <c r="A729" s="410">
        <v>205098</v>
      </c>
      <c r="B729" t="str">
        <f t="shared" si="24"/>
        <v>SEVROLL 04345 Elegant II spodné vedenie 3m oliva tmavá kartáčovaná</v>
      </c>
      <c r="C729" s="198">
        <f t="shared" si="25"/>
        <v>27.170559999999998</v>
      </c>
      <c r="D729" s="526" t="s">
        <v>2986</v>
      </c>
      <c r="E729" s="526" t="s">
        <v>5221</v>
      </c>
      <c r="F729" s="526" t="s">
        <v>5222</v>
      </c>
      <c r="G729" s="526" t="s">
        <v>5223</v>
      </c>
      <c r="H729" s="412">
        <v>752.32637999999997</v>
      </c>
      <c r="I729" s="411">
        <v>27.170559999999998</v>
      </c>
      <c r="J729" s="411">
        <v>97.675200000000004</v>
      </c>
      <c r="K729" s="411">
        <v>10343.134470000001</v>
      </c>
      <c r="L729" s="526" t="s">
        <v>554</v>
      </c>
      <c r="M729" s="409" t="s">
        <v>586</v>
      </c>
      <c r="N729" s="195"/>
    </row>
    <row r="730" spans="1:14" ht="15" x14ac:dyDescent="0.25">
      <c r="A730" s="410">
        <v>84391</v>
      </c>
      <c r="B730" t="str">
        <f t="shared" si="24"/>
        <v>SEVROLL 04281 Elegant II spodné vedenie  3m strieborná</v>
      </c>
      <c r="C730" s="198">
        <f t="shared" si="25"/>
        <v>14.444509999999999</v>
      </c>
      <c r="D730" s="526" t="s">
        <v>2769</v>
      </c>
      <c r="E730" s="526" t="s">
        <v>5224</v>
      </c>
      <c r="F730" s="526" t="s">
        <v>5225</v>
      </c>
      <c r="G730" s="526" t="s">
        <v>5226</v>
      </c>
      <c r="H730" s="412">
        <v>397.23975999999999</v>
      </c>
      <c r="I730" s="411">
        <v>14.444509999999999</v>
      </c>
      <c r="J730" s="411">
        <v>55.212600000000002</v>
      </c>
      <c r="K730" s="411">
        <v>5498.65787</v>
      </c>
      <c r="L730" s="526" t="s">
        <v>710</v>
      </c>
      <c r="M730" s="409" t="s">
        <v>586</v>
      </c>
      <c r="N730" s="195"/>
    </row>
    <row r="731" spans="1:14" ht="15" x14ac:dyDescent="0.25">
      <c r="A731" s="410">
        <v>276746</v>
      </c>
      <c r="B731" t="str">
        <f t="shared" si="24"/>
        <v>SEVROLL 04293 Elegant II spodné vedenie  4,05m biela lesk</v>
      </c>
      <c r="C731" s="198">
        <f t="shared" si="25"/>
        <v>25.449750000000002</v>
      </c>
      <c r="D731" s="526" t="s">
        <v>3245</v>
      </c>
      <c r="E731" s="526" t="s">
        <v>5227</v>
      </c>
      <c r="F731" s="526" t="s">
        <v>5228</v>
      </c>
      <c r="G731" s="526" t="s">
        <v>5229</v>
      </c>
      <c r="H731" s="412">
        <v>704.45755999999994</v>
      </c>
      <c r="I731" s="411">
        <v>25.449750000000002</v>
      </c>
      <c r="J731" s="411">
        <v>96.930599999999998</v>
      </c>
      <c r="K731" s="411">
        <v>9688.0696700000008</v>
      </c>
      <c r="L731" s="526" t="s">
        <v>553</v>
      </c>
      <c r="M731" s="409" t="s">
        <v>586</v>
      </c>
      <c r="N731" s="195"/>
    </row>
    <row r="732" spans="1:14" ht="15" x14ac:dyDescent="0.25">
      <c r="A732" s="410">
        <v>205088</v>
      </c>
      <c r="B732" t="str">
        <f t="shared" ref="B732:B795" si="26">IF($A$2=1,D732,IF($A$2=2,F732,IF($A$2=3,G732,IF($A$2=4,E732,"zadat jazyk"))))</f>
        <v>SEVROLL 04341 Elegant II spodné vedenie  4,05m čierna  kartáčovaná</v>
      </c>
      <c r="C732" s="198">
        <f t="shared" si="25"/>
        <v>36.680259999999997</v>
      </c>
      <c r="D732" s="526" t="s">
        <v>2983</v>
      </c>
      <c r="E732" s="526" t="s">
        <v>5230</v>
      </c>
      <c r="F732" s="526" t="s">
        <v>5231</v>
      </c>
      <c r="G732" s="526" t="s">
        <v>5232</v>
      </c>
      <c r="H732" s="412">
        <v>1015.96212</v>
      </c>
      <c r="I732" s="411">
        <v>36.680259999999997</v>
      </c>
      <c r="J732" s="411">
        <v>131.8554</v>
      </c>
      <c r="K732" s="411">
        <v>13963.23186</v>
      </c>
      <c r="L732" s="526" t="s">
        <v>553</v>
      </c>
      <c r="M732" s="409" t="s">
        <v>586</v>
      </c>
      <c r="N732" s="195"/>
    </row>
    <row r="733" spans="1:14" ht="15" x14ac:dyDescent="0.25">
      <c r="A733" s="410">
        <v>120871</v>
      </c>
      <c r="B733" t="str">
        <f t="shared" si="26"/>
        <v>SEVROLL 04336-Y Elegant II spodné vedenie  4,05m oliva kartáčovaná</v>
      </c>
      <c r="C733" s="198">
        <f t="shared" si="25"/>
        <v>36.680259999999997</v>
      </c>
      <c r="D733" s="526" t="s">
        <v>2853</v>
      </c>
      <c r="E733" s="526" t="s">
        <v>5233</v>
      </c>
      <c r="F733" s="526" t="s">
        <v>5234</v>
      </c>
      <c r="G733" s="526" t="s">
        <v>5235</v>
      </c>
      <c r="H733" s="412">
        <v>1015.96212</v>
      </c>
      <c r="I733" s="411">
        <v>36.680259999999997</v>
      </c>
      <c r="J733" s="411">
        <v>131.8554</v>
      </c>
      <c r="K733" s="411">
        <v>13963.23186</v>
      </c>
      <c r="L733" s="526" t="s">
        <v>554</v>
      </c>
      <c r="M733" s="409" t="s">
        <v>586</v>
      </c>
      <c r="N733" s="195"/>
    </row>
    <row r="734" spans="1:14" ht="15" x14ac:dyDescent="0.25">
      <c r="A734" s="410">
        <v>205087</v>
      </c>
      <c r="B734" t="str">
        <f t="shared" si="26"/>
        <v>SEVROLL 04346 Elegant II spodné vedenie 4,05m oliva tmavá kartáčovaná</v>
      </c>
      <c r="C734" s="198">
        <f t="shared" si="25"/>
        <v>36.680259999999997</v>
      </c>
      <c r="D734" s="526" t="s">
        <v>2982</v>
      </c>
      <c r="E734" s="526" t="s">
        <v>5236</v>
      </c>
      <c r="F734" s="526" t="s">
        <v>5237</v>
      </c>
      <c r="G734" s="526" t="s">
        <v>5238</v>
      </c>
      <c r="H734" s="412">
        <v>1015.96212</v>
      </c>
      <c r="I734" s="411">
        <v>36.680259999999997</v>
      </c>
      <c r="J734" s="411">
        <v>131.8554</v>
      </c>
      <c r="K734" s="411">
        <v>13963.23186</v>
      </c>
      <c r="L734" s="526" t="s">
        <v>554</v>
      </c>
      <c r="M734" s="409" t="s">
        <v>586</v>
      </c>
      <c r="N734" s="195"/>
    </row>
    <row r="735" spans="1:14" ht="15" x14ac:dyDescent="0.25">
      <c r="A735" s="410">
        <v>84394</v>
      </c>
      <c r="B735" t="str">
        <f t="shared" si="26"/>
        <v>SEVROLL 04282 Elegant II spodné vedenie  4,05m strieborná</v>
      </c>
      <c r="C735" s="198">
        <f t="shared" si="25"/>
        <v>19.576750000000001</v>
      </c>
      <c r="D735" s="526" t="s">
        <v>2772</v>
      </c>
      <c r="E735" s="526" t="s">
        <v>5239</v>
      </c>
      <c r="F735" s="526" t="s">
        <v>5240</v>
      </c>
      <c r="G735" s="526" t="s">
        <v>5241</v>
      </c>
      <c r="H735" s="412">
        <v>542.27513999999996</v>
      </c>
      <c r="I735" s="411">
        <v>19.576750000000001</v>
      </c>
      <c r="J735" s="411">
        <v>74.572199999999995</v>
      </c>
      <c r="K735" s="411">
        <v>7452.3609999999999</v>
      </c>
      <c r="L735" s="526" t="s">
        <v>710</v>
      </c>
      <c r="M735" s="409" t="s">
        <v>586</v>
      </c>
      <c r="N735" s="195"/>
    </row>
    <row r="736" spans="1:14" ht="15" x14ac:dyDescent="0.25">
      <c r="A736" s="410">
        <v>225369</v>
      </c>
      <c r="B736" t="str">
        <f t="shared" si="26"/>
        <v>SEVROLL Elegant II spodné vedenie 6m čierna kartáčovaná</v>
      </c>
      <c r="C736" s="198">
        <f t="shared" si="25"/>
        <v>54.341119999999997</v>
      </c>
      <c r="D736" s="526" t="s">
        <v>3155</v>
      </c>
      <c r="E736" s="526" t="s">
        <v>5242</v>
      </c>
      <c r="F736" s="526" t="s">
        <v>5243</v>
      </c>
      <c r="G736" s="526" t="s">
        <v>5244</v>
      </c>
      <c r="H736" s="412">
        <v>1504.6527599999999</v>
      </c>
      <c r="I736" s="411">
        <v>54.341119999999997</v>
      </c>
      <c r="J736" s="411">
        <v>195.35040000000001</v>
      </c>
      <c r="K736" s="411">
        <v>20686.26931</v>
      </c>
      <c r="L736" s="526" t="s">
        <v>553</v>
      </c>
      <c r="M736" s="409" t="s">
        <v>586</v>
      </c>
      <c r="N736" s="195"/>
    </row>
    <row r="737" spans="1:14" ht="15" x14ac:dyDescent="0.25">
      <c r="A737" s="410">
        <v>225367</v>
      </c>
      <c r="B737" t="str">
        <f t="shared" si="26"/>
        <v>SEVROLL Elegant II spodné vedenie 6m oliva kartáčovaná</v>
      </c>
      <c r="C737" s="198">
        <f t="shared" si="25"/>
        <v>54.341119999999997</v>
      </c>
      <c r="D737" s="526" t="s">
        <v>3153</v>
      </c>
      <c r="E737" s="526" t="s">
        <v>5245</v>
      </c>
      <c r="F737" s="526" t="s">
        <v>5246</v>
      </c>
      <c r="G737" s="526" t="s">
        <v>5247</v>
      </c>
      <c r="H737" s="412">
        <v>1504.6527599999999</v>
      </c>
      <c r="I737" s="411">
        <v>54.341119999999997</v>
      </c>
      <c r="J737" s="411">
        <v>195.35040000000001</v>
      </c>
      <c r="K737" s="411">
        <v>20686.26931</v>
      </c>
      <c r="L737" s="526" t="s">
        <v>554</v>
      </c>
      <c r="M737" s="409" t="s">
        <v>586</v>
      </c>
      <c r="N737" s="195"/>
    </row>
    <row r="738" spans="1:14" ht="15" x14ac:dyDescent="0.25">
      <c r="A738" s="410">
        <v>225368</v>
      </c>
      <c r="B738" t="str">
        <f t="shared" si="26"/>
        <v>SEVROLL Elegant II spodné vedenie 6m oliva tmavá kartáčovaná</v>
      </c>
      <c r="C738" s="198">
        <f t="shared" si="25"/>
        <v>54.341119999999997</v>
      </c>
      <c r="D738" s="526" t="s">
        <v>3154</v>
      </c>
      <c r="E738" s="526" t="s">
        <v>5248</v>
      </c>
      <c r="F738" s="526" t="s">
        <v>5249</v>
      </c>
      <c r="G738" s="526" t="s">
        <v>5250</v>
      </c>
      <c r="H738" s="412">
        <v>1504.6527599999999</v>
      </c>
      <c r="I738" s="411">
        <v>54.341119999999997</v>
      </c>
      <c r="J738" s="411">
        <v>195.35040000000001</v>
      </c>
      <c r="K738" s="411">
        <v>20686.26931</v>
      </c>
      <c r="L738" s="526" t="s">
        <v>554</v>
      </c>
      <c r="M738" s="409" t="s">
        <v>586</v>
      </c>
      <c r="N738" s="195"/>
    </row>
    <row r="739" spans="1:14" ht="15" x14ac:dyDescent="0.25">
      <c r="A739" s="410">
        <v>350687</v>
      </c>
      <c r="B739" t="str">
        <f t="shared" si="26"/>
        <v>SEVROLL 04284 Elegant II spodné vedenie 6m strieborná</v>
      </c>
      <c r="C739" s="198">
        <f t="shared" si="25"/>
        <v>28.91226</v>
      </c>
      <c r="D739" s="526" t="s">
        <v>3452</v>
      </c>
      <c r="E739" s="526" t="s">
        <v>5251</v>
      </c>
      <c r="F739" s="526" t="s">
        <v>5252</v>
      </c>
      <c r="G739" s="526" t="s">
        <v>5253</v>
      </c>
      <c r="H739" s="412">
        <v>800.90966000000003</v>
      </c>
      <c r="I739" s="411">
        <v>28.91226</v>
      </c>
      <c r="J739" s="411">
        <v>110.4456</v>
      </c>
      <c r="K739" s="411">
        <v>11006.15612</v>
      </c>
      <c r="L739" s="526" t="s">
        <v>553</v>
      </c>
      <c r="M739" s="409" t="s">
        <v>586</v>
      </c>
      <c r="N739" s="195"/>
    </row>
    <row r="740" spans="1:14" ht="15" x14ac:dyDescent="0.25">
      <c r="A740" s="410">
        <v>308688</v>
      </c>
      <c r="B740" t="e">
        <f t="shared" si="26"/>
        <v>#N/A</v>
      </c>
      <c r="C740" s="198" t="e">
        <f t="shared" si="25"/>
        <v>#N/A</v>
      </c>
      <c r="D740" s="526" t="e">
        <v>#N/A</v>
      </c>
      <c r="E740" s="526" t="e">
        <v>#N/A</v>
      </c>
      <c r="F740" s="526" t="e">
        <v>#N/A</v>
      </c>
      <c r="G740" s="526" t="e">
        <v>#N/A</v>
      </c>
      <c r="H740" s="412" t="e">
        <v>#N/A</v>
      </c>
      <c r="I740" s="411" t="e">
        <v>#N/A</v>
      </c>
      <c r="J740" s="411" t="e">
        <v>#N/A</v>
      </c>
      <c r="K740" s="411" t="e">
        <v>#N/A</v>
      </c>
      <c r="L740" s="526" t="e">
        <v>#N/A</v>
      </c>
      <c r="M740" s="409" t="s">
        <v>586</v>
      </c>
      <c r="N740" s="195"/>
    </row>
    <row r="741" spans="1:14" ht="15" x14ac:dyDescent="0.25">
      <c r="A741" s="410">
        <v>223550</v>
      </c>
      <c r="B741" t="str">
        <f t="shared" si="26"/>
        <v>SEVROLL Fala úchytová lišta 10mm 2,70m oliva</v>
      </c>
      <c r="C741" s="198">
        <f t="shared" si="25"/>
        <v>14.03683</v>
      </c>
      <c r="D741" s="526" t="s">
        <v>3095</v>
      </c>
      <c r="E741" s="526" t="s">
        <v>5254</v>
      </c>
      <c r="F741" s="526" t="s">
        <v>1193</v>
      </c>
      <c r="G741" s="526" t="s">
        <v>5255</v>
      </c>
      <c r="H741" s="412">
        <v>384.47199999999998</v>
      </c>
      <c r="I741" s="411">
        <v>14.03683</v>
      </c>
      <c r="J741" s="411">
        <v>52.309190000000001</v>
      </c>
      <c r="K741" s="411">
        <v>5452.5119299999997</v>
      </c>
      <c r="L741" s="526" t="s">
        <v>710</v>
      </c>
      <c r="M741" s="409" t="s">
        <v>586</v>
      </c>
      <c r="N741" s="195"/>
    </row>
    <row r="742" spans="1:14" ht="15" x14ac:dyDescent="0.25">
      <c r="A742" s="410">
        <v>215233</v>
      </c>
      <c r="B742" t="str">
        <f t="shared" si="26"/>
        <v>SEVROLL Fala úch.lišta 10mm 2,70m strieborná</v>
      </c>
      <c r="C742" s="198">
        <f t="shared" si="25"/>
        <v>11.843579999999999</v>
      </c>
      <c r="D742" s="526" t="s">
        <v>3033</v>
      </c>
      <c r="E742" s="526" t="s">
        <v>5256</v>
      </c>
      <c r="F742" s="526" t="s">
        <v>1278</v>
      </c>
      <c r="G742" s="526" t="s">
        <v>5257</v>
      </c>
      <c r="H742" s="412">
        <v>324.39825000000002</v>
      </c>
      <c r="I742" s="411">
        <v>11.843579999999999</v>
      </c>
      <c r="J742" s="411">
        <v>45.41854</v>
      </c>
      <c r="K742" s="411">
        <v>4600.5569299999997</v>
      </c>
      <c r="L742" s="526" t="s">
        <v>553</v>
      </c>
      <c r="M742" s="409" t="s">
        <v>586</v>
      </c>
      <c r="N742" s="195"/>
    </row>
    <row r="743" spans="1:14" ht="15" x14ac:dyDescent="0.25">
      <c r="A743" s="410">
        <v>135706</v>
      </c>
      <c r="B743" t="str">
        <f t="shared" si="26"/>
        <v>SEVROLL 04551 Faworyt II úchytová lišta 2,7m oliva</v>
      </c>
      <c r="C743" s="198">
        <f t="shared" si="25"/>
        <v>15.997859999999999</v>
      </c>
      <c r="D743" s="526" t="s">
        <v>2899</v>
      </c>
      <c r="E743" s="526" t="s">
        <v>5258</v>
      </c>
      <c r="F743" s="526" t="s">
        <v>2899</v>
      </c>
      <c r="G743" s="526" t="s">
        <v>5259</v>
      </c>
      <c r="H743" s="412">
        <v>442.96519999999998</v>
      </c>
      <c r="I743" s="411">
        <v>15.997859999999999</v>
      </c>
      <c r="J743" s="411">
        <v>54.325600000000001</v>
      </c>
      <c r="K743" s="411">
        <v>6089.9748</v>
      </c>
      <c r="L743" s="526" t="s">
        <v>553</v>
      </c>
      <c r="M743" s="409" t="s">
        <v>586</v>
      </c>
      <c r="N743" s="195"/>
    </row>
    <row r="744" spans="1:14" ht="15" x14ac:dyDescent="0.25">
      <c r="A744" s="410">
        <v>179196</v>
      </c>
      <c r="B744" t="str">
        <f t="shared" si="26"/>
        <v>SEVROLL 04552 Faworyt II úchytová lišta 2,7m strieborná</v>
      </c>
      <c r="C744" s="198">
        <f t="shared" si="25"/>
        <v>12.478339999999999</v>
      </c>
      <c r="D744" s="526" t="s">
        <v>2929</v>
      </c>
      <c r="E744" s="526" t="s">
        <v>5260</v>
      </c>
      <c r="F744" s="526" t="s">
        <v>5261</v>
      </c>
      <c r="G744" s="526" t="s">
        <v>5262</v>
      </c>
      <c r="H744" s="412">
        <v>345.79863999999998</v>
      </c>
      <c r="I744" s="411">
        <v>12.478339999999999</v>
      </c>
      <c r="J744" s="411">
        <v>46.195799999999998</v>
      </c>
      <c r="K744" s="411">
        <v>4750.1802500000003</v>
      </c>
      <c r="L744" s="526" t="s">
        <v>553</v>
      </c>
      <c r="M744" s="409" t="s">
        <v>586</v>
      </c>
      <c r="N744" s="195"/>
    </row>
    <row r="745" spans="1:14" ht="15" x14ac:dyDescent="0.25">
      <c r="A745" s="410">
        <v>98050</v>
      </c>
      <c r="B745" t="e">
        <f t="shared" si="26"/>
        <v>#N/A</v>
      </c>
      <c r="C745" s="198" t="e">
        <f t="shared" si="25"/>
        <v>#N/A</v>
      </c>
      <c r="D745" s="526" t="e">
        <v>#N/A</v>
      </c>
      <c r="E745" s="526" t="e">
        <v>#N/A</v>
      </c>
      <c r="F745" s="526" t="e">
        <v>#N/A</v>
      </c>
      <c r="G745" s="526" t="e">
        <v>#N/A</v>
      </c>
      <c r="H745" s="412" t="e">
        <v>#N/A</v>
      </c>
      <c r="I745" s="411" t="e">
        <v>#N/A</v>
      </c>
      <c r="J745" s="411" t="e">
        <v>#N/A</v>
      </c>
      <c r="K745" s="411" t="e">
        <v>#N/A</v>
      </c>
      <c r="L745" s="526" t="e">
        <v>#N/A</v>
      </c>
      <c r="M745" s="409" t="s">
        <v>586</v>
      </c>
      <c r="N745" s="195"/>
    </row>
    <row r="746" spans="1:14" ht="15" x14ac:dyDescent="0.25">
      <c r="A746" s="410">
        <v>89102</v>
      </c>
      <c r="B746" t="e">
        <f t="shared" si="26"/>
        <v>#N/A</v>
      </c>
      <c r="C746" s="198" t="e">
        <f t="shared" si="25"/>
        <v>#N/A</v>
      </c>
      <c r="D746" s="526" t="e">
        <v>#N/A</v>
      </c>
      <c r="E746" s="526" t="e">
        <v>#N/A</v>
      </c>
      <c r="F746" s="526" t="e">
        <v>#N/A</v>
      </c>
      <c r="G746" s="526" t="e">
        <v>#N/A</v>
      </c>
      <c r="H746" s="412" t="e">
        <v>#N/A</v>
      </c>
      <c r="I746" s="411" t="e">
        <v>#N/A</v>
      </c>
      <c r="J746" s="411" t="e">
        <v>#N/A</v>
      </c>
      <c r="K746" s="411" t="e">
        <v>#N/A</v>
      </c>
      <c r="L746" s="526" t="e">
        <v>#N/A</v>
      </c>
      <c r="M746" s="409" t="s">
        <v>586</v>
      </c>
      <c r="N746" s="195"/>
    </row>
    <row r="747" spans="1:14" ht="15" x14ac:dyDescent="0.25">
      <c r="A747" s="410">
        <v>228023</v>
      </c>
      <c r="B747" t="str">
        <f t="shared" si="26"/>
        <v>SEVROLL 10196 Focus horný vozík 18mm 2ks</v>
      </c>
      <c r="C747" s="198">
        <f t="shared" si="25"/>
        <v>3.9014199999999999</v>
      </c>
      <c r="D747" s="526" t="s">
        <v>3171</v>
      </c>
      <c r="E747" s="526" t="s">
        <v>5263</v>
      </c>
      <c r="F747" s="526" t="s">
        <v>5264</v>
      </c>
      <c r="G747" s="526" t="s">
        <v>5265</v>
      </c>
      <c r="H747" s="412">
        <v>114.63227999999999</v>
      </c>
      <c r="I747" s="411">
        <v>3.9014199999999999</v>
      </c>
      <c r="J747" s="411">
        <v>13.907170000000001</v>
      </c>
      <c r="K747" s="411">
        <v>1515.4776999999999</v>
      </c>
      <c r="L747" s="526" t="s">
        <v>553</v>
      </c>
      <c r="M747" s="409" t="s">
        <v>587</v>
      </c>
      <c r="N747" s="195"/>
    </row>
    <row r="748" spans="1:14" ht="15" x14ac:dyDescent="0.25">
      <c r="A748" s="410">
        <v>284597</v>
      </c>
      <c r="B748" t="str">
        <f t="shared" si="26"/>
        <v>SEVROLL Focus II 16mm úchytová lišta 2,7m zlatá</v>
      </c>
      <c r="C748" s="198">
        <f t="shared" si="25"/>
        <v>10.527620000000001</v>
      </c>
      <c r="D748" s="526" t="s">
        <v>3282</v>
      </c>
      <c r="E748" s="526" t="s">
        <v>5266</v>
      </c>
      <c r="F748" s="526" t="s">
        <v>1192</v>
      </c>
      <c r="G748" s="526" t="s">
        <v>5267</v>
      </c>
      <c r="H748" s="412">
        <v>291.49968000000001</v>
      </c>
      <c r="I748" s="411">
        <v>10.527620000000001</v>
      </c>
      <c r="J748" s="411">
        <v>35.869160000000001</v>
      </c>
      <c r="K748" s="411">
        <v>4007.5961699999998</v>
      </c>
      <c r="L748" s="526" t="s">
        <v>554</v>
      </c>
      <c r="M748" s="409" t="s">
        <v>586</v>
      </c>
      <c r="N748" s="195"/>
    </row>
    <row r="749" spans="1:14" ht="15" x14ac:dyDescent="0.25">
      <c r="A749" s="410">
        <v>265065</v>
      </c>
      <c r="B749" t="str">
        <f t="shared" si="26"/>
        <v>SEVROLL 04379 Fox II úchytová lišta 2,7m biela lesk</v>
      </c>
      <c r="C749" s="198">
        <f t="shared" si="25"/>
        <v>21.41649</v>
      </c>
      <c r="D749" s="526" t="s">
        <v>3227</v>
      </c>
      <c r="E749" s="526" t="s">
        <v>5268</v>
      </c>
      <c r="F749" s="526" t="s">
        <v>5269</v>
      </c>
      <c r="G749" s="526" t="s">
        <v>5270</v>
      </c>
      <c r="H749" s="412">
        <v>593.0018</v>
      </c>
      <c r="I749" s="411">
        <v>21.41649</v>
      </c>
      <c r="J749" s="411">
        <v>80.416799999999995</v>
      </c>
      <c r="K749" s="411">
        <v>8152.7082</v>
      </c>
      <c r="L749" s="526" t="s">
        <v>553</v>
      </c>
      <c r="M749" s="409" t="s">
        <v>586</v>
      </c>
      <c r="N749" s="195"/>
    </row>
    <row r="750" spans="1:14" ht="15" x14ac:dyDescent="0.25">
      <c r="A750" s="410">
        <v>205077</v>
      </c>
      <c r="B750" t="str">
        <f t="shared" si="26"/>
        <v>SEVROLL 04375 Fox II úchytová lišta 2,7m čierna  kartáčovaná</v>
      </c>
      <c r="C750" s="198">
        <f t="shared" si="25"/>
        <v>24.956669999999999</v>
      </c>
      <c r="D750" s="526" t="s">
        <v>2979</v>
      </c>
      <c r="E750" s="526" t="s">
        <v>5271</v>
      </c>
      <c r="F750" s="526" t="s">
        <v>5272</v>
      </c>
      <c r="G750" s="526" t="s">
        <v>5273</v>
      </c>
      <c r="H750" s="412">
        <v>691.02571</v>
      </c>
      <c r="I750" s="411">
        <v>24.956669999999999</v>
      </c>
      <c r="J750" s="411">
        <v>90.198599999999999</v>
      </c>
      <c r="K750" s="411">
        <v>9500.3608600000007</v>
      </c>
      <c r="L750" s="526" t="s">
        <v>553</v>
      </c>
      <c r="M750" s="409" t="s">
        <v>586</v>
      </c>
      <c r="N750" s="195"/>
    </row>
    <row r="751" spans="1:14" ht="15" x14ac:dyDescent="0.25">
      <c r="A751" s="410">
        <v>96429</v>
      </c>
      <c r="B751" t="str">
        <f t="shared" si="26"/>
        <v>SEVROLL 04376-Y Fox II úchytová lišta 2,7m oliva kartáčovaná</v>
      </c>
      <c r="C751" s="198">
        <f t="shared" si="25"/>
        <v>24.956669999999999</v>
      </c>
      <c r="D751" s="526" t="s">
        <v>2807</v>
      </c>
      <c r="E751" s="526" t="s">
        <v>5274</v>
      </c>
      <c r="F751" s="526" t="s">
        <v>2807</v>
      </c>
      <c r="G751" s="526" t="s">
        <v>5275</v>
      </c>
      <c r="H751" s="412">
        <v>690.88282000000004</v>
      </c>
      <c r="I751" s="411">
        <v>24.956669999999999</v>
      </c>
      <c r="J751" s="411">
        <v>90.198599999999999</v>
      </c>
      <c r="K751" s="411">
        <v>9500.3608600000007</v>
      </c>
      <c r="L751" s="526" t="s">
        <v>553</v>
      </c>
      <c r="M751" s="409" t="s">
        <v>586</v>
      </c>
      <c r="N751" s="195"/>
    </row>
    <row r="752" spans="1:14" ht="15" x14ac:dyDescent="0.25">
      <c r="A752" s="410">
        <v>276751</v>
      </c>
      <c r="B752" t="str">
        <f t="shared" si="26"/>
        <v>SEVROLL 04059 Gemini horné vedenie  1,7m biela lesk</v>
      </c>
      <c r="C752" s="198">
        <f t="shared" si="25"/>
        <v>18.247890000000002</v>
      </c>
      <c r="D752" s="526" t="s">
        <v>3247</v>
      </c>
      <c r="E752" s="526" t="s">
        <v>5276</v>
      </c>
      <c r="F752" s="526" t="s">
        <v>5277</v>
      </c>
      <c r="G752" s="526" t="s">
        <v>5278</v>
      </c>
      <c r="H752" s="412">
        <v>505.12322</v>
      </c>
      <c r="I752" s="411">
        <v>18.247890000000002</v>
      </c>
      <c r="J752" s="411">
        <v>74.653800000000004</v>
      </c>
      <c r="K752" s="411">
        <v>6946.5004600000002</v>
      </c>
      <c r="L752" s="526" t="s">
        <v>553</v>
      </c>
      <c r="M752" s="409" t="s">
        <v>586</v>
      </c>
      <c r="N752" s="195"/>
    </row>
    <row r="753" spans="1:14" ht="15" x14ac:dyDescent="0.25">
      <c r="A753" s="410">
        <v>205163</v>
      </c>
      <c r="B753" t="str">
        <f t="shared" si="26"/>
        <v>SEVROLL Gemini horné vedenie 1,7m čierna kar</v>
      </c>
      <c r="C753" s="198">
        <f t="shared" si="25"/>
        <v>24.125810000000001</v>
      </c>
      <c r="D753" s="526" t="s">
        <v>2996</v>
      </c>
      <c r="E753" s="526" t="s">
        <v>5279</v>
      </c>
      <c r="F753" s="526" t="s">
        <v>1191</v>
      </c>
      <c r="G753" s="526" t="s">
        <v>5280</v>
      </c>
      <c r="H753" s="412">
        <v>668.02009999999996</v>
      </c>
      <c r="I753" s="411">
        <v>24.125810000000001</v>
      </c>
      <c r="J753" s="411">
        <v>84.170400000000001</v>
      </c>
      <c r="K753" s="411">
        <v>9184.0748999999996</v>
      </c>
      <c r="L753" s="526" t="s">
        <v>553</v>
      </c>
      <c r="M753" s="409" t="s">
        <v>586</v>
      </c>
      <c r="N753" s="195"/>
    </row>
    <row r="754" spans="1:14" ht="15" x14ac:dyDescent="0.25">
      <c r="A754" s="410">
        <v>119459</v>
      </c>
      <c r="B754" t="str">
        <f t="shared" si="26"/>
        <v>SEVROLL Gemini HORNÉ VEDENIE 1,70M OLIVA</v>
      </c>
      <c r="C754" s="198">
        <f t="shared" si="25"/>
        <v>24.125810000000001</v>
      </c>
      <c r="D754" s="526" t="s">
        <v>2845</v>
      </c>
      <c r="E754" s="526" t="s">
        <v>5281</v>
      </c>
      <c r="F754" s="526" t="s">
        <v>5282</v>
      </c>
      <c r="G754" s="526" t="s">
        <v>5283</v>
      </c>
      <c r="H754" s="412">
        <v>668.02009999999996</v>
      </c>
      <c r="I754" s="411">
        <v>24.125810000000001</v>
      </c>
      <c r="J754" s="411">
        <v>84.170400000000001</v>
      </c>
      <c r="K754" s="411">
        <v>9184.0748999999996</v>
      </c>
      <c r="L754" s="526" t="s">
        <v>553</v>
      </c>
      <c r="M754" s="409" t="s">
        <v>586</v>
      </c>
      <c r="N754" s="195"/>
    </row>
    <row r="755" spans="1:14" ht="15" x14ac:dyDescent="0.25">
      <c r="A755" s="410">
        <v>205162</v>
      </c>
      <c r="B755" t="str">
        <f t="shared" si="26"/>
        <v>SEVROLL 03119 Gemini horné vedenie 1,7m oliva tmavá kartáčovaná</v>
      </c>
      <c r="C755" s="198">
        <f t="shared" si="25"/>
        <v>24.125810000000001</v>
      </c>
      <c r="D755" s="526" t="s">
        <v>2995</v>
      </c>
      <c r="E755" s="526" t="s">
        <v>5284</v>
      </c>
      <c r="F755" s="526" t="s">
        <v>5285</v>
      </c>
      <c r="G755" s="526" t="s">
        <v>5286</v>
      </c>
      <c r="H755" s="412">
        <v>668.02009999999996</v>
      </c>
      <c r="I755" s="411">
        <v>24.125810000000001</v>
      </c>
      <c r="J755" s="411">
        <v>84.170400000000001</v>
      </c>
      <c r="K755" s="411">
        <v>9184.0748999999996</v>
      </c>
      <c r="L755" s="526" t="s">
        <v>554</v>
      </c>
      <c r="M755" s="409" t="s">
        <v>586</v>
      </c>
      <c r="N755" s="195"/>
    </row>
    <row r="756" spans="1:14" ht="15" x14ac:dyDescent="0.25">
      <c r="A756" s="410">
        <v>267882</v>
      </c>
      <c r="B756" t="str">
        <f t="shared" si="26"/>
        <v>SEVROLL 04060 Gemini horné vedenie  2,35m biela lesk</v>
      </c>
      <c r="C756" s="198">
        <f t="shared" si="25"/>
        <v>25.225020000000001</v>
      </c>
      <c r="D756" s="526" t="s">
        <v>3230</v>
      </c>
      <c r="E756" s="526" t="s">
        <v>5287</v>
      </c>
      <c r="F756" s="526" t="s">
        <v>5288</v>
      </c>
      <c r="G756" s="526" t="s">
        <v>5289</v>
      </c>
      <c r="H756" s="412">
        <v>698.74188000000004</v>
      </c>
      <c r="I756" s="411">
        <v>25.225020000000001</v>
      </c>
      <c r="J756" s="411">
        <v>103.20359999999999</v>
      </c>
      <c r="K756" s="411">
        <v>9602.5149299999994</v>
      </c>
      <c r="L756" s="526" t="s">
        <v>553</v>
      </c>
      <c r="M756" s="409" t="s">
        <v>586</v>
      </c>
      <c r="N756" s="195"/>
    </row>
    <row r="757" spans="1:14" ht="15" x14ac:dyDescent="0.25">
      <c r="A757" s="410">
        <v>205165</v>
      </c>
      <c r="B757" t="str">
        <f t="shared" si="26"/>
        <v>SEVROLL Gemini horné vedenie 2,35m čierna ka</v>
      </c>
      <c r="C757" s="198">
        <f t="shared" si="25"/>
        <v>33.337479999999999</v>
      </c>
      <c r="D757" s="526" t="s">
        <v>2998</v>
      </c>
      <c r="E757" s="526" t="s">
        <v>5290</v>
      </c>
      <c r="F757" s="526" t="s">
        <v>1275</v>
      </c>
      <c r="G757" s="526" t="s">
        <v>5291</v>
      </c>
      <c r="H757" s="412">
        <v>923.08231999999998</v>
      </c>
      <c r="I757" s="411">
        <v>33.337479999999999</v>
      </c>
      <c r="J757" s="411">
        <v>116.5962</v>
      </c>
      <c r="K757" s="411">
        <v>12690.72183</v>
      </c>
      <c r="L757" s="526" t="s">
        <v>553</v>
      </c>
      <c r="M757" s="409" t="s">
        <v>586</v>
      </c>
      <c r="N757" s="195"/>
    </row>
    <row r="758" spans="1:14" ht="15" x14ac:dyDescent="0.25">
      <c r="A758" s="410">
        <v>120864</v>
      </c>
      <c r="B758" t="str">
        <f t="shared" si="26"/>
        <v>SEVROLL Gemini horné vedenie 2,35M OLIVA</v>
      </c>
      <c r="C758" s="198">
        <f t="shared" si="25"/>
        <v>33.337479999999999</v>
      </c>
      <c r="D758" s="526" t="s">
        <v>2847</v>
      </c>
      <c r="E758" s="526" t="s">
        <v>5292</v>
      </c>
      <c r="F758" s="526" t="s">
        <v>5293</v>
      </c>
      <c r="G758" s="526" t="s">
        <v>5294</v>
      </c>
      <c r="H758" s="412">
        <v>923.08231999999998</v>
      </c>
      <c r="I758" s="411">
        <v>33.337479999999999</v>
      </c>
      <c r="J758" s="411">
        <v>116.5962</v>
      </c>
      <c r="K758" s="411">
        <v>12690.72183</v>
      </c>
      <c r="L758" s="526" t="s">
        <v>553</v>
      </c>
      <c r="M758" s="409" t="s">
        <v>586</v>
      </c>
      <c r="N758" s="195"/>
    </row>
    <row r="759" spans="1:14" ht="15" x14ac:dyDescent="0.25">
      <c r="A759" s="410">
        <v>205164</v>
      </c>
      <c r="B759" t="str">
        <f t="shared" si="26"/>
        <v>SEVROLL 03120 Gemini horné vedenie 2,35m oliva tmavá kartáčovaná</v>
      </c>
      <c r="C759" s="198">
        <f t="shared" si="25"/>
        <v>33.337479999999999</v>
      </c>
      <c r="D759" s="526" t="s">
        <v>2997</v>
      </c>
      <c r="E759" s="526" t="s">
        <v>5295</v>
      </c>
      <c r="F759" s="526" t="s">
        <v>5296</v>
      </c>
      <c r="G759" s="526" t="s">
        <v>5297</v>
      </c>
      <c r="H759" s="412">
        <v>923.08231999999998</v>
      </c>
      <c r="I759" s="411">
        <v>33.337479999999999</v>
      </c>
      <c r="J759" s="411">
        <v>116.5962</v>
      </c>
      <c r="K759" s="411">
        <v>12690.72183</v>
      </c>
      <c r="L759" s="526" t="s">
        <v>554</v>
      </c>
      <c r="M759" s="409" t="s">
        <v>586</v>
      </c>
      <c r="N759" s="195"/>
    </row>
    <row r="760" spans="1:14" ht="15" x14ac:dyDescent="0.25">
      <c r="A760" s="410">
        <v>252566</v>
      </c>
      <c r="B760" t="str">
        <f t="shared" si="26"/>
        <v>SEVROLL 04016 Gemini horné vedenie 3m biela lesk</v>
      </c>
      <c r="C760" s="198">
        <f t="shared" si="25"/>
        <v>32.20214</v>
      </c>
      <c r="D760" s="526" t="s">
        <v>3218</v>
      </c>
      <c r="E760" s="526" t="s">
        <v>5298</v>
      </c>
      <c r="F760" s="526" t="s">
        <v>5299</v>
      </c>
      <c r="G760" s="526" t="s">
        <v>5300</v>
      </c>
      <c r="H760" s="412">
        <v>891.64607999999998</v>
      </c>
      <c r="I760" s="411">
        <v>32.20214</v>
      </c>
      <c r="J760" s="411">
        <v>131.79419999999999</v>
      </c>
      <c r="K760" s="411">
        <v>12258.529769999999</v>
      </c>
      <c r="L760" s="526" t="s">
        <v>553</v>
      </c>
      <c r="M760" s="409" t="s">
        <v>586</v>
      </c>
      <c r="N760" s="195"/>
    </row>
    <row r="761" spans="1:14" ht="15" x14ac:dyDescent="0.25">
      <c r="A761" s="410">
        <v>205167</v>
      </c>
      <c r="B761" t="str">
        <f t="shared" si="26"/>
        <v>SEVROLL Gemini horné vedenie 3m čierna kartá</v>
      </c>
      <c r="C761" s="198">
        <f t="shared" si="25"/>
        <v>42.549149999999997</v>
      </c>
      <c r="D761" s="526" t="s">
        <v>3000</v>
      </c>
      <c r="E761" s="526" t="s">
        <v>5301</v>
      </c>
      <c r="F761" s="526" t="s">
        <v>1274</v>
      </c>
      <c r="G761" s="526" t="s">
        <v>5302</v>
      </c>
      <c r="H761" s="412">
        <v>1178.14454</v>
      </c>
      <c r="I761" s="411">
        <v>42.549149999999997</v>
      </c>
      <c r="J761" s="411">
        <v>148.83840000000001</v>
      </c>
      <c r="K761" s="411">
        <v>16197.36839</v>
      </c>
      <c r="L761" s="526" t="s">
        <v>553</v>
      </c>
      <c r="M761" s="409" t="s">
        <v>586</v>
      </c>
      <c r="N761" s="195"/>
    </row>
    <row r="762" spans="1:14" ht="15" x14ac:dyDescent="0.25">
      <c r="A762" s="410">
        <v>120865</v>
      </c>
      <c r="B762" t="str">
        <f t="shared" si="26"/>
        <v>SEVROLL Gemini horné vedenie 3M OLIVA KA</v>
      </c>
      <c r="C762" s="198">
        <f t="shared" si="25"/>
        <v>42.549149999999997</v>
      </c>
      <c r="D762" s="526" t="s">
        <v>2848</v>
      </c>
      <c r="E762" s="526" t="s">
        <v>5303</v>
      </c>
      <c r="F762" s="526" t="s">
        <v>5304</v>
      </c>
      <c r="G762" s="526" t="s">
        <v>5305</v>
      </c>
      <c r="H762" s="412">
        <v>1178.14454</v>
      </c>
      <c r="I762" s="411">
        <v>42.549149999999997</v>
      </c>
      <c r="J762" s="411">
        <v>148.83840000000001</v>
      </c>
      <c r="K762" s="411">
        <v>16197.36839</v>
      </c>
      <c r="L762" s="526" t="s">
        <v>553</v>
      </c>
      <c r="M762" s="409" t="s">
        <v>586</v>
      </c>
      <c r="N762" s="195"/>
    </row>
    <row r="763" spans="1:14" ht="15" x14ac:dyDescent="0.25">
      <c r="A763" s="410">
        <v>205166</v>
      </c>
      <c r="B763" t="str">
        <f t="shared" si="26"/>
        <v>SEVROLL 03121 Gemini horné vedenie 3m oliva tmavá kartáčovaná</v>
      </c>
      <c r="C763" s="198">
        <f t="shared" ref="C763:C826" si="27">IF($A$2=1,H763,IF($A$2=2,I763,IF($A$2=3,J763,IF($A$2=4,K763,"zadat jazyk"))))</f>
        <v>42.549149999999997</v>
      </c>
      <c r="D763" s="526" t="s">
        <v>2999</v>
      </c>
      <c r="E763" s="526" t="s">
        <v>5306</v>
      </c>
      <c r="F763" s="526" t="s">
        <v>5307</v>
      </c>
      <c r="G763" s="526" t="s">
        <v>5308</v>
      </c>
      <c r="H763" s="412">
        <v>1178.14454</v>
      </c>
      <c r="I763" s="411">
        <v>42.549149999999997</v>
      </c>
      <c r="J763" s="411">
        <v>148.83840000000001</v>
      </c>
      <c r="K763" s="411">
        <v>16197.36839</v>
      </c>
      <c r="L763" s="526" t="s">
        <v>554</v>
      </c>
      <c r="M763" s="409" t="s">
        <v>586</v>
      </c>
      <c r="N763" s="195"/>
    </row>
    <row r="764" spans="1:14" ht="15" x14ac:dyDescent="0.25">
      <c r="A764" s="410">
        <v>276749</v>
      </c>
      <c r="B764" t="str">
        <f t="shared" si="26"/>
        <v>SEVROLL 04061 Gemini horné vedenie  4,05m biela lesk</v>
      </c>
      <c r="C764" s="198">
        <f t="shared" si="27"/>
        <v>43.47289</v>
      </c>
      <c r="D764" s="526" t="s">
        <v>3246</v>
      </c>
      <c r="E764" s="526" t="s">
        <v>5309</v>
      </c>
      <c r="F764" s="526" t="s">
        <v>5310</v>
      </c>
      <c r="G764" s="526" t="s">
        <v>5311</v>
      </c>
      <c r="H764" s="412">
        <v>1203.8651</v>
      </c>
      <c r="I764" s="411">
        <v>43.47289</v>
      </c>
      <c r="J764" s="411">
        <v>177.9186</v>
      </c>
      <c r="K764" s="411">
        <v>16549.015370000001</v>
      </c>
      <c r="L764" s="526" t="s">
        <v>553</v>
      </c>
      <c r="M764" s="409" t="s">
        <v>586</v>
      </c>
      <c r="N764" s="195"/>
    </row>
    <row r="765" spans="1:14" ht="15" x14ac:dyDescent="0.25">
      <c r="A765" s="410">
        <v>205169</v>
      </c>
      <c r="B765" t="str">
        <f t="shared" si="26"/>
        <v>SEVROLL Gemini horné vedenie 4,05m čierna ka</v>
      </c>
      <c r="C765" s="198">
        <f t="shared" si="27"/>
        <v>57.437480000000001</v>
      </c>
      <c r="D765" s="526" t="s">
        <v>3002</v>
      </c>
      <c r="E765" s="526" t="s">
        <v>5312</v>
      </c>
      <c r="F765" s="526" t="s">
        <v>1273</v>
      </c>
      <c r="G765" s="526" t="s">
        <v>5313</v>
      </c>
      <c r="H765" s="412">
        <v>1590.38796</v>
      </c>
      <c r="I765" s="411">
        <v>57.437480000000001</v>
      </c>
      <c r="J765" s="411">
        <v>200.9196</v>
      </c>
      <c r="K765" s="411">
        <v>21864.974109999999</v>
      </c>
      <c r="L765" s="526" t="s">
        <v>553</v>
      </c>
      <c r="M765" s="409" t="s">
        <v>586</v>
      </c>
      <c r="N765" s="195"/>
    </row>
    <row r="766" spans="1:14" ht="15" x14ac:dyDescent="0.25">
      <c r="A766" s="410">
        <v>120867</v>
      </c>
      <c r="B766" t="str">
        <f t="shared" si="26"/>
        <v>SEVROLL Gemini horné vedenie 4,05M oliva kartáčovaná</v>
      </c>
      <c r="C766" s="198">
        <f t="shared" si="27"/>
        <v>57.437480000000001</v>
      </c>
      <c r="D766" s="526" t="s">
        <v>2849</v>
      </c>
      <c r="E766" s="526" t="s">
        <v>5314</v>
      </c>
      <c r="F766" s="526" t="s">
        <v>5315</v>
      </c>
      <c r="G766" s="526" t="s">
        <v>5316</v>
      </c>
      <c r="H766" s="412">
        <v>1590.38796</v>
      </c>
      <c r="I766" s="411">
        <v>57.437480000000001</v>
      </c>
      <c r="J766" s="411">
        <v>200.9196</v>
      </c>
      <c r="K766" s="411">
        <v>21864.974109999999</v>
      </c>
      <c r="L766" s="526" t="s">
        <v>554</v>
      </c>
      <c r="M766" s="409" t="s">
        <v>586</v>
      </c>
      <c r="N766" s="195"/>
    </row>
    <row r="767" spans="1:14" ht="15" x14ac:dyDescent="0.25">
      <c r="A767" s="410">
        <v>205168</v>
      </c>
      <c r="B767" t="str">
        <f t="shared" si="26"/>
        <v>SEVROLL 03122 Gemini horné vedenie 4,05m oliva tmavá kartáčovaná</v>
      </c>
      <c r="C767" s="198">
        <f t="shared" si="27"/>
        <v>57.437480000000001</v>
      </c>
      <c r="D767" s="526" t="s">
        <v>3001</v>
      </c>
      <c r="E767" s="526" t="s">
        <v>5317</v>
      </c>
      <c r="F767" s="526" t="s">
        <v>5318</v>
      </c>
      <c r="G767" s="526" t="s">
        <v>5319</v>
      </c>
      <c r="H767" s="412">
        <v>1590.38796</v>
      </c>
      <c r="I767" s="411">
        <v>57.437480000000001</v>
      </c>
      <c r="J767" s="411">
        <v>200.9196</v>
      </c>
      <c r="K767" s="411">
        <v>21864.974109999999</v>
      </c>
      <c r="L767" s="526" t="s">
        <v>554</v>
      </c>
      <c r="M767" s="409" t="s">
        <v>586</v>
      </c>
      <c r="N767" s="195"/>
    </row>
    <row r="768" spans="1:14" ht="15" x14ac:dyDescent="0.25">
      <c r="A768" s="410">
        <v>311586</v>
      </c>
      <c r="B768" t="str">
        <f t="shared" si="26"/>
        <v>SEVROLL 03206 Gemini horné vedenie 6m biela lesk</v>
      </c>
      <c r="C768" s="198">
        <f t="shared" si="27"/>
        <v>64.404290000000003</v>
      </c>
      <c r="D768" s="526" t="s">
        <v>3349</v>
      </c>
      <c r="E768" s="526" t="s">
        <v>5320</v>
      </c>
      <c r="F768" s="526" t="s">
        <v>5321</v>
      </c>
      <c r="G768" s="526" t="s">
        <v>5322</v>
      </c>
      <c r="H768" s="412">
        <v>1783.29216</v>
      </c>
      <c r="I768" s="411">
        <v>64.404290000000003</v>
      </c>
      <c r="J768" s="411">
        <v>263.56799999999998</v>
      </c>
      <c r="K768" s="411">
        <v>24517.05991</v>
      </c>
      <c r="L768" s="526" t="s">
        <v>554</v>
      </c>
      <c r="M768" s="409" t="s">
        <v>586</v>
      </c>
      <c r="N768" s="195"/>
    </row>
    <row r="769" spans="1:14" ht="15" x14ac:dyDescent="0.25">
      <c r="A769" s="410">
        <v>225372</v>
      </c>
      <c r="B769" t="str">
        <f t="shared" si="26"/>
        <v>SEVROLL Gemini horné vedenie 6m čierna kartá</v>
      </c>
      <c r="C769" s="198">
        <f t="shared" si="27"/>
        <v>85.072490000000002</v>
      </c>
      <c r="D769" s="526" t="s">
        <v>3158</v>
      </c>
      <c r="E769" s="526" t="s">
        <v>5323</v>
      </c>
      <c r="F769" s="526" t="s">
        <v>1190</v>
      </c>
      <c r="G769" s="526" t="s">
        <v>5324</v>
      </c>
      <c r="H769" s="412">
        <v>2355.5746199999999</v>
      </c>
      <c r="I769" s="411">
        <v>85.072490000000002</v>
      </c>
      <c r="J769" s="411">
        <v>297.64620000000002</v>
      </c>
      <c r="K769" s="411">
        <v>32384.914529999998</v>
      </c>
      <c r="L769" s="526" t="s">
        <v>553</v>
      </c>
      <c r="M769" s="409" t="s">
        <v>586</v>
      </c>
      <c r="N769" s="195"/>
    </row>
    <row r="770" spans="1:14" ht="15" x14ac:dyDescent="0.25">
      <c r="A770" s="410">
        <v>225370</v>
      </c>
      <c r="B770" t="str">
        <f t="shared" si="26"/>
        <v>SEVROLL Gemini horné vedenie 6m oliva kartáč</v>
      </c>
      <c r="C770" s="198">
        <f t="shared" si="27"/>
        <v>85.072490000000002</v>
      </c>
      <c r="D770" s="526" t="s">
        <v>3156</v>
      </c>
      <c r="E770" s="526" t="s">
        <v>5325</v>
      </c>
      <c r="F770" s="526" t="s">
        <v>1189</v>
      </c>
      <c r="G770" s="526" t="s">
        <v>5326</v>
      </c>
      <c r="H770" s="412">
        <v>2355.5746199999999</v>
      </c>
      <c r="I770" s="411">
        <v>85.072490000000002</v>
      </c>
      <c r="J770" s="411">
        <v>297.64620000000002</v>
      </c>
      <c r="K770" s="411">
        <v>32384.914529999998</v>
      </c>
      <c r="L770" s="526" t="s">
        <v>554</v>
      </c>
      <c r="M770" s="409" t="s">
        <v>586</v>
      </c>
      <c r="N770" s="195"/>
    </row>
    <row r="771" spans="1:14" ht="15" x14ac:dyDescent="0.25">
      <c r="A771" s="410">
        <v>225371</v>
      </c>
      <c r="B771" t="str">
        <f t="shared" si="26"/>
        <v>SEVROLL Gemini horné vedenie 6m oliva tmavá</v>
      </c>
      <c r="C771" s="198">
        <f t="shared" si="27"/>
        <v>85.072490000000002</v>
      </c>
      <c r="D771" s="526" t="s">
        <v>3157</v>
      </c>
      <c r="E771" s="526" t="s">
        <v>5327</v>
      </c>
      <c r="F771" s="526" t="s">
        <v>1188</v>
      </c>
      <c r="G771" s="526" t="s">
        <v>5328</v>
      </c>
      <c r="H771" s="412">
        <v>2355.5746199999999</v>
      </c>
      <c r="I771" s="411">
        <v>85.072490000000002</v>
      </c>
      <c r="J771" s="411">
        <v>297.64620000000002</v>
      </c>
      <c r="K771" s="411">
        <v>32384.914529999998</v>
      </c>
      <c r="L771" s="526" t="s">
        <v>554</v>
      </c>
      <c r="M771" s="409" t="s">
        <v>586</v>
      </c>
      <c r="N771" s="195"/>
    </row>
    <row r="772" spans="1:14" ht="15" x14ac:dyDescent="0.25">
      <c r="A772" s="410">
        <v>98070</v>
      </c>
      <c r="B772" t="str">
        <f t="shared" si="26"/>
        <v>SEVROLL Gemini-2 úch.lišta 2,7m strieborná</v>
      </c>
      <c r="C772" s="198">
        <f t="shared" si="27"/>
        <v>18.732980000000001</v>
      </c>
      <c r="D772" s="526" t="s">
        <v>2799</v>
      </c>
      <c r="E772" s="526" t="s">
        <v>5329</v>
      </c>
      <c r="F772" s="526" t="s">
        <v>1270</v>
      </c>
      <c r="G772" s="526" t="s">
        <v>5330</v>
      </c>
      <c r="H772" s="412">
        <v>518.69795999999997</v>
      </c>
      <c r="I772" s="411">
        <v>18.732980000000001</v>
      </c>
      <c r="J772" s="411">
        <v>78.988799999999998</v>
      </c>
      <c r="K772" s="411">
        <v>7131.1641099999997</v>
      </c>
      <c r="L772" s="526" t="s">
        <v>553</v>
      </c>
      <c r="M772" s="409" t="s">
        <v>586</v>
      </c>
      <c r="N772" s="195"/>
    </row>
    <row r="773" spans="1:14" ht="15" x14ac:dyDescent="0.25">
      <c r="A773" s="410">
        <v>276737</v>
      </c>
      <c r="B773" t="str">
        <f t="shared" si="26"/>
        <v>SEVROLL 04064 horná vodiaca lišta 1,7m biela lesk</v>
      </c>
      <c r="C773" s="198">
        <f t="shared" si="27"/>
        <v>10.39861</v>
      </c>
      <c r="D773" s="526" t="s">
        <v>3238</v>
      </c>
      <c r="E773" s="526" t="s">
        <v>5331</v>
      </c>
      <c r="F773" s="526" t="s">
        <v>5332</v>
      </c>
      <c r="G773" s="526" t="s">
        <v>5333</v>
      </c>
      <c r="H773" s="412">
        <v>287.92738000000003</v>
      </c>
      <c r="I773" s="411">
        <v>10.39861</v>
      </c>
      <c r="J773" s="411">
        <v>59.986199999999997</v>
      </c>
      <c r="K773" s="411">
        <v>3958.4834700000001</v>
      </c>
      <c r="L773" s="526" t="s">
        <v>553</v>
      </c>
      <c r="M773" s="409" t="s">
        <v>586</v>
      </c>
      <c r="N773" s="195"/>
    </row>
    <row r="774" spans="1:14" ht="15" x14ac:dyDescent="0.25">
      <c r="A774" s="410">
        <v>205105</v>
      </c>
      <c r="B774" t="str">
        <f t="shared" si="26"/>
        <v>SEVROLL horná vodiaca lišta 1,7m čierna kartáčovaná</v>
      </c>
      <c r="C774" s="198">
        <f t="shared" si="27"/>
        <v>13.004709999999999</v>
      </c>
      <c r="D774" s="526" t="s">
        <v>2988</v>
      </c>
      <c r="E774" s="526" t="s">
        <v>5334</v>
      </c>
      <c r="F774" s="526" t="s">
        <v>5335</v>
      </c>
      <c r="G774" s="526" t="s">
        <v>5336</v>
      </c>
      <c r="H774" s="412">
        <v>360.08784000000003</v>
      </c>
      <c r="I774" s="411">
        <v>13.004709999999999</v>
      </c>
      <c r="J774" s="411">
        <v>63.382800000000003</v>
      </c>
      <c r="K774" s="411">
        <v>4950.5600899999999</v>
      </c>
      <c r="L774" s="526" t="s">
        <v>553</v>
      </c>
      <c r="M774" s="409" t="s">
        <v>586</v>
      </c>
      <c r="N774" s="195"/>
    </row>
    <row r="775" spans="1:14" ht="15" x14ac:dyDescent="0.25">
      <c r="A775" s="410">
        <v>89231</v>
      </c>
      <c r="B775" t="str">
        <f t="shared" si="26"/>
        <v>SEVROLL 206 VOD.LIŠTA HOR.1,7M OLIVOVÁ</v>
      </c>
      <c r="C775" s="198">
        <f t="shared" si="27"/>
        <v>9.54711</v>
      </c>
      <c r="D775" s="526" t="s">
        <v>2689</v>
      </c>
      <c r="E775" s="526" t="s">
        <v>5337</v>
      </c>
      <c r="F775" s="526" t="s">
        <v>5338</v>
      </c>
      <c r="G775" s="526" t="s">
        <v>5339</v>
      </c>
      <c r="H775" s="412">
        <v>264.35019999999997</v>
      </c>
      <c r="I775" s="411">
        <v>9.54711</v>
      </c>
      <c r="J775" s="411">
        <v>50.755200000000002</v>
      </c>
      <c r="K775" s="411">
        <v>3634.3398000000002</v>
      </c>
      <c r="L775" s="526" t="s">
        <v>553</v>
      </c>
      <c r="M775" s="409" t="s">
        <v>586</v>
      </c>
      <c r="N775" s="195"/>
    </row>
    <row r="776" spans="1:14" ht="15" x14ac:dyDescent="0.25">
      <c r="A776" s="410">
        <v>119414</v>
      </c>
      <c r="B776" t="str">
        <f t="shared" si="26"/>
        <v>SEVROLL horná vodiaca lišta 1,7m oliva kart</v>
      </c>
      <c r="C776" s="198">
        <f t="shared" si="27"/>
        <v>13.004709999999999</v>
      </c>
      <c r="D776" s="526" t="s">
        <v>2839</v>
      </c>
      <c r="E776" s="526" t="s">
        <v>5340</v>
      </c>
      <c r="F776" s="526" t="s">
        <v>1267</v>
      </c>
      <c r="G776" s="526" t="s">
        <v>5341</v>
      </c>
      <c r="H776" s="412">
        <v>360.08784000000003</v>
      </c>
      <c r="I776" s="411">
        <v>13.004709999999999</v>
      </c>
      <c r="J776" s="411">
        <v>63.382800000000003</v>
      </c>
      <c r="K776" s="411">
        <v>4950.5600899999999</v>
      </c>
      <c r="L776" s="526" t="s">
        <v>553</v>
      </c>
      <c r="M776" s="409" t="s">
        <v>586</v>
      </c>
      <c r="N776" s="195"/>
    </row>
    <row r="777" spans="1:14" ht="15" x14ac:dyDescent="0.25">
      <c r="A777" s="410">
        <v>205103</v>
      </c>
      <c r="B777" t="str">
        <f t="shared" si="26"/>
        <v>SEVROLL 03100 horná vodiaca lišta 1,7m oliva tmavá kartáčovaná</v>
      </c>
      <c r="C777" s="198">
        <f t="shared" si="27"/>
        <v>13.004709999999999</v>
      </c>
      <c r="D777" s="526" t="s">
        <v>2987</v>
      </c>
      <c r="E777" s="526" t="s">
        <v>5342</v>
      </c>
      <c r="F777" s="526" t="s">
        <v>5343</v>
      </c>
      <c r="G777" s="526" t="s">
        <v>5344</v>
      </c>
      <c r="H777" s="412">
        <v>360.08784000000003</v>
      </c>
      <c r="I777" s="411">
        <v>13.004709999999999</v>
      </c>
      <c r="J777" s="411">
        <v>63.382800000000003</v>
      </c>
      <c r="K777" s="411">
        <v>4950.5600899999999</v>
      </c>
      <c r="L777" s="526" t="s">
        <v>554</v>
      </c>
      <c r="M777" s="409" t="s">
        <v>586</v>
      </c>
      <c r="N777" s="195"/>
    </row>
    <row r="778" spans="1:14" ht="15" x14ac:dyDescent="0.25">
      <c r="A778" s="410">
        <v>89230</v>
      </c>
      <c r="B778" t="str">
        <f t="shared" si="26"/>
        <v>SEVROLL 206 VOD.LIŠTA HOR.1,7M STRIEBOR.</v>
      </c>
      <c r="C778" s="198">
        <f t="shared" si="27"/>
        <v>8.0076999999999998</v>
      </c>
      <c r="D778" s="526" t="s">
        <v>2688</v>
      </c>
      <c r="E778" s="526" t="s">
        <v>5345</v>
      </c>
      <c r="F778" s="526" t="s">
        <v>5346</v>
      </c>
      <c r="G778" s="526" t="s">
        <v>5347</v>
      </c>
      <c r="H778" s="412">
        <v>221.48259999999999</v>
      </c>
      <c r="I778" s="411">
        <v>8.0076999999999998</v>
      </c>
      <c r="J778" s="411">
        <v>46.144799999999996</v>
      </c>
      <c r="K778" s="411">
        <v>3048.3269500000001</v>
      </c>
      <c r="L778" s="526" t="s">
        <v>553</v>
      </c>
      <c r="M778" s="409" t="s">
        <v>586</v>
      </c>
      <c r="N778" s="195"/>
    </row>
    <row r="779" spans="1:14" ht="15" x14ac:dyDescent="0.25">
      <c r="A779" s="410">
        <v>267944</v>
      </c>
      <c r="B779" t="str">
        <f t="shared" si="26"/>
        <v>SEVROLL 04065 horná vodiaca lišta 2,35m biela lesk</v>
      </c>
      <c r="C779" s="198">
        <f t="shared" si="27"/>
        <v>14.398070000000001</v>
      </c>
      <c r="D779" s="526" t="s">
        <v>3231</v>
      </c>
      <c r="E779" s="526" t="s">
        <v>5348</v>
      </c>
      <c r="F779" s="526" t="s">
        <v>5349</v>
      </c>
      <c r="G779" s="526" t="s">
        <v>5350</v>
      </c>
      <c r="H779" s="412">
        <v>398.66867999999999</v>
      </c>
      <c r="I779" s="411">
        <v>14.398070000000001</v>
      </c>
      <c r="J779" s="411">
        <v>82.936199999999999</v>
      </c>
      <c r="K779" s="411">
        <v>5480.9771700000001</v>
      </c>
      <c r="L779" s="526" t="s">
        <v>553</v>
      </c>
      <c r="M779" s="409" t="s">
        <v>586</v>
      </c>
      <c r="N779" s="195"/>
    </row>
    <row r="780" spans="1:14" ht="15" x14ac:dyDescent="0.25">
      <c r="A780" s="410">
        <v>205157</v>
      </c>
      <c r="B780" t="str">
        <f t="shared" si="26"/>
        <v>SEVROLL VODIACA LIŠTA 2,35M čierna KARTÁČ</v>
      </c>
      <c r="C780" s="198">
        <f t="shared" si="27"/>
        <v>18.036300000000001</v>
      </c>
      <c r="D780" s="526" t="s">
        <v>2990</v>
      </c>
      <c r="E780" s="526" t="s">
        <v>5351</v>
      </c>
      <c r="F780" s="526" t="s">
        <v>1266</v>
      </c>
      <c r="G780" s="526" t="s">
        <v>5352</v>
      </c>
      <c r="H780" s="412">
        <v>499.40753999999998</v>
      </c>
      <c r="I780" s="411">
        <v>18.036300000000001</v>
      </c>
      <c r="J780" s="411">
        <v>87.638400000000004</v>
      </c>
      <c r="K780" s="411">
        <v>6865.9553900000001</v>
      </c>
      <c r="L780" s="526" t="s">
        <v>553</v>
      </c>
      <c r="M780" s="409" t="s">
        <v>586</v>
      </c>
      <c r="N780" s="195"/>
    </row>
    <row r="781" spans="1:14" ht="15" x14ac:dyDescent="0.25">
      <c r="A781" s="410">
        <v>89233</v>
      </c>
      <c r="B781" t="str">
        <f t="shared" si="26"/>
        <v>SEVROLL 207 VOD.LIŠTA HOR.2,35M OLIVOVÁ</v>
      </c>
      <c r="C781" s="198">
        <f t="shared" si="27"/>
        <v>13.236940000000001</v>
      </c>
      <c r="D781" s="526" t="s">
        <v>2691</v>
      </c>
      <c r="E781" s="526" t="s">
        <v>5353</v>
      </c>
      <c r="F781" s="526" t="s">
        <v>5354</v>
      </c>
      <c r="G781" s="526" t="s">
        <v>5355</v>
      </c>
      <c r="H781" s="412">
        <v>366.51798000000002</v>
      </c>
      <c r="I781" s="411">
        <v>13.236940000000001</v>
      </c>
      <c r="J781" s="411">
        <v>70.186199999999999</v>
      </c>
      <c r="K781" s="411">
        <v>5038.9628700000003</v>
      </c>
      <c r="L781" s="526" t="s">
        <v>553</v>
      </c>
      <c r="M781" s="409" t="s">
        <v>586</v>
      </c>
      <c r="N781" s="195"/>
    </row>
    <row r="782" spans="1:14" ht="15" x14ac:dyDescent="0.25">
      <c r="A782" s="410">
        <v>119415</v>
      </c>
      <c r="B782" t="str">
        <f t="shared" si="26"/>
        <v>SEVROLL horná vodiaca lišta 2,35m oliva kart</v>
      </c>
      <c r="C782" s="198">
        <f t="shared" si="27"/>
        <v>18.036300000000001</v>
      </c>
      <c r="D782" s="526" t="s">
        <v>2840</v>
      </c>
      <c r="E782" s="526" t="s">
        <v>5356</v>
      </c>
      <c r="F782" s="526" t="s">
        <v>1265</v>
      </c>
      <c r="G782" s="526" t="s">
        <v>5357</v>
      </c>
      <c r="H782" s="412">
        <v>499.40753999999998</v>
      </c>
      <c r="I782" s="411">
        <v>18.036300000000001</v>
      </c>
      <c r="J782" s="411">
        <v>87.638400000000004</v>
      </c>
      <c r="K782" s="411">
        <v>6865.9553900000001</v>
      </c>
      <c r="L782" s="526" t="s">
        <v>553</v>
      </c>
      <c r="M782" s="409" t="s">
        <v>586</v>
      </c>
      <c r="N782" s="195"/>
    </row>
    <row r="783" spans="1:14" ht="15" x14ac:dyDescent="0.25">
      <c r="A783" s="410">
        <v>205156</v>
      </c>
      <c r="B783" t="str">
        <f t="shared" si="26"/>
        <v>SEVROLL 03101 horná vodiaca lišta 2,35m oliva tmavá kartáčovaná</v>
      </c>
      <c r="C783" s="198">
        <f t="shared" si="27"/>
        <v>18.036300000000001</v>
      </c>
      <c r="D783" s="526" t="s">
        <v>2989</v>
      </c>
      <c r="E783" s="526" t="s">
        <v>5358</v>
      </c>
      <c r="F783" s="526" t="s">
        <v>5359</v>
      </c>
      <c r="G783" s="526" t="s">
        <v>5360</v>
      </c>
      <c r="H783" s="412">
        <v>499.40753999999998</v>
      </c>
      <c r="I783" s="411">
        <v>18.036300000000001</v>
      </c>
      <c r="J783" s="411">
        <v>87.638400000000004</v>
      </c>
      <c r="K783" s="411">
        <v>6865.9553900000001</v>
      </c>
      <c r="L783" s="526" t="s">
        <v>554</v>
      </c>
      <c r="M783" s="409" t="s">
        <v>586</v>
      </c>
      <c r="N783" s="195"/>
    </row>
    <row r="784" spans="1:14" ht="15" x14ac:dyDescent="0.25">
      <c r="A784" s="410">
        <v>89232</v>
      </c>
      <c r="B784" t="str">
        <f t="shared" si="26"/>
        <v>SEVROLL 207 VOD.LIŠTA HOR.2,35M STRIEBOR</v>
      </c>
      <c r="C784" s="198">
        <f t="shared" si="27"/>
        <v>11.06949</v>
      </c>
      <c r="D784" s="526" t="s">
        <v>2690</v>
      </c>
      <c r="E784" s="526" t="s">
        <v>5361</v>
      </c>
      <c r="F784" s="526" t="s">
        <v>5362</v>
      </c>
      <c r="G784" s="526" t="s">
        <v>5363</v>
      </c>
      <c r="H784" s="412">
        <v>306.50333999999998</v>
      </c>
      <c r="I784" s="411">
        <v>11.06949</v>
      </c>
      <c r="J784" s="411">
        <v>63.801000000000002</v>
      </c>
      <c r="K784" s="411">
        <v>4213.8695900000002</v>
      </c>
      <c r="L784" s="526" t="s">
        <v>553</v>
      </c>
      <c r="M784" s="409" t="s">
        <v>586</v>
      </c>
      <c r="N784" s="195"/>
    </row>
    <row r="785" spans="1:14" ht="15" x14ac:dyDescent="0.25">
      <c r="A785" s="410">
        <v>89252</v>
      </c>
      <c r="B785" t="str">
        <f t="shared" si="26"/>
        <v>SEVROLL horná vodiaca lišta 2,35m zlatá</v>
      </c>
      <c r="C785" s="198">
        <f t="shared" si="27"/>
        <v>13.236940000000001</v>
      </c>
      <c r="D785" s="526" t="s">
        <v>2703</v>
      </c>
      <c r="E785" s="526" t="s">
        <v>5364</v>
      </c>
      <c r="F785" s="526" t="s">
        <v>5365</v>
      </c>
      <c r="G785" s="526" t="s">
        <v>5366</v>
      </c>
      <c r="H785" s="412">
        <v>366.51798000000002</v>
      </c>
      <c r="I785" s="411">
        <v>13.236940000000001</v>
      </c>
      <c r="J785" s="411">
        <v>70.186199999999999</v>
      </c>
      <c r="K785" s="411">
        <v>5038.9628700000003</v>
      </c>
      <c r="L785" s="526" t="s">
        <v>554</v>
      </c>
      <c r="M785" s="409" t="s">
        <v>586</v>
      </c>
      <c r="N785" s="195"/>
    </row>
    <row r="786" spans="1:14" ht="15" x14ac:dyDescent="0.25">
      <c r="A786" s="410">
        <v>265066</v>
      </c>
      <c r="B786" t="str">
        <f t="shared" si="26"/>
        <v>SEVROLL 00169 horná vodiaca lišta 3m biela lesk</v>
      </c>
      <c r="C786" s="198">
        <f t="shared" si="27"/>
        <v>18.371739999999999</v>
      </c>
      <c r="D786" s="526" t="s">
        <v>3228</v>
      </c>
      <c r="E786" s="526" t="s">
        <v>5367</v>
      </c>
      <c r="F786" s="526" t="s">
        <v>5368</v>
      </c>
      <c r="G786" s="526" t="s">
        <v>5369</v>
      </c>
      <c r="H786" s="412">
        <v>508.69551999999999</v>
      </c>
      <c r="I786" s="411">
        <v>18.371739999999999</v>
      </c>
      <c r="J786" s="411">
        <v>105.8454</v>
      </c>
      <c r="K786" s="411">
        <v>6993.6486299999997</v>
      </c>
      <c r="L786" s="526" t="s">
        <v>553</v>
      </c>
      <c r="M786" s="409" t="s">
        <v>586</v>
      </c>
      <c r="N786" s="195"/>
    </row>
    <row r="787" spans="1:14" ht="15" x14ac:dyDescent="0.25">
      <c r="A787" s="410">
        <v>205159</v>
      </c>
      <c r="B787" t="str">
        <f t="shared" si="26"/>
        <v>SEVROLL VODIACA LIŠTA 3M čierna KARTÁČ.</v>
      </c>
      <c r="C787" s="198">
        <f t="shared" si="27"/>
        <v>22.990469999999998</v>
      </c>
      <c r="D787" s="526" t="s">
        <v>2992</v>
      </c>
      <c r="E787" s="526" t="s">
        <v>5370</v>
      </c>
      <c r="F787" s="526" t="s">
        <v>1264</v>
      </c>
      <c r="G787" s="526" t="s">
        <v>5371</v>
      </c>
      <c r="H787" s="412">
        <v>636.58385999999996</v>
      </c>
      <c r="I787" s="411">
        <v>22.990469999999998</v>
      </c>
      <c r="J787" s="411">
        <v>111.41459999999999</v>
      </c>
      <c r="K787" s="411">
        <v>8751.88321</v>
      </c>
      <c r="L787" s="526" t="s">
        <v>553</v>
      </c>
      <c r="M787" s="409" t="s">
        <v>586</v>
      </c>
      <c r="N787" s="195"/>
    </row>
    <row r="788" spans="1:14" ht="15" x14ac:dyDescent="0.25">
      <c r="A788" s="410">
        <v>89235</v>
      </c>
      <c r="B788" t="str">
        <f t="shared" si="26"/>
        <v>SEVROLL 208 VOD.LIŠTA HOR 3M OLIVOVÁ</v>
      </c>
      <c r="C788" s="198">
        <f t="shared" si="27"/>
        <v>16.900970000000001</v>
      </c>
      <c r="D788" s="526" t="s">
        <v>2693</v>
      </c>
      <c r="E788" s="526" t="s">
        <v>5372</v>
      </c>
      <c r="F788" s="526" t="s">
        <v>5373</v>
      </c>
      <c r="G788" s="526" t="s">
        <v>5374</v>
      </c>
      <c r="H788" s="412">
        <v>467.97129999999999</v>
      </c>
      <c r="I788" s="411">
        <v>16.900970000000001</v>
      </c>
      <c r="J788" s="411">
        <v>89.566199999999995</v>
      </c>
      <c r="K788" s="411">
        <v>6433.7637000000004</v>
      </c>
      <c r="L788" s="526" t="s">
        <v>553</v>
      </c>
      <c r="M788" s="409" t="s">
        <v>586</v>
      </c>
      <c r="N788" s="195"/>
    </row>
    <row r="789" spans="1:14" ht="15" x14ac:dyDescent="0.25">
      <c r="A789" s="410">
        <v>119416</v>
      </c>
      <c r="B789" t="str">
        <f t="shared" si="26"/>
        <v>SEVROLL horná vodiaca lišta 3m oliva kartáč.</v>
      </c>
      <c r="C789" s="198">
        <f t="shared" si="27"/>
        <v>22.990469999999998</v>
      </c>
      <c r="D789" s="526" t="s">
        <v>2841</v>
      </c>
      <c r="E789" s="526" t="s">
        <v>5375</v>
      </c>
      <c r="F789" s="526" t="s">
        <v>1263</v>
      </c>
      <c r="G789" s="526" t="s">
        <v>5376</v>
      </c>
      <c r="H789" s="412">
        <v>636.58385999999996</v>
      </c>
      <c r="I789" s="411">
        <v>22.990469999999998</v>
      </c>
      <c r="J789" s="411">
        <v>111.41459999999999</v>
      </c>
      <c r="K789" s="411">
        <v>8751.88321</v>
      </c>
      <c r="L789" s="526" t="s">
        <v>553</v>
      </c>
      <c r="M789" s="409" t="s">
        <v>586</v>
      </c>
      <c r="N789" s="195"/>
    </row>
    <row r="790" spans="1:14" ht="15" x14ac:dyDescent="0.25">
      <c r="A790" s="410">
        <v>205158</v>
      </c>
      <c r="B790" t="str">
        <f t="shared" si="26"/>
        <v>SEVROLL 03102 horná vodiaca lišta 3m oliva tmavá kartáčovaná</v>
      </c>
      <c r="C790" s="198">
        <f t="shared" si="27"/>
        <v>22.990469999999998</v>
      </c>
      <c r="D790" s="526" t="s">
        <v>2991</v>
      </c>
      <c r="E790" s="526" t="s">
        <v>5377</v>
      </c>
      <c r="F790" s="526" t="s">
        <v>5378</v>
      </c>
      <c r="G790" s="526" t="s">
        <v>5379</v>
      </c>
      <c r="H790" s="412">
        <v>636.58385999999996</v>
      </c>
      <c r="I790" s="411">
        <v>22.990469999999998</v>
      </c>
      <c r="J790" s="411">
        <v>111.41459999999999</v>
      </c>
      <c r="K790" s="411">
        <v>8751.88321</v>
      </c>
      <c r="L790" s="526" t="s">
        <v>554</v>
      </c>
      <c r="M790" s="409" t="s">
        <v>586</v>
      </c>
      <c r="N790" s="195"/>
    </row>
    <row r="791" spans="1:14" ht="15" x14ac:dyDescent="0.25">
      <c r="A791" s="410">
        <v>89234</v>
      </c>
      <c r="B791" t="str">
        <f t="shared" si="26"/>
        <v>SEVROLL 208 VOD.LIŠTA HOR 3M STRIEBOR.</v>
      </c>
      <c r="C791" s="198">
        <f t="shared" si="27"/>
        <v>14.13128</v>
      </c>
      <c r="D791" s="526" t="s">
        <v>2692</v>
      </c>
      <c r="E791" s="526" t="s">
        <v>5380</v>
      </c>
      <c r="F791" s="526" t="s">
        <v>5381</v>
      </c>
      <c r="G791" s="526" t="s">
        <v>5382</v>
      </c>
      <c r="H791" s="412">
        <v>391.52408000000003</v>
      </c>
      <c r="I791" s="411">
        <v>14.13128</v>
      </c>
      <c r="J791" s="411">
        <v>81.426599999999993</v>
      </c>
      <c r="K791" s="411">
        <v>5379.4122299999999</v>
      </c>
      <c r="L791" s="526" t="s">
        <v>553</v>
      </c>
      <c r="M791" s="409" t="s">
        <v>586</v>
      </c>
      <c r="N791" s="195"/>
    </row>
    <row r="792" spans="1:14" ht="15" x14ac:dyDescent="0.25">
      <c r="A792" s="410">
        <v>89253</v>
      </c>
      <c r="B792" t="str">
        <f t="shared" si="26"/>
        <v>SEVROLL horná vodiaca lišta 3m zlatá</v>
      </c>
      <c r="C792" s="198">
        <f t="shared" si="27"/>
        <v>16.900970000000001</v>
      </c>
      <c r="D792" s="526" t="s">
        <v>2704</v>
      </c>
      <c r="E792" s="526" t="s">
        <v>5383</v>
      </c>
      <c r="F792" s="526" t="s">
        <v>5384</v>
      </c>
      <c r="G792" s="526" t="s">
        <v>5385</v>
      </c>
      <c r="H792" s="412">
        <v>467.97129999999999</v>
      </c>
      <c r="I792" s="411">
        <v>16.900970000000001</v>
      </c>
      <c r="J792" s="411">
        <v>89.566199999999995</v>
      </c>
      <c r="K792" s="411">
        <v>6433.7637000000004</v>
      </c>
      <c r="L792" s="526" t="s">
        <v>554</v>
      </c>
      <c r="M792" s="409" t="s">
        <v>586</v>
      </c>
      <c r="N792" s="195"/>
    </row>
    <row r="793" spans="1:14" ht="15" x14ac:dyDescent="0.25">
      <c r="A793" s="410">
        <v>224149</v>
      </c>
      <c r="B793" t="str">
        <f t="shared" si="26"/>
        <v>SEVROLL 03758 horná vodiaca lišta Simple/Blue 1,5m (pre lamino 10mm) oliva</v>
      </c>
      <c r="C793" s="198" t="e">
        <f t="shared" si="27"/>
        <v>#N/A</v>
      </c>
      <c r="D793" s="526" t="s">
        <v>3140</v>
      </c>
      <c r="E793" s="526" t="s">
        <v>5386</v>
      </c>
      <c r="F793" s="526" t="s">
        <v>5387</v>
      </c>
      <c r="G793" s="526" t="s">
        <v>5388</v>
      </c>
      <c r="H793" s="412" t="e">
        <v>#N/A</v>
      </c>
      <c r="I793" s="411" t="e">
        <v>#N/A</v>
      </c>
      <c r="J793" s="411" t="e">
        <v>#N/A</v>
      </c>
      <c r="K793" s="411" t="e">
        <v>#N/A</v>
      </c>
      <c r="L793" s="526" t="e">
        <v>#N/A</v>
      </c>
      <c r="M793" s="409" t="s">
        <v>586</v>
      </c>
      <c r="N793" s="195"/>
    </row>
    <row r="794" spans="1:14" ht="15" x14ac:dyDescent="0.25">
      <c r="A794" s="410">
        <v>224151</v>
      </c>
      <c r="B794" t="str">
        <f t="shared" si="26"/>
        <v>SEVROLL 03760 horná vodiaca lišta Simple/Blue 2,5m (pre lamino 10mm) oliva</v>
      </c>
      <c r="C794" s="198" t="e">
        <f t="shared" si="27"/>
        <v>#N/A</v>
      </c>
      <c r="D794" s="526" t="s">
        <v>3142</v>
      </c>
      <c r="E794" s="526" t="s">
        <v>5389</v>
      </c>
      <c r="F794" s="526" t="s">
        <v>5390</v>
      </c>
      <c r="G794" s="526" t="s">
        <v>5391</v>
      </c>
      <c r="H794" s="412" t="e">
        <v>#N/A</v>
      </c>
      <c r="I794" s="411" t="e">
        <v>#N/A</v>
      </c>
      <c r="J794" s="411" t="e">
        <v>#N/A</v>
      </c>
      <c r="K794" s="411" t="e">
        <v>#N/A</v>
      </c>
      <c r="L794" s="526" t="e">
        <v>#N/A</v>
      </c>
      <c r="M794" s="409" t="s">
        <v>586</v>
      </c>
      <c r="N794" s="195"/>
    </row>
    <row r="795" spans="1:14" ht="15" x14ac:dyDescent="0.25">
      <c r="A795" s="410">
        <v>224150</v>
      </c>
      <c r="B795" t="str">
        <f t="shared" si="26"/>
        <v>SEVROLL 03759 horná vodiaca lišta Simple/Blue 2m (pre lamino 10mm) oliva</v>
      </c>
      <c r="C795" s="198" t="e">
        <f t="shared" si="27"/>
        <v>#N/A</v>
      </c>
      <c r="D795" s="526" t="s">
        <v>3141</v>
      </c>
      <c r="E795" s="526" t="s">
        <v>5392</v>
      </c>
      <c r="F795" s="526" t="s">
        <v>5393</v>
      </c>
      <c r="G795" s="526" t="s">
        <v>5394</v>
      </c>
      <c r="H795" s="412" t="e">
        <v>#N/A</v>
      </c>
      <c r="I795" s="411" t="e">
        <v>#N/A</v>
      </c>
      <c r="J795" s="411" t="e">
        <v>#N/A</v>
      </c>
      <c r="K795" s="411" t="e">
        <v>#N/A</v>
      </c>
      <c r="L795" s="526" t="e">
        <v>#N/A</v>
      </c>
      <c r="M795" s="409" t="s">
        <v>586</v>
      </c>
      <c r="N795" s="195"/>
    </row>
    <row r="796" spans="1:14" ht="15" x14ac:dyDescent="0.25">
      <c r="A796" s="410">
        <v>223563</v>
      </c>
      <c r="B796" t="str">
        <f t="shared" ref="B796:B859" si="28">IF($A$2=1,D796,IF($A$2=2,F796,IF($A$2=3,G796,IF($A$2=4,E796,"zadat jazyk"))))</f>
        <v>SEVROLL horná vodiaca lišta Simple/Blue 3m (pre lamino 10mm) oliva</v>
      </c>
      <c r="C796" s="198">
        <f t="shared" si="27"/>
        <v>14.90123</v>
      </c>
      <c r="D796" s="526" t="s">
        <v>3102</v>
      </c>
      <c r="E796" s="526" t="s">
        <v>5395</v>
      </c>
      <c r="F796" s="526" t="s">
        <v>5396</v>
      </c>
      <c r="G796" s="526" t="s">
        <v>5397</v>
      </c>
      <c r="H796" s="412">
        <v>408.50150000000002</v>
      </c>
      <c r="I796" s="411">
        <v>14.90123</v>
      </c>
      <c r="J796" s="411">
        <v>52.450780000000002</v>
      </c>
      <c r="K796" s="411">
        <v>5788.2826999999997</v>
      </c>
      <c r="L796" s="526" t="s">
        <v>710</v>
      </c>
      <c r="M796" s="409" t="s">
        <v>586</v>
      </c>
      <c r="N796" s="195"/>
    </row>
    <row r="797" spans="1:14" ht="15" x14ac:dyDescent="0.25">
      <c r="A797" s="410">
        <v>222573</v>
      </c>
      <c r="B797" t="str">
        <f t="shared" si="28"/>
        <v>SEVROLL horná vodiaca lišta Simple/Blue 3m(pre lamino 10mm)strieborná</v>
      </c>
      <c r="C797" s="198">
        <f t="shared" si="27"/>
        <v>11.92099</v>
      </c>
      <c r="D797" s="526" t="s">
        <v>3056</v>
      </c>
      <c r="E797" s="526" t="s">
        <v>5398</v>
      </c>
      <c r="F797" s="526" t="s">
        <v>5399</v>
      </c>
      <c r="G797" s="526" t="s">
        <v>5400</v>
      </c>
      <c r="H797" s="412">
        <v>326.51850000000002</v>
      </c>
      <c r="I797" s="411">
        <v>11.92099</v>
      </c>
      <c r="J797" s="411">
        <v>45.607320000000001</v>
      </c>
      <c r="K797" s="411">
        <v>4630.6261500000001</v>
      </c>
      <c r="L797" s="526" t="s">
        <v>553</v>
      </c>
      <c r="M797" s="409" t="s">
        <v>586</v>
      </c>
      <c r="N797" s="195"/>
    </row>
    <row r="798" spans="1:14" ht="15" x14ac:dyDescent="0.25">
      <c r="A798" s="410">
        <v>224134</v>
      </c>
      <c r="B798" t="e">
        <f t="shared" si="28"/>
        <v>#N/A</v>
      </c>
      <c r="C798" s="198" t="e">
        <f t="shared" si="27"/>
        <v>#N/A</v>
      </c>
      <c r="D798" s="526" t="e">
        <v>#N/A</v>
      </c>
      <c r="E798" s="526" t="e">
        <v>#N/A</v>
      </c>
      <c r="F798" s="526" t="e">
        <v>#N/A</v>
      </c>
      <c r="G798" s="526" t="e">
        <v>#N/A</v>
      </c>
      <c r="H798" s="412" t="e">
        <v>#N/A</v>
      </c>
      <c r="I798" s="411" t="e">
        <v>#N/A</v>
      </c>
      <c r="J798" s="411" t="e">
        <v>#N/A</v>
      </c>
      <c r="K798" s="411" t="e">
        <v>#N/A</v>
      </c>
      <c r="L798" s="526" t="e">
        <v>#N/A</v>
      </c>
      <c r="M798" s="409" t="s">
        <v>586</v>
      </c>
      <c r="N798" s="195"/>
    </row>
    <row r="799" spans="1:14" ht="15" x14ac:dyDescent="0.25">
      <c r="A799" s="410">
        <v>224131</v>
      </c>
      <c r="B799" t="str">
        <f t="shared" si="28"/>
        <v>SEVROLL 04460 horná vodiaca lišta Simple/Blue 1,5m (pre lamino 18mm) strieborná</v>
      </c>
      <c r="C799" s="198">
        <f t="shared" si="27"/>
        <v>5.1477000000000004</v>
      </c>
      <c r="D799" s="526" t="s">
        <v>3127</v>
      </c>
      <c r="E799" s="526" t="s">
        <v>5401</v>
      </c>
      <c r="F799" s="526" t="s">
        <v>5402</v>
      </c>
      <c r="G799" s="526" t="s">
        <v>2504</v>
      </c>
      <c r="H799" s="412">
        <v>141.35</v>
      </c>
      <c r="I799" s="411">
        <v>5.1477000000000004</v>
      </c>
      <c r="J799" s="411">
        <v>24.998290000000001</v>
      </c>
      <c r="K799" s="411">
        <v>1999.5884799999999</v>
      </c>
      <c r="L799" s="526" t="s">
        <v>553</v>
      </c>
      <c r="M799" s="409" t="s">
        <v>586</v>
      </c>
      <c r="N799" s="195"/>
    </row>
    <row r="800" spans="1:14" ht="15" x14ac:dyDescent="0.25">
      <c r="A800" s="410">
        <v>224136</v>
      </c>
      <c r="B800" t="str">
        <f t="shared" si="28"/>
        <v>SEVROLL 04458 horná vodiaca lišta Simple/Blue 2,5m (pre lamino 18mm) oliva</v>
      </c>
      <c r="C800" s="198">
        <f t="shared" si="27"/>
        <v>0</v>
      </c>
      <c r="D800" s="526" t="s">
        <v>3131</v>
      </c>
      <c r="E800" s="526" t="s">
        <v>5403</v>
      </c>
      <c r="F800" s="526" t="s">
        <v>5404</v>
      </c>
      <c r="G800" s="526" t="s">
        <v>5405</v>
      </c>
      <c r="H800" s="412">
        <v>0</v>
      </c>
      <c r="I800" s="411">
        <v>0</v>
      </c>
      <c r="J800" s="411">
        <v>27.547039999999999</v>
      </c>
      <c r="K800" s="411">
        <v>0</v>
      </c>
      <c r="L800" s="526" t="s">
        <v>554</v>
      </c>
      <c r="M800" s="409" t="s">
        <v>586</v>
      </c>
      <c r="N800" s="195"/>
    </row>
    <row r="801" spans="1:14" ht="15" x14ac:dyDescent="0.25">
      <c r="A801" s="410">
        <v>224133</v>
      </c>
      <c r="B801" t="str">
        <f t="shared" si="28"/>
        <v>SEVROLL 04462 horná vodiaca lišta Simple/Blue 2,5m (pre lamino 18mm) strieborná</v>
      </c>
      <c r="C801" s="198">
        <f t="shared" si="27"/>
        <v>8.5794999999999995</v>
      </c>
      <c r="D801" s="526" t="s">
        <v>3129</v>
      </c>
      <c r="E801" s="526" t="s">
        <v>5406</v>
      </c>
      <c r="F801" s="526" t="s">
        <v>5407</v>
      </c>
      <c r="G801" s="526" t="s">
        <v>5408</v>
      </c>
      <c r="H801" s="412">
        <v>235.34774999999999</v>
      </c>
      <c r="I801" s="411">
        <v>8.5794999999999995</v>
      </c>
      <c r="J801" s="411">
        <v>41.658569999999997</v>
      </c>
      <c r="K801" s="411">
        <v>3332.6477</v>
      </c>
      <c r="L801" s="526" t="s">
        <v>554</v>
      </c>
      <c r="M801" s="409" t="s">
        <v>586</v>
      </c>
      <c r="N801" s="195"/>
    </row>
    <row r="802" spans="1:14" ht="15" x14ac:dyDescent="0.25">
      <c r="A802" s="410">
        <v>224135</v>
      </c>
      <c r="B802" t="str">
        <f t="shared" si="28"/>
        <v>SEVROLL 04457 horná vodiaca lišta Simple/Blue 2m (pre lamino 18mm) oliva</v>
      </c>
      <c r="C802" s="198">
        <f t="shared" si="27"/>
        <v>8.5149899999999992</v>
      </c>
      <c r="D802" s="526" t="s">
        <v>3130</v>
      </c>
      <c r="E802" s="526" t="s">
        <v>5409</v>
      </c>
      <c r="F802" s="526" t="s">
        <v>5410</v>
      </c>
      <c r="G802" s="526" t="s">
        <v>5411</v>
      </c>
      <c r="H802" s="412">
        <v>233.22749999999999</v>
      </c>
      <c r="I802" s="411">
        <v>8.5149899999999992</v>
      </c>
      <c r="J802" s="411">
        <v>38.323360000000001</v>
      </c>
      <c r="K802" s="411">
        <v>3307.59</v>
      </c>
      <c r="L802" s="526" t="s">
        <v>553</v>
      </c>
      <c r="M802" s="409" t="s">
        <v>586</v>
      </c>
      <c r="N802" s="195"/>
    </row>
    <row r="803" spans="1:14" ht="15" x14ac:dyDescent="0.25">
      <c r="A803" s="410">
        <v>224132</v>
      </c>
      <c r="B803" t="str">
        <f t="shared" si="28"/>
        <v>SEVROLL 04461 horná vodiaca lišta Simple/Blue 2m (pre lamino 18mm) strieborná</v>
      </c>
      <c r="C803" s="198">
        <f t="shared" si="27"/>
        <v>6.8635999999999999</v>
      </c>
      <c r="D803" s="526" t="s">
        <v>3128</v>
      </c>
      <c r="E803" s="526" t="s">
        <v>5412</v>
      </c>
      <c r="F803" s="526" t="s">
        <v>5413</v>
      </c>
      <c r="G803" s="526" t="s">
        <v>5414</v>
      </c>
      <c r="H803" s="412">
        <v>187.99549999999999</v>
      </c>
      <c r="I803" s="411">
        <v>6.8635999999999999</v>
      </c>
      <c r="J803" s="411">
        <v>33.336289999999998</v>
      </c>
      <c r="K803" s="411">
        <v>2666.1180800000002</v>
      </c>
      <c r="L803" s="526" t="s">
        <v>553</v>
      </c>
      <c r="M803" s="409" t="s">
        <v>586</v>
      </c>
      <c r="N803" s="195"/>
    </row>
    <row r="804" spans="1:14" ht="15" x14ac:dyDescent="0.25">
      <c r="A804" s="410">
        <v>223561</v>
      </c>
      <c r="B804" t="str">
        <f t="shared" si="28"/>
        <v>SEVROLL 04459 horná vodiaca lišta Simple/Blue 3m (pre lamino 18mm) oliva</v>
      </c>
      <c r="C804" s="198">
        <f t="shared" si="27"/>
        <v>12.74668</v>
      </c>
      <c r="D804" s="526" t="s">
        <v>3100</v>
      </c>
      <c r="E804" s="526" t="s">
        <v>5415</v>
      </c>
      <c r="F804" s="526" t="s">
        <v>5416</v>
      </c>
      <c r="G804" s="526" t="s">
        <v>5417</v>
      </c>
      <c r="H804" s="412">
        <v>349.1345</v>
      </c>
      <c r="I804" s="411">
        <v>12.74668</v>
      </c>
      <c r="J804" s="411">
        <v>57.532240000000002</v>
      </c>
      <c r="K804" s="411">
        <v>4951.36193</v>
      </c>
      <c r="L804" s="526" t="s">
        <v>553</v>
      </c>
      <c r="M804" s="409" t="s">
        <v>586</v>
      </c>
      <c r="N804" s="195"/>
    </row>
    <row r="805" spans="1:14" ht="15" x14ac:dyDescent="0.25">
      <c r="A805" s="410">
        <v>222571</v>
      </c>
      <c r="B805" t="str">
        <f t="shared" si="28"/>
        <v>SEVROLL 04463 horná vodiaca lišta Simple/Blue 3m (pre lamino 18mm) strieborná</v>
      </c>
      <c r="C805" s="198">
        <f t="shared" si="27"/>
        <v>10.295400000000001</v>
      </c>
      <c r="D805" s="526" t="s">
        <v>3054</v>
      </c>
      <c r="E805" s="526" t="s">
        <v>5418</v>
      </c>
      <c r="F805" s="526" t="s">
        <v>5419</v>
      </c>
      <c r="G805" s="526" t="s">
        <v>2406</v>
      </c>
      <c r="H805" s="412">
        <v>281.99324999999999</v>
      </c>
      <c r="I805" s="411">
        <v>10.295400000000001</v>
      </c>
      <c r="J805" s="411">
        <v>50.028039999999997</v>
      </c>
      <c r="K805" s="411">
        <v>3999.1769300000001</v>
      </c>
      <c r="L805" s="526" t="s">
        <v>710</v>
      </c>
      <c r="M805" s="409" t="s">
        <v>586</v>
      </c>
      <c r="N805" s="195"/>
    </row>
    <row r="806" spans="1:14" ht="15" x14ac:dyDescent="0.25">
      <c r="A806" s="410">
        <v>89265</v>
      </c>
      <c r="B806" t="str">
        <f t="shared" si="28"/>
        <v>SEVROLL 10202 horný vozík 10mm asymetrický L+P</v>
      </c>
      <c r="C806" s="198">
        <f t="shared" si="27"/>
        <v>5.55023</v>
      </c>
      <c r="D806" s="526" t="s">
        <v>2774</v>
      </c>
      <c r="E806" s="526" t="s">
        <v>5420</v>
      </c>
      <c r="F806" s="526" t="s">
        <v>5421</v>
      </c>
      <c r="G806" s="526" t="s">
        <v>5422</v>
      </c>
      <c r="H806" s="412">
        <v>163.00225</v>
      </c>
      <c r="I806" s="411">
        <v>5.55023</v>
      </c>
      <c r="J806" s="411">
        <v>27.305399999999999</v>
      </c>
      <c r="K806" s="411">
        <v>2155.9472999999998</v>
      </c>
      <c r="L806" s="526" t="s">
        <v>553</v>
      </c>
      <c r="M806" s="409" t="s">
        <v>587</v>
      </c>
      <c r="N806" s="195"/>
    </row>
    <row r="807" spans="1:14" ht="15" x14ac:dyDescent="0.25">
      <c r="A807" s="410">
        <v>349943</v>
      </c>
      <c r="B807" t="str">
        <f t="shared" si="28"/>
        <v>SEVROLL 10240 horný vozík Blue 10mm symetrický L+P</v>
      </c>
      <c r="C807" s="198">
        <f t="shared" si="27"/>
        <v>3.6124200000000002</v>
      </c>
      <c r="D807" s="526" t="s">
        <v>3450</v>
      </c>
      <c r="E807" s="526" t="s">
        <v>5423</v>
      </c>
      <c r="F807" s="526" t="s">
        <v>5424</v>
      </c>
      <c r="G807" s="526" t="s">
        <v>5425</v>
      </c>
      <c r="H807" s="412">
        <v>106.14100000000001</v>
      </c>
      <c r="I807" s="411">
        <v>3.6124200000000002</v>
      </c>
      <c r="J807" s="411">
        <v>15.244389999999999</v>
      </c>
      <c r="K807" s="411">
        <v>1403.22</v>
      </c>
      <c r="L807" s="526" t="s">
        <v>553</v>
      </c>
      <c r="M807" s="409" t="s">
        <v>589</v>
      </c>
      <c r="N807" s="195"/>
    </row>
    <row r="808" spans="1:14" ht="15" x14ac:dyDescent="0.25">
      <c r="A808" s="410">
        <v>228009</v>
      </c>
      <c r="B808" t="str">
        <f t="shared" si="28"/>
        <v>SEVROLL 10204 horný vozík Gemini symetrický 10mm - 2ks</v>
      </c>
      <c r="C808" s="198">
        <f t="shared" si="27"/>
        <v>5.1322099999999997</v>
      </c>
      <c r="D808" s="526" t="s">
        <v>3170</v>
      </c>
      <c r="E808" s="526" t="s">
        <v>5426</v>
      </c>
      <c r="F808" s="526" t="s">
        <v>5427</v>
      </c>
      <c r="G808" s="526" t="s">
        <v>5428</v>
      </c>
      <c r="H808" s="412">
        <v>150.79604</v>
      </c>
      <c r="I808" s="411">
        <v>5.1322099999999997</v>
      </c>
      <c r="J808" s="411">
        <v>23.174399999999999</v>
      </c>
      <c r="K808" s="411">
        <v>1993.5746300000001</v>
      </c>
      <c r="L808" s="526" t="s">
        <v>710</v>
      </c>
      <c r="M808" s="409" t="s">
        <v>587</v>
      </c>
      <c r="N808" s="195"/>
    </row>
    <row r="809" spans="1:14" ht="15" x14ac:dyDescent="0.25">
      <c r="A809" s="410">
        <v>216354</v>
      </c>
      <c r="B809" t="str">
        <f t="shared" si="28"/>
        <v>SEVROLL horný vozík Simple (10mm Fala ) asym</v>
      </c>
      <c r="C809" s="198">
        <f t="shared" si="27"/>
        <v>2.1416499999999998</v>
      </c>
      <c r="D809" s="526" t="s">
        <v>3037</v>
      </c>
      <c r="E809" s="526" t="s">
        <v>5429</v>
      </c>
      <c r="F809" s="526" t="s">
        <v>1083</v>
      </c>
      <c r="G809" s="526" t="s">
        <v>5430</v>
      </c>
      <c r="H809" s="412">
        <v>62.926450000000003</v>
      </c>
      <c r="I809" s="411">
        <v>2.1416499999999998</v>
      </c>
      <c r="J809" s="411">
        <v>8.4953299999999992</v>
      </c>
      <c r="K809" s="411">
        <v>831.90885000000003</v>
      </c>
      <c r="L809" s="526" t="s">
        <v>554</v>
      </c>
      <c r="M809" s="409" t="s">
        <v>589</v>
      </c>
      <c r="N809" s="195"/>
    </row>
    <row r="810" spans="1:14" ht="15" x14ac:dyDescent="0.25">
      <c r="A810" s="410">
        <v>216355</v>
      </c>
      <c r="B810" t="str">
        <f t="shared" si="28"/>
        <v>SEVROLL horný vozík Simple (10mm Polo) symet</v>
      </c>
      <c r="C810" s="198">
        <f t="shared" si="27"/>
        <v>2.1416499999999998</v>
      </c>
      <c r="D810" s="526" t="s">
        <v>3038</v>
      </c>
      <c r="E810" s="526" t="s">
        <v>5431</v>
      </c>
      <c r="F810" s="526" t="s">
        <v>1082</v>
      </c>
      <c r="G810" s="526" t="s">
        <v>5432</v>
      </c>
      <c r="H810" s="412">
        <v>62.926450000000003</v>
      </c>
      <c r="I810" s="411">
        <v>2.1416499999999998</v>
      </c>
      <c r="J810" s="411">
        <v>8.4953299999999992</v>
      </c>
      <c r="K810" s="411">
        <v>831.90885000000003</v>
      </c>
      <c r="L810" s="526" t="s">
        <v>554</v>
      </c>
      <c r="M810" s="409" t="s">
        <v>589</v>
      </c>
      <c r="N810" s="195"/>
    </row>
    <row r="811" spans="1:14" ht="15" x14ac:dyDescent="0.25">
      <c r="A811" s="410">
        <v>216357</v>
      </c>
      <c r="B811" t="str">
        <f t="shared" si="28"/>
        <v>SEVROLL 10135 horný vozík Simple (pre lamino 18mm) bezrámový L+P</v>
      </c>
      <c r="C811" s="198">
        <f t="shared" si="27"/>
        <v>2.19326</v>
      </c>
      <c r="D811" s="526" t="s">
        <v>3040</v>
      </c>
      <c r="E811" s="526" t="s">
        <v>5433</v>
      </c>
      <c r="F811" s="526" t="s">
        <v>5434</v>
      </c>
      <c r="G811" s="526" t="s">
        <v>5435</v>
      </c>
      <c r="H811" s="412">
        <v>64.442750000000004</v>
      </c>
      <c r="I811" s="411">
        <v>2.19326</v>
      </c>
      <c r="J811" s="411">
        <v>7.5828699999999998</v>
      </c>
      <c r="K811" s="411">
        <v>851.95500000000004</v>
      </c>
      <c r="L811" s="526" t="s">
        <v>554</v>
      </c>
      <c r="M811" s="409" t="s">
        <v>589</v>
      </c>
      <c r="N811" s="195"/>
    </row>
    <row r="812" spans="1:14" ht="15" x14ac:dyDescent="0.25">
      <c r="A812" s="410">
        <v>216356</v>
      </c>
      <c r="B812" t="str">
        <f t="shared" si="28"/>
        <v>SEVROLL horný vozík Simple (18mm)rámový L+P</v>
      </c>
      <c r="C812" s="198">
        <f t="shared" si="27"/>
        <v>2.1416499999999998</v>
      </c>
      <c r="D812" s="526" t="s">
        <v>3039</v>
      </c>
      <c r="E812" s="526" t="s">
        <v>5436</v>
      </c>
      <c r="F812" s="526" t="s">
        <v>1081</v>
      </c>
      <c r="G812" s="526" t="s">
        <v>5437</v>
      </c>
      <c r="H812" s="412">
        <v>62.926450000000003</v>
      </c>
      <c r="I812" s="411">
        <v>2.1416499999999998</v>
      </c>
      <c r="J812" s="411">
        <v>8.4953299999999992</v>
      </c>
      <c r="K812" s="411">
        <v>831.90885000000003</v>
      </c>
      <c r="L812" s="526" t="s">
        <v>554</v>
      </c>
      <c r="M812" s="409" t="s">
        <v>589</v>
      </c>
      <c r="N812" s="195"/>
    </row>
    <row r="813" spans="1:14" ht="15" x14ac:dyDescent="0.25">
      <c r="A813" s="410">
        <v>250125</v>
      </c>
      <c r="B813" t="e">
        <f t="shared" si="28"/>
        <v>#N/A</v>
      </c>
      <c r="C813" s="198" t="e">
        <f t="shared" si="27"/>
        <v>#N/A</v>
      </c>
      <c r="D813" s="526" t="e">
        <v>#N/A</v>
      </c>
      <c r="E813" s="526" t="e">
        <v>#N/A</v>
      </c>
      <c r="F813" s="526" t="e">
        <v>#N/A</v>
      </c>
      <c r="G813" s="526" t="e">
        <v>#N/A</v>
      </c>
      <c r="H813" s="412" t="e">
        <v>#N/A</v>
      </c>
      <c r="I813" s="411" t="e">
        <v>#N/A</v>
      </c>
      <c r="J813" s="411" t="e">
        <v>#N/A</v>
      </c>
      <c r="K813" s="411" t="e">
        <v>#N/A</v>
      </c>
      <c r="L813" s="526" t="e">
        <v>#N/A</v>
      </c>
      <c r="M813" s="409" t="s">
        <v>586</v>
      </c>
      <c r="N813" s="195"/>
    </row>
    <row r="814" spans="1:14" ht="15" x14ac:dyDescent="0.25">
      <c r="A814" s="410">
        <v>250126</v>
      </c>
      <c r="B814" t="e">
        <f t="shared" si="28"/>
        <v>#N/A</v>
      </c>
      <c r="C814" s="198" t="e">
        <f t="shared" si="27"/>
        <v>#N/A</v>
      </c>
      <c r="D814" s="526" t="e">
        <v>#N/A</v>
      </c>
      <c r="E814" s="526" t="e">
        <v>#N/A</v>
      </c>
      <c r="F814" s="526" t="e">
        <v>#N/A</v>
      </c>
      <c r="G814" s="526" t="e">
        <v>#N/A</v>
      </c>
      <c r="H814" s="412" t="e">
        <v>#N/A</v>
      </c>
      <c r="I814" s="411" t="e">
        <v>#N/A</v>
      </c>
      <c r="J814" s="411" t="e">
        <v>#N/A</v>
      </c>
      <c r="K814" s="411" t="e">
        <v>#N/A</v>
      </c>
      <c r="L814" s="526" t="e">
        <v>#N/A</v>
      </c>
      <c r="M814" s="409" t="s">
        <v>586</v>
      </c>
      <c r="N814" s="195"/>
    </row>
    <row r="815" spans="1:14" ht="15" x14ac:dyDescent="0.25">
      <c r="A815" s="410">
        <v>250132</v>
      </c>
      <c r="B815" t="e">
        <f t="shared" si="28"/>
        <v>#N/A</v>
      </c>
      <c r="C815" s="198" t="e">
        <f t="shared" si="27"/>
        <v>#N/A</v>
      </c>
      <c r="D815" s="526" t="e">
        <v>#N/A</v>
      </c>
      <c r="E815" s="526" t="e">
        <v>#N/A</v>
      </c>
      <c r="F815" s="526" t="e">
        <v>#N/A</v>
      </c>
      <c r="G815" s="526" t="e">
        <v>#N/A</v>
      </c>
      <c r="H815" s="412" t="e">
        <v>#N/A</v>
      </c>
      <c r="I815" s="411" t="e">
        <v>#N/A</v>
      </c>
      <c r="J815" s="411" t="e">
        <v>#N/A</v>
      </c>
      <c r="K815" s="411" t="e">
        <v>#N/A</v>
      </c>
      <c r="L815" s="526" t="e">
        <v>#N/A</v>
      </c>
      <c r="M815" s="409" t="s">
        <v>586</v>
      </c>
      <c r="N815" s="195"/>
    </row>
    <row r="816" spans="1:14" ht="15" x14ac:dyDescent="0.25">
      <c r="A816" s="410">
        <v>89173</v>
      </c>
      <c r="B816" t="e">
        <f t="shared" si="28"/>
        <v>#N/A</v>
      </c>
      <c r="C816" s="198" t="e">
        <f t="shared" si="27"/>
        <v>#N/A</v>
      </c>
      <c r="D816" s="526" t="e">
        <v>#N/A</v>
      </c>
      <c r="E816" s="526" t="e">
        <v>#N/A</v>
      </c>
      <c r="F816" s="526" t="e">
        <v>#N/A</v>
      </c>
      <c r="G816" s="526" t="e">
        <v>#N/A</v>
      </c>
      <c r="H816" s="412" t="e">
        <v>#N/A</v>
      </c>
      <c r="I816" s="411" t="e">
        <v>#N/A</v>
      </c>
      <c r="J816" s="411" t="e">
        <v>#N/A</v>
      </c>
      <c r="K816" s="411" t="e">
        <v>#N/A</v>
      </c>
      <c r="L816" s="526" t="e">
        <v>#N/A</v>
      </c>
      <c r="M816" s="409" t="s">
        <v>586</v>
      </c>
      <c r="N816" s="195"/>
    </row>
    <row r="817" spans="1:14" ht="15" x14ac:dyDescent="0.25">
      <c r="A817" s="410">
        <v>89174</v>
      </c>
      <c r="B817" t="e">
        <f t="shared" si="28"/>
        <v>#N/A</v>
      </c>
      <c r="C817" s="198" t="e">
        <f t="shared" si="27"/>
        <v>#N/A</v>
      </c>
      <c r="D817" s="526" t="e">
        <v>#N/A</v>
      </c>
      <c r="E817" s="526" t="e">
        <v>#N/A</v>
      </c>
      <c r="F817" s="526" t="e">
        <v>#N/A</v>
      </c>
      <c r="G817" s="526" t="e">
        <v>#N/A</v>
      </c>
      <c r="H817" s="412" t="e">
        <v>#N/A</v>
      </c>
      <c r="I817" s="411" t="e">
        <v>#N/A</v>
      </c>
      <c r="J817" s="411" t="e">
        <v>#N/A</v>
      </c>
      <c r="K817" s="411" t="e">
        <v>#N/A</v>
      </c>
      <c r="L817" s="526" t="e">
        <v>#N/A</v>
      </c>
      <c r="M817" s="409" t="s">
        <v>586</v>
      </c>
      <c r="N817" s="195"/>
    </row>
    <row r="818" spans="1:14" ht="15" x14ac:dyDescent="0.25">
      <c r="A818" s="410">
        <v>89172</v>
      </c>
      <c r="B818" t="str">
        <f t="shared" si="28"/>
        <v>SEVROLL 258-MASKA CLEFT 1,7M ZLATÁ</v>
      </c>
      <c r="C818" s="198">
        <f t="shared" si="27"/>
        <v>2.3460899999999998</v>
      </c>
      <c r="D818" s="526" t="s">
        <v>1080</v>
      </c>
      <c r="E818" s="526" t="s">
        <v>5438</v>
      </c>
      <c r="F818" s="526" t="s">
        <v>5439</v>
      </c>
      <c r="G818" s="526" t="s">
        <v>5440</v>
      </c>
      <c r="H818" s="412" t="e">
        <v>#N/A</v>
      </c>
      <c r="I818" s="411">
        <v>2.3460899999999998</v>
      </c>
      <c r="J818" s="411">
        <v>0</v>
      </c>
      <c r="K818" s="411">
        <v>1015.35085</v>
      </c>
      <c r="L818" s="526" t="e">
        <v>#N/A</v>
      </c>
      <c r="M818" s="409" t="s">
        <v>586</v>
      </c>
      <c r="N818" s="195"/>
    </row>
    <row r="819" spans="1:14" ht="15" x14ac:dyDescent="0.25">
      <c r="A819" s="410">
        <v>89176</v>
      </c>
      <c r="B819" t="e">
        <f t="shared" si="28"/>
        <v>#N/A</v>
      </c>
      <c r="C819" s="198" t="e">
        <f t="shared" si="27"/>
        <v>#N/A</v>
      </c>
      <c r="D819" s="526" t="e">
        <v>#N/A</v>
      </c>
      <c r="E819" s="526" t="e">
        <v>#N/A</v>
      </c>
      <c r="F819" s="526" t="e">
        <v>#N/A</v>
      </c>
      <c r="G819" s="526" t="e">
        <v>#N/A</v>
      </c>
      <c r="H819" s="412" t="e">
        <v>#N/A</v>
      </c>
      <c r="I819" s="411" t="e">
        <v>#N/A</v>
      </c>
      <c r="J819" s="411" t="e">
        <v>#N/A</v>
      </c>
      <c r="K819" s="411" t="e">
        <v>#N/A</v>
      </c>
      <c r="L819" s="526" t="e">
        <v>#N/A</v>
      </c>
      <c r="M819" s="409" t="s">
        <v>586</v>
      </c>
      <c r="N819" s="195"/>
    </row>
    <row r="820" spans="1:14" ht="15" x14ac:dyDescent="0.25">
      <c r="A820" s="410">
        <v>89177</v>
      </c>
      <c r="B820" t="str">
        <f t="shared" si="28"/>
        <v>SEVROLL 259-MASKA CLEFT 2,35M STRIEBOR.</v>
      </c>
      <c r="C820" s="198">
        <f t="shared" si="27"/>
        <v>3.3801000000000001</v>
      </c>
      <c r="D820" s="526" t="s">
        <v>1079</v>
      </c>
      <c r="E820" s="526" t="s">
        <v>5441</v>
      </c>
      <c r="F820" s="526" t="s">
        <v>5442</v>
      </c>
      <c r="G820" s="526" t="s">
        <v>5443</v>
      </c>
      <c r="H820" s="412">
        <v>85.58</v>
      </c>
      <c r="I820" s="411">
        <v>3.3801000000000001</v>
      </c>
      <c r="J820" s="411">
        <v>0</v>
      </c>
      <c r="K820" s="411">
        <v>1462.85733</v>
      </c>
      <c r="L820" s="526" t="s">
        <v>555</v>
      </c>
      <c r="M820" s="409" t="s">
        <v>586</v>
      </c>
      <c r="N820" s="195"/>
    </row>
    <row r="821" spans="1:14" ht="15" x14ac:dyDescent="0.25">
      <c r="A821" s="410">
        <v>89175</v>
      </c>
      <c r="B821" t="str">
        <f t="shared" si="28"/>
        <v>SEVROLL 259-MASKA CLEFT 2,35M ZLATÁ</v>
      </c>
      <c r="C821" s="198">
        <f t="shared" si="27"/>
        <v>3.3801000000000001</v>
      </c>
      <c r="D821" s="526" t="s">
        <v>1078</v>
      </c>
      <c r="E821" s="526" t="s">
        <v>5444</v>
      </c>
      <c r="F821" s="526" t="s">
        <v>5445</v>
      </c>
      <c r="G821" s="526" t="s">
        <v>5446</v>
      </c>
      <c r="H821" s="412" t="e">
        <v>#N/A</v>
      </c>
      <c r="I821" s="411">
        <v>3.3801000000000001</v>
      </c>
      <c r="J821" s="411">
        <v>0</v>
      </c>
      <c r="K821" s="411">
        <v>1462.85733</v>
      </c>
      <c r="L821" s="526" t="e">
        <v>#N/A</v>
      </c>
      <c r="M821" s="409" t="s">
        <v>586</v>
      </c>
      <c r="N821" s="195"/>
    </row>
    <row r="822" spans="1:14" ht="15" x14ac:dyDescent="0.25">
      <c r="A822" s="410">
        <v>89179</v>
      </c>
      <c r="B822" t="e">
        <f t="shared" si="28"/>
        <v>#N/A</v>
      </c>
      <c r="C822" s="198" t="e">
        <f t="shared" si="27"/>
        <v>#N/A</v>
      </c>
      <c r="D822" s="526" t="e">
        <v>#N/A</v>
      </c>
      <c r="E822" s="526" t="e">
        <v>#N/A</v>
      </c>
      <c r="F822" s="526" t="e">
        <v>#N/A</v>
      </c>
      <c r="G822" s="526" t="e">
        <v>#N/A</v>
      </c>
      <c r="H822" s="412" t="e">
        <v>#N/A</v>
      </c>
      <c r="I822" s="411" t="e">
        <v>#N/A</v>
      </c>
      <c r="J822" s="411" t="e">
        <v>#N/A</v>
      </c>
      <c r="K822" s="411" t="e">
        <v>#N/A</v>
      </c>
      <c r="L822" s="526" t="e">
        <v>#N/A</v>
      </c>
      <c r="M822" s="409" t="s">
        <v>586</v>
      </c>
      <c r="N822" s="195"/>
    </row>
    <row r="823" spans="1:14" ht="15" x14ac:dyDescent="0.25">
      <c r="A823" s="410">
        <v>89180</v>
      </c>
      <c r="B823" t="e">
        <f t="shared" si="28"/>
        <v>#N/A</v>
      </c>
      <c r="C823" s="198" t="e">
        <f t="shared" si="27"/>
        <v>#N/A</v>
      </c>
      <c r="D823" s="526" t="e">
        <v>#N/A</v>
      </c>
      <c r="E823" s="526" t="e">
        <v>#N/A</v>
      </c>
      <c r="F823" s="526" t="e">
        <v>#N/A</v>
      </c>
      <c r="G823" s="526" t="e">
        <v>#N/A</v>
      </c>
      <c r="H823" s="412" t="e">
        <v>#N/A</v>
      </c>
      <c r="I823" s="411" t="e">
        <v>#N/A</v>
      </c>
      <c r="J823" s="411" t="e">
        <v>#N/A</v>
      </c>
      <c r="K823" s="411" t="e">
        <v>#N/A</v>
      </c>
      <c r="L823" s="526" t="e">
        <v>#N/A</v>
      </c>
      <c r="M823" s="409" t="s">
        <v>586</v>
      </c>
      <c r="N823" s="195"/>
    </row>
    <row r="824" spans="1:14" ht="15" x14ac:dyDescent="0.25">
      <c r="A824" s="410">
        <v>89178</v>
      </c>
      <c r="B824" t="str">
        <f t="shared" si="28"/>
        <v>SEVROLL 260-MASKA CLEFT 3M ZLATÁ</v>
      </c>
      <c r="C824" s="198">
        <f t="shared" si="27"/>
        <v>4.1404100000000001</v>
      </c>
      <c r="D824" s="526" t="s">
        <v>1077</v>
      </c>
      <c r="E824" s="526" t="s">
        <v>5447</v>
      </c>
      <c r="F824" s="526" t="s">
        <v>5448</v>
      </c>
      <c r="G824" s="526" t="s">
        <v>5449</v>
      </c>
      <c r="H824" s="412" t="e">
        <v>#N/A</v>
      </c>
      <c r="I824" s="411">
        <v>4.1404100000000001</v>
      </c>
      <c r="J824" s="411">
        <v>0</v>
      </c>
      <c r="K824" s="411">
        <v>1791.9062200000001</v>
      </c>
      <c r="L824" s="526" t="e">
        <v>#N/A</v>
      </c>
      <c r="M824" s="409" t="s">
        <v>586</v>
      </c>
      <c r="N824" s="195"/>
    </row>
    <row r="825" spans="1:14" ht="15" x14ac:dyDescent="0.25">
      <c r="A825" s="410">
        <v>89091</v>
      </c>
      <c r="B825" t="e">
        <f t="shared" si="28"/>
        <v>#N/A</v>
      </c>
      <c r="C825" s="198" t="e">
        <f t="shared" si="27"/>
        <v>#N/A</v>
      </c>
      <c r="D825" s="526" t="e">
        <v>#N/A</v>
      </c>
      <c r="E825" s="526" t="e">
        <v>#N/A</v>
      </c>
      <c r="F825" s="526" t="e">
        <v>#N/A</v>
      </c>
      <c r="G825" s="526" t="e">
        <v>#N/A</v>
      </c>
      <c r="H825" s="412" t="e">
        <v>#N/A</v>
      </c>
      <c r="I825" s="411" t="e">
        <v>#N/A</v>
      </c>
      <c r="J825" s="411" t="e">
        <v>#N/A</v>
      </c>
      <c r="K825" s="411" t="e">
        <v>#N/A</v>
      </c>
      <c r="L825" s="526" t="e">
        <v>#N/A</v>
      </c>
      <c r="M825" s="409" t="s">
        <v>586</v>
      </c>
      <c r="N825" s="195"/>
    </row>
    <row r="826" spans="1:14" ht="15" x14ac:dyDescent="0.25">
      <c r="A826" s="410">
        <v>89092</v>
      </c>
      <c r="B826" t="e">
        <f t="shared" si="28"/>
        <v>#N/A</v>
      </c>
      <c r="C826" s="198" t="e">
        <f t="shared" si="27"/>
        <v>#N/A</v>
      </c>
      <c r="D826" s="526" t="e">
        <v>#N/A</v>
      </c>
      <c r="E826" s="526" t="e">
        <v>#N/A</v>
      </c>
      <c r="F826" s="526" t="e">
        <v>#N/A</v>
      </c>
      <c r="G826" s="526" t="e">
        <v>#N/A</v>
      </c>
      <c r="H826" s="412" t="e">
        <v>#N/A</v>
      </c>
      <c r="I826" s="411" t="e">
        <v>#N/A</v>
      </c>
      <c r="J826" s="411" t="e">
        <v>#N/A</v>
      </c>
      <c r="K826" s="411" t="e">
        <v>#N/A</v>
      </c>
      <c r="L826" s="526" t="e">
        <v>#N/A</v>
      </c>
      <c r="M826" s="409" t="s">
        <v>586</v>
      </c>
      <c r="N826" s="195"/>
    </row>
    <row r="827" spans="1:14" ht="15" x14ac:dyDescent="0.25">
      <c r="A827" s="410">
        <v>89090</v>
      </c>
      <c r="B827" t="str">
        <f t="shared" si="28"/>
        <v>SEVROLL 270-MASKA CLEFT 4,05 M ZLATÁ</v>
      </c>
      <c r="C827" s="198">
        <f t="shared" ref="C827:C890" si="29">IF($A$2=1,H827,IF($A$2=2,I827,IF($A$2=3,J827,IF($A$2=4,K827,"zadat jazyk"))))</f>
        <v>5.5437099999999999</v>
      </c>
      <c r="D827" s="526" t="s">
        <v>2699</v>
      </c>
      <c r="E827" s="526" t="s">
        <v>5450</v>
      </c>
      <c r="F827" s="526" t="s">
        <v>5451</v>
      </c>
      <c r="G827" s="526" t="s">
        <v>5452</v>
      </c>
      <c r="H827" s="412" t="e">
        <v>#N/A</v>
      </c>
      <c r="I827" s="411">
        <v>5.5437099999999999</v>
      </c>
      <c r="J827" s="411">
        <v>0</v>
      </c>
      <c r="K827" s="411">
        <v>2399.2364400000001</v>
      </c>
      <c r="L827" s="526" t="e">
        <v>#N/A</v>
      </c>
      <c r="M827" s="409" t="s">
        <v>586</v>
      </c>
      <c r="N827" s="195"/>
    </row>
    <row r="828" spans="1:14" ht="15" x14ac:dyDescent="0.25">
      <c r="A828" s="410">
        <v>135118</v>
      </c>
      <c r="B828" t="str">
        <f t="shared" si="28"/>
        <v>SEVROLL 04076 maska Cleft 6m strieborná</v>
      </c>
      <c r="C828" s="198">
        <f t="shared" si="29"/>
        <v>3.8414600000000001</v>
      </c>
      <c r="D828" s="526" t="s">
        <v>2872</v>
      </c>
      <c r="E828" s="526" t="s">
        <v>5453</v>
      </c>
      <c r="F828" s="526" t="s">
        <v>5454</v>
      </c>
      <c r="G828" s="526" t="s">
        <v>5455</v>
      </c>
      <c r="H828" s="412">
        <v>87.75609</v>
      </c>
      <c r="I828" s="411">
        <v>3.8414600000000001</v>
      </c>
      <c r="J828" s="411">
        <v>17.19848</v>
      </c>
      <c r="K828" s="411">
        <v>1464.5577000000001</v>
      </c>
      <c r="L828" s="526" t="s">
        <v>555</v>
      </c>
      <c r="M828" s="409" t="s">
        <v>586</v>
      </c>
      <c r="N828" s="195"/>
    </row>
    <row r="829" spans="1:14" ht="15" x14ac:dyDescent="0.25">
      <c r="A829" s="410">
        <v>318655</v>
      </c>
      <c r="B829" t="str">
        <f t="shared" si="28"/>
        <v>SEVROLL 04296 maska Elegant II 1,7m oliva</v>
      </c>
      <c r="C829" s="198">
        <f t="shared" si="29"/>
        <v>3.1802299999999999</v>
      </c>
      <c r="D829" s="526" t="s">
        <v>3357</v>
      </c>
      <c r="E829" s="526" t="s">
        <v>5456</v>
      </c>
      <c r="F829" s="526" t="s">
        <v>3357</v>
      </c>
      <c r="G829" s="526" t="s">
        <v>5457</v>
      </c>
      <c r="H829" s="412">
        <v>87.878579999999999</v>
      </c>
      <c r="I829" s="411">
        <v>3.1802299999999999</v>
      </c>
      <c r="J829" s="411">
        <v>10.917999999999999</v>
      </c>
      <c r="K829" s="411">
        <v>1210.6283000000001</v>
      </c>
      <c r="L829" s="526" t="s">
        <v>553</v>
      </c>
      <c r="M829" s="409" t="s">
        <v>586</v>
      </c>
      <c r="N829" s="195"/>
    </row>
    <row r="830" spans="1:14" ht="15" x14ac:dyDescent="0.25">
      <c r="A830" s="410">
        <v>318657</v>
      </c>
      <c r="B830" t="str">
        <f t="shared" si="28"/>
        <v>SEVROLL 04302 maska Elegant II 1,7m strieborná</v>
      </c>
      <c r="C830" s="198">
        <f t="shared" si="29"/>
        <v>2.5441799999999999</v>
      </c>
      <c r="D830" s="526" t="s">
        <v>3359</v>
      </c>
      <c r="E830" s="526" t="s">
        <v>5458</v>
      </c>
      <c r="F830" s="526" t="s">
        <v>5459</v>
      </c>
      <c r="G830" s="526" t="s">
        <v>2404</v>
      </c>
      <c r="H830" s="412">
        <v>70.731539999999995</v>
      </c>
      <c r="I830" s="411">
        <v>2.5441799999999999</v>
      </c>
      <c r="J830" s="411">
        <v>9.3840000000000003</v>
      </c>
      <c r="K830" s="411">
        <v>968.50234999999998</v>
      </c>
      <c r="L830" s="526" t="s">
        <v>710</v>
      </c>
      <c r="M830" s="409" t="s">
        <v>586</v>
      </c>
      <c r="N830" s="195"/>
    </row>
    <row r="831" spans="1:14" ht="15" x14ac:dyDescent="0.25">
      <c r="A831" s="410">
        <v>318638</v>
      </c>
      <c r="B831" t="str">
        <f t="shared" si="28"/>
        <v>SEVROLL maska Elegant II 1,7m zlatá</v>
      </c>
      <c r="C831" s="198">
        <f t="shared" si="29"/>
        <v>3.1802299999999999</v>
      </c>
      <c r="D831" s="526" t="s">
        <v>3352</v>
      </c>
      <c r="E831" s="526" t="s">
        <v>5460</v>
      </c>
      <c r="F831" s="526" t="s">
        <v>1162</v>
      </c>
      <c r="G831" s="526" t="s">
        <v>5461</v>
      </c>
      <c r="H831" s="412">
        <v>87.878579999999999</v>
      </c>
      <c r="I831" s="411">
        <v>3.1802299999999999</v>
      </c>
      <c r="J831" s="411">
        <v>10.917999999999999</v>
      </c>
      <c r="K831" s="411">
        <v>1210.6283000000001</v>
      </c>
      <c r="L831" s="526" t="s">
        <v>554</v>
      </c>
      <c r="M831" s="409" t="s">
        <v>586</v>
      </c>
      <c r="N831" s="195"/>
    </row>
    <row r="832" spans="1:14" ht="15" x14ac:dyDescent="0.25">
      <c r="A832" s="410">
        <v>318658</v>
      </c>
      <c r="B832" t="str">
        <f t="shared" si="28"/>
        <v>SEVROLL 04297 maska Elegant II 2,35m oliva</v>
      </c>
      <c r="C832" s="198">
        <f t="shared" si="29"/>
        <v>4.3961899999999998</v>
      </c>
      <c r="D832" s="526" t="s">
        <v>3360</v>
      </c>
      <c r="E832" s="526" t="s">
        <v>5462</v>
      </c>
      <c r="F832" s="526" t="s">
        <v>3360</v>
      </c>
      <c r="G832" s="526" t="s">
        <v>5463</v>
      </c>
      <c r="H832" s="412">
        <v>121.45820000000001</v>
      </c>
      <c r="I832" s="411">
        <v>4.3961899999999998</v>
      </c>
      <c r="J832" s="411">
        <v>15.089499999999999</v>
      </c>
      <c r="K832" s="411">
        <v>1673.51511</v>
      </c>
      <c r="L832" s="526" t="s">
        <v>553</v>
      </c>
      <c r="M832" s="409" t="s">
        <v>586</v>
      </c>
      <c r="N832" s="195"/>
    </row>
    <row r="833" spans="1:14" ht="15" x14ac:dyDescent="0.25">
      <c r="A833" s="410">
        <v>318660</v>
      </c>
      <c r="B833" t="str">
        <f t="shared" si="28"/>
        <v>SEVROLL 04303 maska Elegant II 2,35m strieborná</v>
      </c>
      <c r="C833" s="198">
        <f t="shared" si="29"/>
        <v>3.51694</v>
      </c>
      <c r="D833" s="526" t="s">
        <v>3362</v>
      </c>
      <c r="E833" s="526" t="s">
        <v>5464</v>
      </c>
      <c r="F833" s="526" t="s">
        <v>5465</v>
      </c>
      <c r="G833" s="526" t="s">
        <v>5466</v>
      </c>
      <c r="H833" s="412">
        <v>97.166560000000004</v>
      </c>
      <c r="I833" s="411">
        <v>3.51694</v>
      </c>
      <c r="J833" s="411">
        <v>12.9846</v>
      </c>
      <c r="K833" s="411">
        <v>1338.8123000000001</v>
      </c>
      <c r="L833" s="526" t="s">
        <v>710</v>
      </c>
      <c r="M833" s="409" t="s">
        <v>586</v>
      </c>
      <c r="N833" s="195"/>
    </row>
    <row r="834" spans="1:14" ht="15" x14ac:dyDescent="0.25">
      <c r="A834" s="410">
        <v>318643</v>
      </c>
      <c r="B834" t="str">
        <f t="shared" si="28"/>
        <v>SEVROLL maska Elegant II 2,35m zlatá</v>
      </c>
      <c r="C834" s="198">
        <f t="shared" si="29"/>
        <v>4.3961899999999998</v>
      </c>
      <c r="D834" s="526" t="s">
        <v>3353</v>
      </c>
      <c r="E834" s="526" t="s">
        <v>5467</v>
      </c>
      <c r="F834" s="526" t="s">
        <v>1161</v>
      </c>
      <c r="G834" s="526" t="s">
        <v>5468</v>
      </c>
      <c r="H834" s="412">
        <v>121.45820000000001</v>
      </c>
      <c r="I834" s="411">
        <v>4.3961899999999998</v>
      </c>
      <c r="J834" s="411">
        <v>15.089499999999999</v>
      </c>
      <c r="K834" s="411">
        <v>1673.51511</v>
      </c>
      <c r="L834" s="526" t="s">
        <v>554</v>
      </c>
      <c r="M834" s="409" t="s">
        <v>586</v>
      </c>
      <c r="N834" s="195"/>
    </row>
    <row r="835" spans="1:14" ht="15" x14ac:dyDescent="0.25">
      <c r="A835" s="410">
        <v>345409</v>
      </c>
      <c r="B835" t="str">
        <f t="shared" si="28"/>
        <v>SEVROLL 04298 maska Elegant II 3m oliva</v>
      </c>
      <c r="C835" s="198">
        <f t="shared" si="29"/>
        <v>5.6121499999999997</v>
      </c>
      <c r="D835" s="526" t="s">
        <v>3385</v>
      </c>
      <c r="E835" s="526" t="s">
        <v>5469</v>
      </c>
      <c r="F835" s="526" t="s">
        <v>3385</v>
      </c>
      <c r="G835" s="526" t="s">
        <v>5470</v>
      </c>
      <c r="H835" s="412">
        <v>155.39505</v>
      </c>
      <c r="I835" s="411">
        <v>5.6121499999999997</v>
      </c>
      <c r="J835" s="411">
        <v>19.240400000000001</v>
      </c>
      <c r="K835" s="411">
        <v>2136.40265</v>
      </c>
      <c r="L835" s="526" t="s">
        <v>553</v>
      </c>
      <c r="M835" s="409" t="s">
        <v>586</v>
      </c>
      <c r="N835" s="195"/>
    </row>
    <row r="836" spans="1:14" ht="15" x14ac:dyDescent="0.25">
      <c r="A836" s="410">
        <v>345408</v>
      </c>
      <c r="B836" t="str">
        <f t="shared" si="28"/>
        <v>SEVROLL 04304 maska Elegant II 3m strieborná</v>
      </c>
      <c r="C836" s="198">
        <f t="shared" si="29"/>
        <v>4.4897200000000002</v>
      </c>
      <c r="D836" s="526" t="s">
        <v>3384</v>
      </c>
      <c r="E836" s="526" t="s">
        <v>5471</v>
      </c>
      <c r="F836" s="526" t="s">
        <v>5472</v>
      </c>
      <c r="G836" s="526" t="s">
        <v>5473</v>
      </c>
      <c r="H836" s="412">
        <v>124.31604</v>
      </c>
      <c r="I836" s="411">
        <v>4.4897200000000002</v>
      </c>
      <c r="J836" s="411">
        <v>16.564800000000002</v>
      </c>
      <c r="K836" s="411">
        <v>1709.1218899999999</v>
      </c>
      <c r="L836" s="526" t="s">
        <v>710</v>
      </c>
      <c r="M836" s="409" t="s">
        <v>586</v>
      </c>
      <c r="N836" s="195"/>
    </row>
    <row r="837" spans="1:14" ht="15" x14ac:dyDescent="0.25">
      <c r="A837" s="410">
        <v>318644</v>
      </c>
      <c r="B837" t="str">
        <f t="shared" si="28"/>
        <v>SEVROLL maska Elegant II 3m zlatá</v>
      </c>
      <c r="C837" s="198">
        <f t="shared" si="29"/>
        <v>5.6121499999999997</v>
      </c>
      <c r="D837" s="526" t="s">
        <v>3354</v>
      </c>
      <c r="E837" s="526" t="s">
        <v>5474</v>
      </c>
      <c r="F837" s="526" t="s">
        <v>1160</v>
      </c>
      <c r="G837" s="526" t="s">
        <v>5475</v>
      </c>
      <c r="H837" s="412">
        <v>210.05124000000001</v>
      </c>
      <c r="I837" s="411">
        <v>5.6121499999999997</v>
      </c>
      <c r="J837" s="411">
        <v>19.240400000000001</v>
      </c>
      <c r="K837" s="411">
        <v>2136.40265</v>
      </c>
      <c r="L837" s="526" t="s">
        <v>553</v>
      </c>
      <c r="M837" s="409" t="s">
        <v>586</v>
      </c>
      <c r="N837" s="195"/>
    </row>
    <row r="838" spans="1:14" ht="15" x14ac:dyDescent="0.25">
      <c r="A838" s="410">
        <v>345777</v>
      </c>
      <c r="B838" t="str">
        <f t="shared" si="28"/>
        <v>SEVROLL 04299 maska Elegant II 4,05m oliva</v>
      </c>
      <c r="C838" s="198">
        <f t="shared" si="29"/>
        <v>7.5763999999999996</v>
      </c>
      <c r="D838" s="526" t="s">
        <v>3391</v>
      </c>
      <c r="E838" s="526" t="s">
        <v>5476</v>
      </c>
      <c r="F838" s="526" t="s">
        <v>3391</v>
      </c>
      <c r="G838" s="526" t="s">
        <v>5477</v>
      </c>
      <c r="H838" s="412">
        <v>210.05124000000001</v>
      </c>
      <c r="I838" s="411">
        <v>7.5763999999999996</v>
      </c>
      <c r="J838" s="411">
        <v>25.986899999999999</v>
      </c>
      <c r="K838" s="411">
        <v>2884.1434100000001</v>
      </c>
      <c r="L838" s="526" t="s">
        <v>553</v>
      </c>
      <c r="M838" s="409" t="s">
        <v>586</v>
      </c>
      <c r="N838" s="195"/>
    </row>
    <row r="839" spans="1:14" ht="15" x14ac:dyDescent="0.25">
      <c r="A839" s="410">
        <v>345776</v>
      </c>
      <c r="B839" t="str">
        <f t="shared" si="28"/>
        <v>SEVROLL 04305 maska Elegant II 4,05m strieborná</v>
      </c>
      <c r="C839" s="198">
        <f t="shared" si="29"/>
        <v>6.0611199999999998</v>
      </c>
      <c r="D839" s="526" t="s">
        <v>3390</v>
      </c>
      <c r="E839" s="526" t="s">
        <v>5478</v>
      </c>
      <c r="F839" s="526" t="s">
        <v>5479</v>
      </c>
      <c r="G839" s="526" t="s">
        <v>5480</v>
      </c>
      <c r="H839" s="412">
        <v>167.82665</v>
      </c>
      <c r="I839" s="411">
        <v>6.0611199999999998</v>
      </c>
      <c r="J839" s="411">
        <v>22.368600000000001</v>
      </c>
      <c r="K839" s="411">
        <v>2307.3146499999998</v>
      </c>
      <c r="L839" s="526" t="s">
        <v>710</v>
      </c>
      <c r="M839" s="409" t="s">
        <v>586</v>
      </c>
      <c r="N839" s="195"/>
    </row>
    <row r="840" spans="1:14" ht="15" x14ac:dyDescent="0.25">
      <c r="A840" s="410">
        <v>318645</v>
      </c>
      <c r="B840" t="str">
        <f t="shared" si="28"/>
        <v>SEVROLL maska Elegant II 4,05m zlatá</v>
      </c>
      <c r="C840" s="198">
        <f t="shared" si="29"/>
        <v>7.5763999999999996</v>
      </c>
      <c r="D840" s="526" t="s">
        <v>3355</v>
      </c>
      <c r="E840" s="526" t="s">
        <v>5481</v>
      </c>
      <c r="F840" s="526" t="s">
        <v>1159</v>
      </c>
      <c r="G840" s="526" t="s">
        <v>5482</v>
      </c>
      <c r="H840" s="412">
        <v>210.05124000000001</v>
      </c>
      <c r="I840" s="411">
        <v>7.5763999999999996</v>
      </c>
      <c r="J840" s="411">
        <v>25.986899999999999</v>
      </c>
      <c r="K840" s="411">
        <v>2884.1434100000001</v>
      </c>
      <c r="L840" s="526" t="s">
        <v>553</v>
      </c>
      <c r="M840" s="409" t="s">
        <v>586</v>
      </c>
      <c r="N840" s="195"/>
    </row>
    <row r="841" spans="1:14" ht="15" x14ac:dyDescent="0.25">
      <c r="A841" s="410">
        <v>346119</v>
      </c>
      <c r="B841" t="str">
        <f t="shared" si="28"/>
        <v>SEVROLL 04301 maska Elegant II 6m oliva</v>
      </c>
      <c r="C841" s="198">
        <f t="shared" si="29"/>
        <v>11.224309999999999</v>
      </c>
      <c r="D841" s="526" t="s">
        <v>3397</v>
      </c>
      <c r="E841" s="526" t="s">
        <v>5483</v>
      </c>
      <c r="F841" s="526" t="s">
        <v>3397</v>
      </c>
      <c r="G841" s="526" t="s">
        <v>5484</v>
      </c>
      <c r="H841" s="412">
        <v>310.7901</v>
      </c>
      <c r="I841" s="411">
        <v>11.224309999999999</v>
      </c>
      <c r="J841" s="411">
        <v>38.491100000000003</v>
      </c>
      <c r="K841" s="411">
        <v>4272.8049000000001</v>
      </c>
      <c r="L841" s="526" t="s">
        <v>553</v>
      </c>
      <c r="M841" s="409" t="s">
        <v>586</v>
      </c>
      <c r="N841" s="195"/>
    </row>
    <row r="842" spans="1:14" ht="15" x14ac:dyDescent="0.25">
      <c r="A842" s="410">
        <v>346118</v>
      </c>
      <c r="B842" t="str">
        <f t="shared" si="28"/>
        <v>SEVROLL 04307 maska Elegant II 6m strieborná</v>
      </c>
      <c r="C842" s="198">
        <f t="shared" si="29"/>
        <v>8.9794400000000003</v>
      </c>
      <c r="D842" s="526" t="s">
        <v>3396</v>
      </c>
      <c r="E842" s="526" t="s">
        <v>5485</v>
      </c>
      <c r="F842" s="526" t="s">
        <v>5486</v>
      </c>
      <c r="G842" s="526" t="s">
        <v>5487</v>
      </c>
      <c r="H842" s="412">
        <v>248.63208</v>
      </c>
      <c r="I842" s="411">
        <v>8.9794400000000003</v>
      </c>
      <c r="J842" s="411">
        <v>33.160200000000003</v>
      </c>
      <c r="K842" s="411">
        <v>3418.24377</v>
      </c>
      <c r="L842" s="526" t="s">
        <v>553</v>
      </c>
      <c r="M842" s="409" t="s">
        <v>586</v>
      </c>
      <c r="N842" s="195"/>
    </row>
    <row r="843" spans="1:14" ht="15" x14ac:dyDescent="0.25">
      <c r="A843" s="410">
        <v>318646</v>
      </c>
      <c r="B843" t="str">
        <f t="shared" si="28"/>
        <v>SEVROLL 04312 maska ??Elegant II 6m zlatá</v>
      </c>
      <c r="C843" s="198">
        <f t="shared" si="29"/>
        <v>11.224309999999999</v>
      </c>
      <c r="D843" s="526" t="s">
        <v>3356</v>
      </c>
      <c r="E843" s="526" t="s">
        <v>5488</v>
      </c>
      <c r="F843" s="526" t="s">
        <v>5489</v>
      </c>
      <c r="G843" s="526" t="s">
        <v>5490</v>
      </c>
      <c r="H843" s="412">
        <v>310.7901</v>
      </c>
      <c r="I843" s="411">
        <v>11.224309999999999</v>
      </c>
      <c r="J843" s="411">
        <v>38.491100000000003</v>
      </c>
      <c r="K843" s="411">
        <v>4272.8049000000001</v>
      </c>
      <c r="L843" s="526" t="s">
        <v>554</v>
      </c>
      <c r="M843" s="409" t="s">
        <v>586</v>
      </c>
      <c r="N843" s="195"/>
    </row>
    <row r="844" spans="1:14" ht="15" x14ac:dyDescent="0.25">
      <c r="A844" s="410">
        <v>250134</v>
      </c>
      <c r="B844" t="e">
        <f t="shared" si="28"/>
        <v>#N/A</v>
      </c>
      <c r="C844" s="198" t="e">
        <f t="shared" si="29"/>
        <v>#N/A</v>
      </c>
      <c r="D844" s="526" t="e">
        <v>#N/A</v>
      </c>
      <c r="E844" s="526" t="e">
        <v>#N/A</v>
      </c>
      <c r="F844" s="526" t="e">
        <v>#N/A</v>
      </c>
      <c r="G844" s="526" t="e">
        <v>#N/A</v>
      </c>
      <c r="H844" s="412" t="e">
        <v>#N/A</v>
      </c>
      <c r="I844" s="411" t="e">
        <v>#N/A</v>
      </c>
      <c r="J844" s="411" t="e">
        <v>#N/A</v>
      </c>
      <c r="K844" s="411" t="e">
        <v>#N/A</v>
      </c>
      <c r="L844" s="526" t="e">
        <v>#N/A</v>
      </c>
      <c r="M844" s="409" t="s">
        <v>586</v>
      </c>
      <c r="N844" s="195"/>
    </row>
    <row r="845" spans="1:14" ht="15" x14ac:dyDescent="0.25">
      <c r="A845" s="410">
        <v>98064</v>
      </c>
      <c r="B845" t="str">
        <f t="shared" si="28"/>
        <v>SEVROLL 10199 Micra C sada kovania pre 1 krídlo</v>
      </c>
      <c r="C845" s="198">
        <f t="shared" si="29"/>
        <v>6.2998099999999999</v>
      </c>
      <c r="D845" s="526" t="s">
        <v>2797</v>
      </c>
      <c r="E845" s="526" t="s">
        <v>5491</v>
      </c>
      <c r="F845" s="526" t="s">
        <v>5492</v>
      </c>
      <c r="G845" s="526" t="s">
        <v>5493</v>
      </c>
      <c r="H845" s="412">
        <v>174.32823999999999</v>
      </c>
      <c r="I845" s="411">
        <v>6.2998099999999999</v>
      </c>
      <c r="J845" s="411">
        <v>25.214400000000001</v>
      </c>
      <c r="K845" s="411">
        <v>2398.17346</v>
      </c>
      <c r="L845" s="526" t="s">
        <v>553</v>
      </c>
      <c r="M845" s="409" t="s">
        <v>587</v>
      </c>
      <c r="N845" s="195"/>
    </row>
    <row r="846" spans="1:14" ht="15" x14ac:dyDescent="0.25">
      <c r="A846" s="410">
        <v>278059</v>
      </c>
      <c r="B846" t="str">
        <f t="shared" si="28"/>
        <v>SEVROLL 04095 Pax spodná krycia lišta 3m 4mm strieborná</v>
      </c>
      <c r="C846" s="198">
        <f t="shared" si="29"/>
        <v>25.803000000000001</v>
      </c>
      <c r="D846" s="526" t="s">
        <v>3251</v>
      </c>
      <c r="E846" s="526" t="s">
        <v>5494</v>
      </c>
      <c r="F846" s="526" t="s">
        <v>5495</v>
      </c>
      <c r="G846" s="526" t="s">
        <v>5496</v>
      </c>
      <c r="H846" s="412">
        <v>714.46</v>
      </c>
      <c r="I846" s="411">
        <v>25.803000000000001</v>
      </c>
      <c r="J846" s="411">
        <v>99.296999999999997</v>
      </c>
      <c r="K846" s="411">
        <v>9822.5400000000009</v>
      </c>
      <c r="L846" s="526" t="s">
        <v>554</v>
      </c>
      <c r="M846" s="409" t="s">
        <v>586</v>
      </c>
      <c r="N846" s="195"/>
    </row>
    <row r="847" spans="1:14" ht="15" x14ac:dyDescent="0.25">
      <c r="A847" s="410">
        <v>223551</v>
      </c>
      <c r="B847" t="str">
        <f t="shared" si="28"/>
        <v>SEVROLL Polo úchytová lišta 10mm 2,7m oliva</v>
      </c>
      <c r="C847" s="198">
        <f t="shared" si="29"/>
        <v>15.43019</v>
      </c>
      <c r="D847" s="526" t="s">
        <v>3096</v>
      </c>
      <c r="E847" s="526" t="s">
        <v>5497</v>
      </c>
      <c r="F847" s="526" t="s">
        <v>1140</v>
      </c>
      <c r="G847" s="526" t="s">
        <v>5498</v>
      </c>
      <c r="H847" s="412">
        <v>422.63650000000001</v>
      </c>
      <c r="I847" s="411">
        <v>15.43019</v>
      </c>
      <c r="J847" s="411">
        <v>52.202739999999999</v>
      </c>
      <c r="K847" s="411">
        <v>5993.7538500000001</v>
      </c>
      <c r="L847" s="526" t="s">
        <v>710</v>
      </c>
      <c r="M847" s="409" t="s">
        <v>586</v>
      </c>
      <c r="N847" s="195"/>
    </row>
    <row r="848" spans="1:14" ht="15" x14ac:dyDescent="0.25">
      <c r="A848" s="410">
        <v>303394</v>
      </c>
      <c r="B848" t="str">
        <f t="shared" si="28"/>
        <v>SEVROLL 10174 pozicionér Simple Start</v>
      </c>
      <c r="C848" s="198">
        <f t="shared" si="29"/>
        <v>0.22062000000000001</v>
      </c>
      <c r="D848" s="526" t="s">
        <v>3311</v>
      </c>
      <c r="E848" s="526" t="s">
        <v>5499</v>
      </c>
      <c r="F848" s="526" t="s">
        <v>3311</v>
      </c>
      <c r="G848" s="526" t="s">
        <v>5500</v>
      </c>
      <c r="H848" s="412">
        <v>6.3607500000000003</v>
      </c>
      <c r="I848" s="411">
        <v>0.22062000000000001</v>
      </c>
      <c r="J848" s="411">
        <v>1.6728000000000001</v>
      </c>
      <c r="K848" s="411">
        <v>85.696929999999995</v>
      </c>
      <c r="L848" s="526" t="s">
        <v>554</v>
      </c>
      <c r="M848" s="409" t="s">
        <v>586</v>
      </c>
      <c r="N848" s="195"/>
    </row>
    <row r="849" spans="1:14" ht="15" x14ac:dyDescent="0.25">
      <c r="A849" s="410">
        <v>95946</v>
      </c>
      <c r="B849" t="str">
        <f t="shared" si="28"/>
        <v>SEVROLL protiprach.kartáč zásuvný 4,8x13mm</v>
      </c>
      <c r="C849" s="198">
        <f t="shared" si="29"/>
        <v>0.18106</v>
      </c>
      <c r="D849" s="526" t="s">
        <v>2732</v>
      </c>
      <c r="E849" s="526" t="s">
        <v>5501</v>
      </c>
      <c r="F849" s="526" t="s">
        <v>1238</v>
      </c>
      <c r="G849" s="526" t="s">
        <v>5502</v>
      </c>
      <c r="H849" s="412">
        <v>5.61191</v>
      </c>
      <c r="I849" s="411">
        <v>0.18106</v>
      </c>
      <c r="J849" s="411">
        <v>0.80579999999999996</v>
      </c>
      <c r="K849" s="411">
        <v>50.999679999999998</v>
      </c>
      <c r="L849" s="526" t="s">
        <v>553</v>
      </c>
      <c r="M849" s="409" t="s">
        <v>585</v>
      </c>
      <c r="N849" s="195"/>
    </row>
    <row r="850" spans="1:14" ht="15" x14ac:dyDescent="0.25">
      <c r="A850" s="410">
        <v>341560</v>
      </c>
      <c r="B850" t="str">
        <f t="shared" si="28"/>
        <v>SEVROLL 04747 Rekord úchytová lišta 18mm 2,70m oliva</v>
      </c>
      <c r="C850" s="198">
        <f t="shared" si="29"/>
        <v>15.44956</v>
      </c>
      <c r="D850" s="526" t="s">
        <v>3371</v>
      </c>
      <c r="E850" s="526" t="s">
        <v>5503</v>
      </c>
      <c r="F850" s="526" t="s">
        <v>3371</v>
      </c>
      <c r="G850" s="526" t="s">
        <v>5504</v>
      </c>
      <c r="H850" s="412">
        <v>423.34325000000001</v>
      </c>
      <c r="I850" s="411">
        <v>15.44956</v>
      </c>
      <c r="J850" s="411">
        <v>58.838009999999997</v>
      </c>
      <c r="K850" s="411">
        <v>6001.2715500000004</v>
      </c>
      <c r="L850" s="526" t="s">
        <v>553</v>
      </c>
      <c r="M850" s="409" t="s">
        <v>586</v>
      </c>
      <c r="N850" s="195"/>
    </row>
    <row r="851" spans="1:14" ht="15" x14ac:dyDescent="0.25">
      <c r="A851" s="410">
        <v>84191</v>
      </c>
      <c r="B851" t="str">
        <f t="shared" si="28"/>
        <v>SEVROLL SMART spodné vedenia 1,7 M OLIVA</v>
      </c>
      <c r="C851" s="198">
        <f t="shared" si="29"/>
        <v>4.6961500000000003</v>
      </c>
      <c r="D851" s="526" t="s">
        <v>2756</v>
      </c>
      <c r="E851" s="526" t="s">
        <v>5505</v>
      </c>
      <c r="F851" s="526" t="s">
        <v>5506</v>
      </c>
      <c r="G851" s="526" t="s">
        <v>5507</v>
      </c>
      <c r="H851" s="412">
        <v>130.03172000000001</v>
      </c>
      <c r="I851" s="411">
        <v>4.6961500000000003</v>
      </c>
      <c r="J851" s="411">
        <v>16.360800000000001</v>
      </c>
      <c r="K851" s="411">
        <v>1787.70243</v>
      </c>
      <c r="L851" s="526" t="s">
        <v>554</v>
      </c>
      <c r="M851" s="409" t="s">
        <v>586</v>
      </c>
      <c r="N851" s="195"/>
    </row>
    <row r="852" spans="1:14" ht="15" x14ac:dyDescent="0.25">
      <c r="A852" s="410">
        <v>84194</v>
      </c>
      <c r="B852" t="str">
        <f t="shared" si="28"/>
        <v>SEVROLL SMART spodné vedenia 2,35M OLIVA</v>
      </c>
      <c r="C852" s="198">
        <f t="shared" si="29"/>
        <v>6.4765499999999996</v>
      </c>
      <c r="D852" s="526" t="s">
        <v>2758</v>
      </c>
      <c r="E852" s="526" t="s">
        <v>5508</v>
      </c>
      <c r="F852" s="526" t="s">
        <v>5509</v>
      </c>
      <c r="G852" s="526" t="s">
        <v>5510</v>
      </c>
      <c r="H852" s="412">
        <v>179.32946000000001</v>
      </c>
      <c r="I852" s="411">
        <v>6.4765499999999996</v>
      </c>
      <c r="J852" s="411">
        <v>22.613399999999999</v>
      </c>
      <c r="K852" s="411">
        <v>2465.4576099999999</v>
      </c>
      <c r="L852" s="526" t="s">
        <v>554</v>
      </c>
      <c r="M852" s="409" t="s">
        <v>586</v>
      </c>
      <c r="N852" s="195"/>
    </row>
    <row r="853" spans="1:14" ht="15" x14ac:dyDescent="0.25">
      <c r="A853" s="410">
        <v>84197</v>
      </c>
      <c r="B853" t="str">
        <f t="shared" si="28"/>
        <v>SEVROLL SMART SPODNÉ VEDENIE 3M OLIVA</v>
      </c>
      <c r="C853" s="198">
        <f t="shared" si="29"/>
        <v>8.2311599999999991</v>
      </c>
      <c r="D853" s="526" t="s">
        <v>2760</v>
      </c>
      <c r="E853" s="526" t="s">
        <v>5511</v>
      </c>
      <c r="F853" s="526" t="s">
        <v>5512</v>
      </c>
      <c r="G853" s="526" t="s">
        <v>5513</v>
      </c>
      <c r="H853" s="412">
        <v>227.91274000000001</v>
      </c>
      <c r="I853" s="411">
        <v>8.2311599999999991</v>
      </c>
      <c r="J853" s="411">
        <v>28.855799999999999</v>
      </c>
      <c r="K853" s="411">
        <v>3133.3901900000001</v>
      </c>
      <c r="L853" s="526" t="s">
        <v>554</v>
      </c>
      <c r="M853" s="409" t="s">
        <v>586</v>
      </c>
      <c r="N853" s="195"/>
    </row>
    <row r="854" spans="1:14" ht="15" x14ac:dyDescent="0.25">
      <c r="A854" s="410">
        <v>84198</v>
      </c>
      <c r="B854" t="str">
        <f t="shared" si="28"/>
        <v>SEVROLL SMART SPODNÉ VEDENIE 3M STRIE.</v>
      </c>
      <c r="C854" s="198">
        <f t="shared" si="29"/>
        <v>6.7345800000000002</v>
      </c>
      <c r="D854" s="526" t="s">
        <v>2761</v>
      </c>
      <c r="E854" s="526" t="s">
        <v>5514</v>
      </c>
      <c r="F854" s="526" t="s">
        <v>5515</v>
      </c>
      <c r="G854" s="526" t="s">
        <v>5516</v>
      </c>
      <c r="H854" s="412">
        <v>186.47406000000001</v>
      </c>
      <c r="I854" s="411">
        <v>6.7345800000000002</v>
      </c>
      <c r="J854" s="411">
        <v>25.1022</v>
      </c>
      <c r="K854" s="411">
        <v>2563.6830100000002</v>
      </c>
      <c r="L854" s="526" t="s">
        <v>553</v>
      </c>
      <c r="M854" s="409" t="s">
        <v>586</v>
      </c>
      <c r="N854" s="195"/>
    </row>
    <row r="855" spans="1:14" ht="15" x14ac:dyDescent="0.25">
      <c r="A855" s="410">
        <v>276736</v>
      </c>
      <c r="B855" t="str">
        <f t="shared" si="28"/>
        <v>SEVROLL 04062 Gemini 10 spodná krycia lišta 1,7m 10mm biela lesk</v>
      </c>
      <c r="C855" s="198">
        <f t="shared" si="29"/>
        <v>18.887799999999999</v>
      </c>
      <c r="D855" s="526" t="s">
        <v>3237</v>
      </c>
      <c r="E855" s="526" t="s">
        <v>5517</v>
      </c>
      <c r="F855" s="526" t="s">
        <v>5518</v>
      </c>
      <c r="G855" s="526" t="s">
        <v>5519</v>
      </c>
      <c r="H855" s="412">
        <v>522.98472000000004</v>
      </c>
      <c r="I855" s="411">
        <v>18.887799999999999</v>
      </c>
      <c r="J855" s="411">
        <v>70.369799999999998</v>
      </c>
      <c r="K855" s="411">
        <v>7190.0994300000002</v>
      </c>
      <c r="L855" s="526" t="s">
        <v>553</v>
      </c>
      <c r="M855" s="409" t="s">
        <v>586</v>
      </c>
      <c r="N855" s="195"/>
    </row>
    <row r="856" spans="1:14" ht="15" x14ac:dyDescent="0.25">
      <c r="A856" s="410">
        <v>205171</v>
      </c>
      <c r="B856" t="str">
        <f t="shared" si="28"/>
        <v>SEVROLL spodná krycia lišta 1,7m 10mm čierna kartáčovaná</v>
      </c>
      <c r="C856" s="198">
        <f t="shared" si="29"/>
        <v>22.08737</v>
      </c>
      <c r="D856" s="526" t="s">
        <v>3004</v>
      </c>
      <c r="E856" s="526" t="s">
        <v>5520</v>
      </c>
      <c r="F856" s="526" t="s">
        <v>5521</v>
      </c>
      <c r="G856" s="526" t="s">
        <v>5522</v>
      </c>
      <c r="H856" s="412">
        <v>611.57776000000001</v>
      </c>
      <c r="I856" s="411">
        <v>22.08737</v>
      </c>
      <c r="J856" s="411">
        <v>75.418800000000005</v>
      </c>
      <c r="K856" s="411">
        <v>8408.0943100000004</v>
      </c>
      <c r="L856" s="526" t="s">
        <v>553</v>
      </c>
      <c r="M856" s="409" t="s">
        <v>586</v>
      </c>
      <c r="N856" s="195"/>
    </row>
    <row r="857" spans="1:14" ht="15" x14ac:dyDescent="0.25">
      <c r="A857" s="410">
        <v>89229</v>
      </c>
      <c r="B857" t="str">
        <f t="shared" si="28"/>
        <v>SEVROLL spodná krycia lišta 1,7m 10mm oliva</v>
      </c>
      <c r="C857" s="198">
        <f t="shared" si="29"/>
        <v>17.778269999999999</v>
      </c>
      <c r="D857" s="526" t="s">
        <v>2687</v>
      </c>
      <c r="E857" s="526" t="s">
        <v>5523</v>
      </c>
      <c r="F857" s="526" t="s">
        <v>5524</v>
      </c>
      <c r="G857" s="526" t="s">
        <v>5525</v>
      </c>
      <c r="H857" s="412">
        <v>492.26294000000001</v>
      </c>
      <c r="I857" s="411">
        <v>17.778269999999999</v>
      </c>
      <c r="J857" s="411">
        <v>60.091500000000003</v>
      </c>
      <c r="K857" s="411">
        <v>6767.7299899999998</v>
      </c>
      <c r="L857" s="526" t="s">
        <v>553</v>
      </c>
      <c r="M857" s="409" t="s">
        <v>586</v>
      </c>
      <c r="N857" s="195"/>
    </row>
    <row r="858" spans="1:14" ht="15" x14ac:dyDescent="0.25">
      <c r="A858" s="410">
        <v>119417</v>
      </c>
      <c r="B858" t="str">
        <f t="shared" si="28"/>
        <v>SEVROLL spod. krycia lišta 1,7m 10mm oliva kartáč</v>
      </c>
      <c r="C858" s="198">
        <f t="shared" si="29"/>
        <v>22.08737</v>
      </c>
      <c r="D858" s="526" t="s">
        <v>2842</v>
      </c>
      <c r="E858" s="526" t="s">
        <v>5526</v>
      </c>
      <c r="F858" s="526" t="s">
        <v>5527</v>
      </c>
      <c r="G858" s="526" t="s">
        <v>5528</v>
      </c>
      <c r="H858" s="412">
        <v>611.57776000000001</v>
      </c>
      <c r="I858" s="411">
        <v>22.08737</v>
      </c>
      <c r="J858" s="411">
        <v>75.418800000000005</v>
      </c>
      <c r="K858" s="411">
        <v>8408.0943100000004</v>
      </c>
      <c r="L858" s="526" t="s">
        <v>553</v>
      </c>
      <c r="M858" s="409" t="s">
        <v>586</v>
      </c>
      <c r="N858" s="195"/>
    </row>
    <row r="859" spans="1:14" ht="15" x14ac:dyDescent="0.25">
      <c r="A859" s="410">
        <v>89228</v>
      </c>
      <c r="B859" t="str">
        <f t="shared" si="28"/>
        <v>SEVROLL spodná krycia lišta 1,7m 10mm strieborná</v>
      </c>
      <c r="C859" s="198">
        <f t="shared" si="29"/>
        <v>14.527089999999999</v>
      </c>
      <c r="D859" s="526" t="s">
        <v>2686</v>
      </c>
      <c r="E859" s="526" t="s">
        <v>5529</v>
      </c>
      <c r="F859" s="526" t="s">
        <v>5530</v>
      </c>
      <c r="G859" s="526" t="s">
        <v>5531</v>
      </c>
      <c r="H859" s="412">
        <v>402.24097999999998</v>
      </c>
      <c r="I859" s="411">
        <v>14.527089999999999</v>
      </c>
      <c r="J859" s="411">
        <v>54.141599999999997</v>
      </c>
      <c r="K859" s="411">
        <v>5530.0898699999998</v>
      </c>
      <c r="L859" s="526" t="s">
        <v>553</v>
      </c>
      <c r="M859" s="409" t="s">
        <v>586</v>
      </c>
      <c r="N859" s="195"/>
    </row>
    <row r="860" spans="1:14" ht="15" x14ac:dyDescent="0.25">
      <c r="A860" s="410">
        <v>89254</v>
      </c>
      <c r="B860" t="str">
        <f t="shared" ref="B860:B923" si="30">IF($A$2=1,D860,IF($A$2=2,F860,IF($A$2=3,G860,IF($A$2=4,E860,"zadat jazyk"))))</f>
        <v>SEVROLL spodná krycia lišta 1,7m 10mm zlatá</v>
      </c>
      <c r="C860" s="198">
        <f t="shared" si="29"/>
        <v>17.778269999999999</v>
      </c>
      <c r="D860" s="526" t="s">
        <v>2706</v>
      </c>
      <c r="E860" s="526" t="s">
        <v>5532</v>
      </c>
      <c r="F860" s="526" t="s">
        <v>5533</v>
      </c>
      <c r="G860" s="526" t="s">
        <v>5534</v>
      </c>
      <c r="H860" s="412">
        <v>492.26294000000001</v>
      </c>
      <c r="I860" s="411">
        <v>17.778269999999999</v>
      </c>
      <c r="J860" s="411">
        <v>60.091500000000003</v>
      </c>
      <c r="K860" s="411">
        <v>6767.7299899999998</v>
      </c>
      <c r="L860" s="526" t="s">
        <v>554</v>
      </c>
      <c r="M860" s="409" t="s">
        <v>586</v>
      </c>
      <c r="N860" s="195"/>
    </row>
    <row r="861" spans="1:14" ht="15" x14ac:dyDescent="0.25">
      <c r="A861" s="410">
        <v>267954</v>
      </c>
      <c r="B861" t="str">
        <f t="shared" si="30"/>
        <v>SEVROLL 04063 Gemini 10 spodná krycia lišta 2,35m 10mm biela lesk</v>
      </c>
      <c r="C861" s="198">
        <f t="shared" si="29"/>
        <v>26.086829999999999</v>
      </c>
      <c r="D861" s="526" t="s">
        <v>3232</v>
      </c>
      <c r="E861" s="526" t="s">
        <v>5535</v>
      </c>
      <c r="F861" s="526" t="s">
        <v>5536</v>
      </c>
      <c r="G861" s="526" t="s">
        <v>5537</v>
      </c>
      <c r="H861" s="412">
        <v>722.31906000000004</v>
      </c>
      <c r="I861" s="411">
        <v>26.086829999999999</v>
      </c>
      <c r="J861" s="411">
        <v>97.287599999999998</v>
      </c>
      <c r="K861" s="411">
        <v>9930.5880099999995</v>
      </c>
      <c r="L861" s="526" t="s">
        <v>553</v>
      </c>
      <c r="M861" s="409" t="s">
        <v>586</v>
      </c>
      <c r="N861" s="195"/>
    </row>
    <row r="862" spans="1:14" ht="15" x14ac:dyDescent="0.25">
      <c r="A862" s="410">
        <v>89227</v>
      </c>
      <c r="B862" t="str">
        <f t="shared" si="30"/>
        <v>SEVROLL spodná krycia lišta 2,35m 10mm oliva</v>
      </c>
      <c r="C862" s="198">
        <f t="shared" si="29"/>
        <v>24.51285</v>
      </c>
      <c r="D862" s="526" t="s">
        <v>2685</v>
      </c>
      <c r="E862" s="526" t="s">
        <v>5538</v>
      </c>
      <c r="F862" s="526" t="s">
        <v>5539</v>
      </c>
      <c r="G862" s="526" t="s">
        <v>5540</v>
      </c>
      <c r="H862" s="412">
        <v>678.73699999999997</v>
      </c>
      <c r="I862" s="411">
        <v>24.51285</v>
      </c>
      <c r="J862" s="411">
        <v>83.0655</v>
      </c>
      <c r="K862" s="411">
        <v>9331.4130000000005</v>
      </c>
      <c r="L862" s="526" t="s">
        <v>553</v>
      </c>
      <c r="M862" s="409" t="s">
        <v>586</v>
      </c>
      <c r="N862" s="195"/>
    </row>
    <row r="863" spans="1:14" ht="15" x14ac:dyDescent="0.25">
      <c r="A863" s="410">
        <v>119421</v>
      </c>
      <c r="B863" t="str">
        <f t="shared" si="30"/>
        <v>SEVROLL spod.krycia lišta 2,35m 10mm oliva kartáč</v>
      </c>
      <c r="C863" s="198">
        <f t="shared" si="29"/>
        <v>30.576560000000001</v>
      </c>
      <c r="D863" s="526" t="s">
        <v>2843</v>
      </c>
      <c r="E863" s="526" t="s">
        <v>5541</v>
      </c>
      <c r="F863" s="526" t="s">
        <v>5542</v>
      </c>
      <c r="G863" s="526" t="s">
        <v>5543</v>
      </c>
      <c r="H863" s="412">
        <v>846.63509999999997</v>
      </c>
      <c r="I863" s="411">
        <v>30.576560000000001</v>
      </c>
      <c r="J863" s="411">
        <v>105.3484</v>
      </c>
      <c r="K863" s="411">
        <v>11639.7099</v>
      </c>
      <c r="L863" s="526" t="s">
        <v>553</v>
      </c>
      <c r="M863" s="409" t="s">
        <v>586</v>
      </c>
      <c r="N863" s="195"/>
    </row>
    <row r="864" spans="1:14" ht="15" x14ac:dyDescent="0.25">
      <c r="A864" s="410">
        <v>89226</v>
      </c>
      <c r="B864" t="str">
        <f t="shared" si="30"/>
        <v>SEVROLL spodná krycia lišta 2,35m 10mm strieborná</v>
      </c>
      <c r="C864" s="198">
        <f t="shared" si="29"/>
        <v>20.074729999999999</v>
      </c>
      <c r="D864" s="526" t="s">
        <v>2684</v>
      </c>
      <c r="E864" s="526" t="s">
        <v>5544</v>
      </c>
      <c r="F864" s="526" t="s">
        <v>5545</v>
      </c>
      <c r="G864" s="526" t="s">
        <v>5546</v>
      </c>
      <c r="H864" s="412">
        <v>555.84987999999998</v>
      </c>
      <c r="I864" s="411">
        <v>20.074729999999999</v>
      </c>
      <c r="J864" s="411">
        <v>74.827200000000005</v>
      </c>
      <c r="K864" s="411">
        <v>7641.9359700000005</v>
      </c>
      <c r="L864" s="526" t="s">
        <v>553</v>
      </c>
      <c r="M864" s="409" t="s">
        <v>586</v>
      </c>
      <c r="N864" s="195"/>
    </row>
    <row r="865" spans="1:14" ht="15" x14ac:dyDescent="0.25">
      <c r="A865" s="410">
        <v>205173</v>
      </c>
      <c r="B865" t="str">
        <f t="shared" si="30"/>
        <v>SEVROLL spod.krycia lišta 2,35m, 10mm čierna kartá</v>
      </c>
      <c r="C865" s="198">
        <f t="shared" si="29"/>
        <v>30.576560000000001</v>
      </c>
      <c r="D865" s="526" t="s">
        <v>3006</v>
      </c>
      <c r="E865" s="526" t="s">
        <v>5547</v>
      </c>
      <c r="F865" s="526" t="s">
        <v>5548</v>
      </c>
      <c r="G865" s="526" t="s">
        <v>5549</v>
      </c>
      <c r="H865" s="412">
        <v>846.63509999999997</v>
      </c>
      <c r="I865" s="411">
        <v>30.576560000000001</v>
      </c>
      <c r="J865" s="411">
        <v>105.3484</v>
      </c>
      <c r="K865" s="411">
        <v>11639.7099</v>
      </c>
      <c r="L865" s="526" t="s">
        <v>553</v>
      </c>
      <c r="M865" s="409" t="s">
        <v>586</v>
      </c>
      <c r="N865" s="195"/>
    </row>
    <row r="866" spans="1:14" ht="15" x14ac:dyDescent="0.25">
      <c r="A866" s="410">
        <v>265067</v>
      </c>
      <c r="B866" t="str">
        <f t="shared" si="30"/>
        <v>SEVROLL 00145 Gemini 10 spodná krycia lišta 3m 10mm biela lesk</v>
      </c>
      <c r="C866" s="198">
        <f t="shared" si="29"/>
        <v>33.38908</v>
      </c>
      <c r="D866" s="526" t="s">
        <v>3229</v>
      </c>
      <c r="E866" s="526" t="s">
        <v>5550</v>
      </c>
      <c r="F866" s="526" t="s">
        <v>5551</v>
      </c>
      <c r="G866" s="526" t="s">
        <v>5552</v>
      </c>
      <c r="H866" s="412">
        <v>924.51124000000004</v>
      </c>
      <c r="I866" s="411">
        <v>33.38908</v>
      </c>
      <c r="J866" s="411">
        <v>124.22580000000001</v>
      </c>
      <c r="K866" s="411">
        <v>12710.366690000001</v>
      </c>
      <c r="L866" s="526" t="s">
        <v>553</v>
      </c>
      <c r="M866" s="409" t="s">
        <v>586</v>
      </c>
      <c r="N866" s="195"/>
    </row>
    <row r="867" spans="1:14" ht="15" x14ac:dyDescent="0.25">
      <c r="A867" s="410">
        <v>205175</v>
      </c>
      <c r="B867" t="str">
        <f t="shared" si="30"/>
        <v>SEVROLL spod.krycia lišta 3m 10mm čierna kartáč</v>
      </c>
      <c r="C867" s="198">
        <f t="shared" si="29"/>
        <v>39.065739999999998</v>
      </c>
      <c r="D867" s="526" t="s">
        <v>3008</v>
      </c>
      <c r="E867" s="526" t="s">
        <v>5553</v>
      </c>
      <c r="F867" s="526" t="s">
        <v>5554</v>
      </c>
      <c r="G867" s="526" t="s">
        <v>5555</v>
      </c>
      <c r="H867" s="412">
        <v>1081.69244</v>
      </c>
      <c r="I867" s="411">
        <v>39.065739999999998</v>
      </c>
      <c r="J867" s="411">
        <v>134.56950000000001</v>
      </c>
      <c r="K867" s="411">
        <v>14871.325489999999</v>
      </c>
      <c r="L867" s="526" t="s">
        <v>553</v>
      </c>
      <c r="M867" s="409" t="s">
        <v>586</v>
      </c>
      <c r="N867" s="195"/>
    </row>
    <row r="868" spans="1:14" ht="15" x14ac:dyDescent="0.25">
      <c r="A868" s="410">
        <v>89225</v>
      </c>
      <c r="B868" t="str">
        <f t="shared" si="30"/>
        <v>SEVROLL spodná krycia lišta 3m 10mm oliva</v>
      </c>
      <c r="C868" s="198">
        <f t="shared" si="29"/>
        <v>31.376449999999998</v>
      </c>
      <c r="D868" s="526" t="s">
        <v>2683</v>
      </c>
      <c r="E868" s="526" t="s">
        <v>5556</v>
      </c>
      <c r="F868" s="526" t="s">
        <v>5557</v>
      </c>
      <c r="G868" s="526" t="s">
        <v>5558</v>
      </c>
      <c r="H868" s="412">
        <v>868.78336000000002</v>
      </c>
      <c r="I868" s="411">
        <v>31.376449999999998</v>
      </c>
      <c r="J868" s="411">
        <v>106.071</v>
      </c>
      <c r="K868" s="411">
        <v>11944.208710000001</v>
      </c>
      <c r="L868" s="526" t="s">
        <v>553</v>
      </c>
      <c r="M868" s="409" t="s">
        <v>586</v>
      </c>
      <c r="N868" s="195"/>
    </row>
    <row r="869" spans="1:14" ht="15" x14ac:dyDescent="0.25">
      <c r="A869" s="410">
        <v>119422</v>
      </c>
      <c r="B869" t="str">
        <f t="shared" si="30"/>
        <v>SEVROLL spod.krycia lišta 3m 10mm oliva kartáč.</v>
      </c>
      <c r="C869" s="198">
        <f t="shared" si="29"/>
        <v>39.065739999999998</v>
      </c>
      <c r="D869" s="526" t="s">
        <v>2844</v>
      </c>
      <c r="E869" s="526" t="s">
        <v>5559</v>
      </c>
      <c r="F869" s="526" t="s">
        <v>5560</v>
      </c>
      <c r="G869" s="526" t="s">
        <v>5561</v>
      </c>
      <c r="H869" s="412">
        <v>1081.69244</v>
      </c>
      <c r="I869" s="411">
        <v>39.065739999999998</v>
      </c>
      <c r="J869" s="411">
        <v>134.56950000000001</v>
      </c>
      <c r="K869" s="411">
        <v>14871.325489999999</v>
      </c>
      <c r="L869" s="526" t="s">
        <v>553</v>
      </c>
      <c r="M869" s="409" t="s">
        <v>586</v>
      </c>
      <c r="N869" s="195"/>
    </row>
    <row r="870" spans="1:14" ht="15" x14ac:dyDescent="0.25">
      <c r="A870" s="410">
        <v>89224</v>
      </c>
      <c r="B870" t="str">
        <f t="shared" si="30"/>
        <v>SEVROLL spodná krycia lišta 3m 10mm strieborná</v>
      </c>
      <c r="C870" s="198">
        <f t="shared" si="29"/>
        <v>25.67399</v>
      </c>
      <c r="D870" s="526" t="s">
        <v>2682</v>
      </c>
      <c r="E870" s="526" t="s">
        <v>5562</v>
      </c>
      <c r="F870" s="526" t="s">
        <v>5563</v>
      </c>
      <c r="G870" s="526" t="s">
        <v>5564</v>
      </c>
      <c r="H870" s="412">
        <v>710.8877</v>
      </c>
      <c r="I870" s="411">
        <v>25.67399</v>
      </c>
      <c r="J870" s="411">
        <v>95.563800000000001</v>
      </c>
      <c r="K870" s="411">
        <v>9773.4272999999994</v>
      </c>
      <c r="L870" s="526" t="s">
        <v>553</v>
      </c>
      <c r="M870" s="409" t="s">
        <v>586</v>
      </c>
      <c r="N870" s="195"/>
    </row>
    <row r="871" spans="1:14" ht="15" x14ac:dyDescent="0.25">
      <c r="A871" s="410">
        <v>89256</v>
      </c>
      <c r="B871" t="str">
        <f t="shared" si="30"/>
        <v>SEVROLL spodná krycia lišta 3m 10mm zlatá</v>
      </c>
      <c r="C871" s="198">
        <f t="shared" si="29"/>
        <v>31.376449999999998</v>
      </c>
      <c r="D871" s="526" t="s">
        <v>2707</v>
      </c>
      <c r="E871" s="526" t="s">
        <v>5565</v>
      </c>
      <c r="F871" s="526" t="s">
        <v>5566</v>
      </c>
      <c r="G871" s="526" t="s">
        <v>5567</v>
      </c>
      <c r="H871" s="412">
        <v>868.78336000000002</v>
      </c>
      <c r="I871" s="411">
        <v>31.376449999999998</v>
      </c>
      <c r="J871" s="411">
        <v>106.071</v>
      </c>
      <c r="K871" s="411">
        <v>11944.208710000001</v>
      </c>
      <c r="L871" s="526" t="s">
        <v>554</v>
      </c>
      <c r="M871" s="409" t="s">
        <v>586</v>
      </c>
      <c r="N871" s="195"/>
    </row>
    <row r="872" spans="1:14" ht="15" x14ac:dyDescent="0.25">
      <c r="A872" s="410">
        <v>223564</v>
      </c>
      <c r="B872" t="str">
        <f t="shared" si="30"/>
        <v>SEVROLL spodná krycia lišta Simple/Blue 3m (pre lamino 10mm) oliva</v>
      </c>
      <c r="C872" s="198">
        <f t="shared" si="29"/>
        <v>23.067879999999999</v>
      </c>
      <c r="D872" s="526" t="s">
        <v>3103</v>
      </c>
      <c r="E872" s="526" t="s">
        <v>5568</v>
      </c>
      <c r="F872" s="526" t="s">
        <v>5569</v>
      </c>
      <c r="G872" s="526" t="s">
        <v>5570</v>
      </c>
      <c r="H872" s="412">
        <v>631.83450000000005</v>
      </c>
      <c r="I872" s="411">
        <v>23.067879999999999</v>
      </c>
      <c r="J872" s="411">
        <v>78.802019999999999</v>
      </c>
      <c r="K872" s="411">
        <v>8872.2623100000001</v>
      </c>
      <c r="L872" s="526" t="s">
        <v>554</v>
      </c>
      <c r="M872" s="409" t="s">
        <v>586</v>
      </c>
      <c r="N872" s="195"/>
    </row>
    <row r="873" spans="1:14" ht="15" x14ac:dyDescent="0.25">
      <c r="A873" s="410">
        <v>222574</v>
      </c>
      <c r="B873" t="str">
        <f t="shared" si="30"/>
        <v>SEVROLL spodná krycia lišta Simple/Blue 3m (pre lamino 10mm) strieborná</v>
      </c>
      <c r="C873" s="198">
        <f t="shared" si="29"/>
        <v>19.403860000000002</v>
      </c>
      <c r="D873" s="526" t="s">
        <v>3057</v>
      </c>
      <c r="E873" s="526" t="s">
        <v>5571</v>
      </c>
      <c r="F873" s="526" t="s">
        <v>5572</v>
      </c>
      <c r="G873" s="526" t="s">
        <v>5573</v>
      </c>
      <c r="H873" s="412">
        <v>531.476</v>
      </c>
      <c r="I873" s="411">
        <v>19.403860000000002</v>
      </c>
      <c r="J873" s="411">
        <v>68.544700000000006</v>
      </c>
      <c r="K873" s="411">
        <v>7537.2961500000001</v>
      </c>
      <c r="L873" s="526" t="s">
        <v>553</v>
      </c>
      <c r="M873" s="409" t="s">
        <v>586</v>
      </c>
      <c r="N873" s="195"/>
    </row>
    <row r="874" spans="1:14" ht="15" x14ac:dyDescent="0.25">
      <c r="A874" s="410">
        <v>224140</v>
      </c>
      <c r="B874" t="e">
        <f t="shared" si="30"/>
        <v>#N/A</v>
      </c>
      <c r="C874" s="198" t="e">
        <f t="shared" si="29"/>
        <v>#N/A</v>
      </c>
      <c r="D874" s="526" t="e">
        <v>#N/A</v>
      </c>
      <c r="E874" s="526" t="e">
        <v>#N/A</v>
      </c>
      <c r="F874" s="526" t="e">
        <v>#N/A</v>
      </c>
      <c r="G874" s="526" t="e">
        <v>#N/A</v>
      </c>
      <c r="H874" s="412" t="e">
        <v>#N/A</v>
      </c>
      <c r="I874" s="411" t="e">
        <v>#N/A</v>
      </c>
      <c r="J874" s="411" t="e">
        <v>#N/A</v>
      </c>
      <c r="K874" s="411" t="e">
        <v>#N/A</v>
      </c>
      <c r="L874" s="526" t="e">
        <v>#N/A</v>
      </c>
      <c r="M874" s="409" t="s">
        <v>586</v>
      </c>
      <c r="N874" s="195"/>
    </row>
    <row r="875" spans="1:14" ht="15" x14ac:dyDescent="0.25">
      <c r="A875" s="410">
        <v>224137</v>
      </c>
      <c r="B875" t="str">
        <f t="shared" si="30"/>
        <v>SEVROLL 04452 spodná krycia lišta Simple/Blue 1,5m (pre lamino 18mm) strieborná</v>
      </c>
      <c r="C875" s="198">
        <f t="shared" si="29"/>
        <v>10.024470000000001</v>
      </c>
      <c r="D875" s="526" t="s">
        <v>3132</v>
      </c>
      <c r="E875" s="526" t="s">
        <v>5574</v>
      </c>
      <c r="F875" s="526" t="s">
        <v>5575</v>
      </c>
      <c r="G875" s="526" t="s">
        <v>5576</v>
      </c>
      <c r="H875" s="412">
        <v>274.92574999999999</v>
      </c>
      <c r="I875" s="411">
        <v>10.024470000000001</v>
      </c>
      <c r="J875" s="411">
        <v>48.17165</v>
      </c>
      <c r="K875" s="411">
        <v>3893.9353799999999</v>
      </c>
      <c r="L875" s="526" t="s">
        <v>553</v>
      </c>
      <c r="M875" s="409" t="s">
        <v>586</v>
      </c>
      <c r="N875" s="195"/>
    </row>
    <row r="876" spans="1:14" ht="15" x14ac:dyDescent="0.25">
      <c r="A876" s="410">
        <v>224142</v>
      </c>
      <c r="B876" t="str">
        <f t="shared" si="30"/>
        <v>SEVROLL 04450 spodná krycia lišta Simple/Blue 2,5m (pre lamino 18mm) oliva</v>
      </c>
      <c r="C876" s="198">
        <f t="shared" si="29"/>
        <v>0</v>
      </c>
      <c r="D876" s="526" t="s">
        <v>3136</v>
      </c>
      <c r="E876" s="526" t="s">
        <v>5577</v>
      </c>
      <c r="F876" s="526" t="s">
        <v>5578</v>
      </c>
      <c r="G876" s="526" t="s">
        <v>5579</v>
      </c>
      <c r="H876" s="412">
        <v>0</v>
      </c>
      <c r="I876" s="411">
        <v>0</v>
      </c>
      <c r="J876" s="411">
        <v>58.638979999999997</v>
      </c>
      <c r="K876" s="411">
        <v>0</v>
      </c>
      <c r="L876" s="526" t="s">
        <v>554</v>
      </c>
      <c r="M876" s="409" t="s">
        <v>586</v>
      </c>
      <c r="N876" s="195"/>
    </row>
    <row r="877" spans="1:14" ht="15" x14ac:dyDescent="0.25">
      <c r="A877" s="410">
        <v>224139</v>
      </c>
      <c r="B877" t="str">
        <f t="shared" si="30"/>
        <v>SEVROLL 04454 spodná krycia lišta Simple/Blue 2,5m (pre lamino 18mm) strieborná</v>
      </c>
      <c r="C877" s="198">
        <f t="shared" si="29"/>
        <v>16.707439999999998</v>
      </c>
      <c r="D877" s="526" t="s">
        <v>3134</v>
      </c>
      <c r="E877" s="526" t="s">
        <v>5580</v>
      </c>
      <c r="F877" s="526" t="s">
        <v>5581</v>
      </c>
      <c r="G877" s="526" t="s">
        <v>5582</v>
      </c>
      <c r="H877" s="412">
        <v>457.97399999999999</v>
      </c>
      <c r="I877" s="411">
        <v>16.707439999999998</v>
      </c>
      <c r="J877" s="411">
        <v>80.296570000000003</v>
      </c>
      <c r="K877" s="411">
        <v>6489.8927000000003</v>
      </c>
      <c r="L877" s="526" t="s">
        <v>554</v>
      </c>
      <c r="M877" s="409" t="s">
        <v>586</v>
      </c>
      <c r="N877" s="195"/>
    </row>
    <row r="878" spans="1:14" ht="15" x14ac:dyDescent="0.25">
      <c r="A878" s="410">
        <v>224141</v>
      </c>
      <c r="B878" t="str">
        <f t="shared" si="30"/>
        <v>SEVROLL 04449 spodná krycia lišta Simple/Blue 2m (pre lamino 18mm) oliva</v>
      </c>
      <c r="C878" s="198">
        <f t="shared" si="29"/>
        <v>16.57377</v>
      </c>
      <c r="D878" s="526" t="s">
        <v>3135</v>
      </c>
      <c r="E878" s="526" t="s">
        <v>5583</v>
      </c>
      <c r="F878" s="526" t="s">
        <v>5584</v>
      </c>
      <c r="G878" s="526" t="s">
        <v>5585</v>
      </c>
      <c r="H878" s="412">
        <v>453.73349999999999</v>
      </c>
      <c r="I878" s="411">
        <v>16.57377</v>
      </c>
      <c r="J878" s="411">
        <v>72.241739999999993</v>
      </c>
      <c r="K878" s="411">
        <v>6437.9734799999997</v>
      </c>
      <c r="L878" s="526" t="s">
        <v>553</v>
      </c>
      <c r="M878" s="409" t="s">
        <v>586</v>
      </c>
      <c r="N878" s="195"/>
    </row>
    <row r="879" spans="1:14" ht="15" x14ac:dyDescent="0.25">
      <c r="A879" s="410">
        <v>224138</v>
      </c>
      <c r="B879" t="str">
        <f t="shared" si="30"/>
        <v>SEVROLL 04453 spodná krycia lišta Simple/Blue 2m (pre lamino 18mm) strieborná</v>
      </c>
      <c r="C879" s="198">
        <f t="shared" si="29"/>
        <v>13.36595</v>
      </c>
      <c r="D879" s="526" t="s">
        <v>3133</v>
      </c>
      <c r="E879" s="526" t="s">
        <v>5586</v>
      </c>
      <c r="F879" s="526" t="s">
        <v>5587</v>
      </c>
      <c r="G879" s="526" t="s">
        <v>5588</v>
      </c>
      <c r="H879" s="412">
        <v>366.09649999999999</v>
      </c>
      <c r="I879" s="411">
        <v>13.36595</v>
      </c>
      <c r="J879" s="411">
        <v>64.234110000000001</v>
      </c>
      <c r="K879" s="411">
        <v>5191.9138499999999</v>
      </c>
      <c r="L879" s="526" t="s">
        <v>553</v>
      </c>
      <c r="M879" s="409" t="s">
        <v>586</v>
      </c>
      <c r="N879" s="195"/>
    </row>
    <row r="880" spans="1:14" ht="15" x14ac:dyDescent="0.25">
      <c r="A880" s="410">
        <v>223562</v>
      </c>
      <c r="B880" t="str">
        <f t="shared" si="30"/>
        <v>SEVROLL 04451 spodná krycia lišta Simple/Blue 3m (pre lamino 18mm) oliva</v>
      </c>
      <c r="C880" s="198">
        <f t="shared" si="29"/>
        <v>24.860669999999999</v>
      </c>
      <c r="D880" s="526" t="s">
        <v>3101</v>
      </c>
      <c r="E880" s="526" t="s">
        <v>5589</v>
      </c>
      <c r="F880" s="526" t="s">
        <v>5590</v>
      </c>
      <c r="G880" s="526" t="s">
        <v>5591</v>
      </c>
      <c r="H880" s="412">
        <v>680.60024999999996</v>
      </c>
      <c r="I880" s="411">
        <v>24.860669999999999</v>
      </c>
      <c r="J880" s="411">
        <v>108.34688</v>
      </c>
      <c r="K880" s="411">
        <v>9656.9599999999991</v>
      </c>
      <c r="L880" s="526" t="s">
        <v>553</v>
      </c>
      <c r="M880" s="409" t="s">
        <v>586</v>
      </c>
      <c r="N880" s="195"/>
    </row>
    <row r="881" spans="1:14" ht="15" x14ac:dyDescent="0.25">
      <c r="A881" s="410">
        <v>222572</v>
      </c>
      <c r="B881" t="str">
        <f t="shared" si="30"/>
        <v>SEVROLL 04455 spodná krycia lišta Simple/Blue 3m (pre lamino 18mm) strieborná</v>
      </c>
      <c r="C881" s="198">
        <f t="shared" si="29"/>
        <v>20.048929999999999</v>
      </c>
      <c r="D881" s="526" t="s">
        <v>3055</v>
      </c>
      <c r="E881" s="526" t="s">
        <v>5592</v>
      </c>
      <c r="F881" s="526" t="s">
        <v>5593</v>
      </c>
      <c r="G881" s="526" t="s">
        <v>2407</v>
      </c>
      <c r="H881" s="412">
        <v>549.14475000000004</v>
      </c>
      <c r="I881" s="411">
        <v>20.048929999999999</v>
      </c>
      <c r="J881" s="411">
        <v>96.374769999999998</v>
      </c>
      <c r="K881" s="411">
        <v>7787.8711499999999</v>
      </c>
      <c r="L881" s="526" t="s">
        <v>710</v>
      </c>
      <c r="M881" s="409" t="s">
        <v>586</v>
      </c>
      <c r="N881" s="195"/>
    </row>
    <row r="882" spans="1:14" ht="15" x14ac:dyDescent="0.25">
      <c r="A882" s="410">
        <v>228083</v>
      </c>
      <c r="B882" t="e">
        <f t="shared" si="30"/>
        <v>#N/A</v>
      </c>
      <c r="C882" s="198" t="e">
        <f t="shared" si="29"/>
        <v>#N/A</v>
      </c>
      <c r="D882" s="526" t="e">
        <v>#N/A</v>
      </c>
      <c r="E882" s="526" t="e">
        <v>#N/A</v>
      </c>
      <c r="F882" s="526" t="e">
        <v>#N/A</v>
      </c>
      <c r="G882" s="526" t="e">
        <v>#N/A</v>
      </c>
      <c r="H882" s="412" t="e">
        <v>#N/A</v>
      </c>
      <c r="I882" s="411" t="e">
        <v>#N/A</v>
      </c>
      <c r="J882" s="411" t="e">
        <v>#N/A</v>
      </c>
      <c r="K882" s="411" t="e">
        <v>#N/A</v>
      </c>
      <c r="L882" s="526" t="e">
        <v>#N/A</v>
      </c>
      <c r="M882" s="409" t="s">
        <v>587</v>
      </c>
      <c r="N882" s="195"/>
    </row>
    <row r="883" spans="1:14" ht="15" x14ac:dyDescent="0.25">
      <c r="A883" s="410">
        <v>229446</v>
      </c>
      <c r="B883" t="str">
        <f t="shared" si="30"/>
        <v>SEVROLL 10223 spodný vozík Simple/Blue V (rámový systém) - 2ks</v>
      </c>
      <c r="C883" s="198">
        <f t="shared" si="29"/>
        <v>2.70932</v>
      </c>
      <c r="D883" s="526" t="s">
        <v>3184</v>
      </c>
      <c r="E883" s="526" t="s">
        <v>5594</v>
      </c>
      <c r="F883" s="526" t="s">
        <v>5595</v>
      </c>
      <c r="G883" s="526" t="s">
        <v>5596</v>
      </c>
      <c r="H883" s="412">
        <v>79.60575</v>
      </c>
      <c r="I883" s="411">
        <v>2.70932</v>
      </c>
      <c r="J883" s="411">
        <v>16.17259</v>
      </c>
      <c r="K883" s="411">
        <v>1052.415</v>
      </c>
      <c r="L883" s="526" t="s">
        <v>710</v>
      </c>
      <c r="M883" s="409" t="s">
        <v>589</v>
      </c>
      <c r="N883" s="195"/>
    </row>
    <row r="884" spans="1:14" ht="15" x14ac:dyDescent="0.25">
      <c r="A884" s="410">
        <v>228082</v>
      </c>
      <c r="B884" t="e">
        <f t="shared" si="30"/>
        <v>#N/A</v>
      </c>
      <c r="C884" s="198" t="e">
        <f t="shared" si="29"/>
        <v>#N/A</v>
      </c>
      <c r="D884" s="526" t="e">
        <v>#N/A</v>
      </c>
      <c r="E884" s="526" t="e">
        <v>#N/A</v>
      </c>
      <c r="F884" s="526" t="e">
        <v>#N/A</v>
      </c>
      <c r="G884" s="526" t="e">
        <v>#N/A</v>
      </c>
      <c r="H884" s="412" t="e">
        <v>#N/A</v>
      </c>
      <c r="I884" s="411" t="e">
        <v>#N/A</v>
      </c>
      <c r="J884" s="411" t="e">
        <v>#N/A</v>
      </c>
      <c r="K884" s="411" t="e">
        <v>#N/A</v>
      </c>
      <c r="L884" s="526" t="e">
        <v>#N/A</v>
      </c>
      <c r="M884" s="409" t="s">
        <v>587</v>
      </c>
      <c r="N884" s="195"/>
    </row>
    <row r="885" spans="1:14" ht="15" x14ac:dyDescent="0.25">
      <c r="A885" s="410">
        <v>328321</v>
      </c>
      <c r="B885" t="str">
        <f t="shared" si="30"/>
        <v>SEVROLL 10238 spodný vozík WD10 V 2ks bez pozicionéru</v>
      </c>
      <c r="C885" s="198">
        <f t="shared" si="29"/>
        <v>5.9682199999999996</v>
      </c>
      <c r="D885" s="526" t="s">
        <v>3365</v>
      </c>
      <c r="E885" s="526" t="s">
        <v>5597</v>
      </c>
      <c r="F885" s="526" t="s">
        <v>5598</v>
      </c>
      <c r="G885" s="526" t="s">
        <v>5599</v>
      </c>
      <c r="H885" s="412">
        <v>175.13265000000001</v>
      </c>
      <c r="I885" s="411">
        <v>5.9682199999999996</v>
      </c>
      <c r="J885" s="411">
        <v>26.52</v>
      </c>
      <c r="K885" s="411">
        <v>2318.3200000000002</v>
      </c>
      <c r="L885" s="526" t="s">
        <v>710</v>
      </c>
      <c r="M885" s="409" t="s">
        <v>587</v>
      </c>
      <c r="N885" s="195"/>
    </row>
    <row r="886" spans="1:14" ht="15" x14ac:dyDescent="0.25">
      <c r="A886" s="410">
        <v>89068</v>
      </c>
      <c r="B886" t="e">
        <f t="shared" si="30"/>
        <v>#N/A</v>
      </c>
      <c r="C886" s="198" t="e">
        <f t="shared" si="29"/>
        <v>#N/A</v>
      </c>
      <c r="D886" s="526" t="e">
        <v>#N/A</v>
      </c>
      <c r="E886" s="526" t="e">
        <v>#N/A</v>
      </c>
      <c r="F886" s="526" t="e">
        <v>#N/A</v>
      </c>
      <c r="G886" s="526" t="e">
        <v>#N/A</v>
      </c>
      <c r="H886" s="412" t="e">
        <v>#N/A</v>
      </c>
      <c r="I886" s="411" t="e">
        <v>#N/A</v>
      </c>
      <c r="J886" s="411" t="e">
        <v>#N/A</v>
      </c>
      <c r="K886" s="411" t="e">
        <v>#N/A</v>
      </c>
      <c r="L886" s="526" t="e">
        <v>#N/A</v>
      </c>
      <c r="M886" s="409" t="s">
        <v>586</v>
      </c>
      <c r="N886" s="195"/>
    </row>
    <row r="887" spans="1:14" ht="15" x14ac:dyDescent="0.25">
      <c r="A887" s="410">
        <v>229436</v>
      </c>
      <c r="B887" t="str">
        <f t="shared" si="30"/>
        <v>SEVROLL spodný vozík WD18V (2x vozík+pozic.) s pružinou</v>
      </c>
      <c r="C887" s="198">
        <f t="shared" si="29"/>
        <v>0</v>
      </c>
      <c r="D887" s="526" t="s">
        <v>3178</v>
      </c>
      <c r="E887" s="526" t="s">
        <v>5600</v>
      </c>
      <c r="F887" s="526" t="s">
        <v>5601</v>
      </c>
      <c r="G887" s="526" t="s">
        <v>5602</v>
      </c>
      <c r="H887" s="412">
        <v>0</v>
      </c>
      <c r="I887" s="411">
        <v>0</v>
      </c>
      <c r="J887" s="411">
        <v>14.272180000000001</v>
      </c>
      <c r="K887" s="411">
        <v>0</v>
      </c>
      <c r="L887" s="526" t="s">
        <v>555</v>
      </c>
      <c r="M887" s="409" t="s">
        <v>587</v>
      </c>
      <c r="N887" s="195"/>
    </row>
    <row r="888" spans="1:14" ht="15" x14ac:dyDescent="0.25">
      <c r="A888" s="410">
        <v>205172</v>
      </c>
      <c r="B888" t="str">
        <f t="shared" si="30"/>
        <v>SEVROLL sp.kryc.lišta 2,35m oliva tm.kartáč</v>
      </c>
      <c r="C888" s="198">
        <f t="shared" si="29"/>
        <v>30.576560000000001</v>
      </c>
      <c r="D888" s="526" t="s">
        <v>3005</v>
      </c>
      <c r="E888" s="526" t="s">
        <v>5603</v>
      </c>
      <c r="F888" s="526" t="s">
        <v>1127</v>
      </c>
      <c r="G888" s="526" t="s">
        <v>5604</v>
      </c>
      <c r="H888" s="412">
        <v>846.63509999999997</v>
      </c>
      <c r="I888" s="411">
        <v>30.576560000000001</v>
      </c>
      <c r="J888" s="411">
        <v>105.3484</v>
      </c>
      <c r="K888" s="411">
        <v>11639.7099</v>
      </c>
      <c r="L888" s="526" t="s">
        <v>554</v>
      </c>
      <c r="M888" s="409" t="s">
        <v>586</v>
      </c>
      <c r="N888" s="195"/>
    </row>
    <row r="889" spans="1:14" ht="15" x14ac:dyDescent="0.25">
      <c r="A889" s="410">
        <v>214745</v>
      </c>
      <c r="B889" t="str">
        <f t="shared" si="30"/>
        <v>SEVROLL spojovacia lišta H10 Decor 3m strieb</v>
      </c>
      <c r="C889" s="198">
        <f t="shared" si="29"/>
        <v>13.222490000000001</v>
      </c>
      <c r="D889" s="526" t="s">
        <v>3030</v>
      </c>
      <c r="E889" s="526" t="s">
        <v>5605</v>
      </c>
      <c r="F889" s="526" t="s">
        <v>1231</v>
      </c>
      <c r="G889" s="526" t="s">
        <v>5606</v>
      </c>
      <c r="H889" s="412">
        <v>365.80351999999999</v>
      </c>
      <c r="I889" s="411">
        <v>13.222490000000001</v>
      </c>
      <c r="J889" s="411">
        <v>48.042000000000002</v>
      </c>
      <c r="K889" s="411">
        <v>5033.4624299999996</v>
      </c>
      <c r="L889" s="526" t="s">
        <v>553</v>
      </c>
      <c r="M889" s="409" t="s">
        <v>586</v>
      </c>
      <c r="N889" s="195"/>
    </row>
    <row r="890" spans="1:14" ht="15" x14ac:dyDescent="0.25">
      <c r="A890" s="410">
        <v>252567</v>
      </c>
      <c r="B890" t="str">
        <f t="shared" si="30"/>
        <v>SEVROLL 04051 spojovacia lišta H18 3m biela lesk</v>
      </c>
      <c r="C890" s="198">
        <f t="shared" si="29"/>
        <v>15.456</v>
      </c>
      <c r="D890" s="526" t="s">
        <v>3219</v>
      </c>
      <c r="E890" s="526" t="s">
        <v>5607</v>
      </c>
      <c r="F890" s="526" t="s">
        <v>5608</v>
      </c>
      <c r="G890" s="526" t="s">
        <v>5609</v>
      </c>
      <c r="H890" s="412">
        <v>427.96154000000001</v>
      </c>
      <c r="I890" s="411">
        <v>15.456</v>
      </c>
      <c r="J890" s="411">
        <v>62.464799999999997</v>
      </c>
      <c r="K890" s="411">
        <v>5883.7013900000002</v>
      </c>
      <c r="L890" s="526" t="s">
        <v>553</v>
      </c>
      <c r="M890" s="409" t="s">
        <v>586</v>
      </c>
      <c r="N890" s="195"/>
    </row>
    <row r="891" spans="1:14" ht="15" x14ac:dyDescent="0.25">
      <c r="A891" s="410">
        <v>223391</v>
      </c>
      <c r="B891" t="str">
        <f t="shared" si="30"/>
        <v>SEVROLL spoj.lišta H18 3m čierna kartáč</v>
      </c>
      <c r="C891" s="198">
        <f t="shared" ref="C891:C954" si="31">IF($A$2=1,H891,IF($A$2=2,I891,IF($A$2=3,J891,IF($A$2=4,K891,"zadat jazyk"))))</f>
        <v>19.197430000000001</v>
      </c>
      <c r="D891" s="526" t="s">
        <v>3069</v>
      </c>
      <c r="E891" s="526" t="s">
        <v>5610</v>
      </c>
      <c r="F891" s="526" t="s">
        <v>1230</v>
      </c>
      <c r="G891" s="526" t="s">
        <v>5611</v>
      </c>
      <c r="H891" s="412">
        <v>531.55823999999996</v>
      </c>
      <c r="I891" s="411">
        <v>19.197430000000001</v>
      </c>
      <c r="J891" s="411">
        <v>67.391400000000004</v>
      </c>
      <c r="K891" s="411">
        <v>7307.9696899999999</v>
      </c>
      <c r="L891" s="526" t="s">
        <v>553</v>
      </c>
      <c r="M891" s="409" t="s">
        <v>586</v>
      </c>
      <c r="N891" s="195"/>
    </row>
    <row r="892" spans="1:14" ht="15" x14ac:dyDescent="0.25">
      <c r="A892" s="410">
        <v>89012</v>
      </c>
      <c r="B892" t="str">
        <f t="shared" si="30"/>
        <v>SEVROLL spojovacia lišta H18 3m oliva</v>
      </c>
      <c r="C892" s="198">
        <f t="shared" si="31"/>
        <v>14.86899</v>
      </c>
      <c r="D892" s="526" t="s">
        <v>2727</v>
      </c>
      <c r="E892" s="526" t="s">
        <v>5612</v>
      </c>
      <c r="F892" s="526" t="s">
        <v>1229</v>
      </c>
      <c r="G892" s="526" t="s">
        <v>2727</v>
      </c>
      <c r="H892" s="412">
        <v>411.52895999999998</v>
      </c>
      <c r="I892" s="411">
        <v>14.86899</v>
      </c>
      <c r="J892" s="411">
        <v>52.856400000000001</v>
      </c>
      <c r="K892" s="411">
        <v>5660.2387699999999</v>
      </c>
      <c r="L892" s="526" t="s">
        <v>553</v>
      </c>
      <c r="M892" s="409" t="s">
        <v>586</v>
      </c>
      <c r="N892" s="195"/>
    </row>
    <row r="893" spans="1:14" ht="15" x14ac:dyDescent="0.25">
      <c r="A893" s="410">
        <v>191704</v>
      </c>
      <c r="B893" t="str">
        <f t="shared" si="30"/>
        <v>SEVROLL spojovacia lišta H18 3m oliva kartáč</v>
      </c>
      <c r="C893" s="198">
        <f t="shared" si="31"/>
        <v>19.197430000000001</v>
      </c>
      <c r="D893" s="526" t="s">
        <v>2965</v>
      </c>
      <c r="E893" s="526" t="s">
        <v>5613</v>
      </c>
      <c r="F893" s="526" t="s">
        <v>1228</v>
      </c>
      <c r="G893" s="526" t="s">
        <v>5614</v>
      </c>
      <c r="H893" s="412">
        <v>531.55823999999996</v>
      </c>
      <c r="I893" s="411">
        <v>19.197430000000001</v>
      </c>
      <c r="J893" s="411">
        <v>67.391400000000004</v>
      </c>
      <c r="K893" s="411">
        <v>7307.9696899999999</v>
      </c>
      <c r="L893" s="526" t="s">
        <v>553</v>
      </c>
      <c r="M893" s="409" t="s">
        <v>586</v>
      </c>
      <c r="N893" s="195"/>
    </row>
    <row r="894" spans="1:14" ht="15" x14ac:dyDescent="0.25">
      <c r="A894" s="410">
        <v>223332</v>
      </c>
      <c r="B894" t="str">
        <f t="shared" si="30"/>
        <v>SEVROLL spoj.lišta H18 3m oliva tm.kartáč</v>
      </c>
      <c r="C894" s="198">
        <f t="shared" si="31"/>
        <v>19.197430000000001</v>
      </c>
      <c r="D894" s="526" t="s">
        <v>3065</v>
      </c>
      <c r="E894" s="526" t="s">
        <v>5615</v>
      </c>
      <c r="F894" s="526" t="s">
        <v>1125</v>
      </c>
      <c r="G894" s="526" t="s">
        <v>5616</v>
      </c>
      <c r="H894" s="412">
        <v>531.55823999999996</v>
      </c>
      <c r="I894" s="411">
        <v>19.197430000000001</v>
      </c>
      <c r="J894" s="411">
        <v>67.391400000000004</v>
      </c>
      <c r="K894" s="411">
        <v>7307.9696899999999</v>
      </c>
      <c r="L894" s="526" t="s">
        <v>554</v>
      </c>
      <c r="M894" s="409" t="s">
        <v>586</v>
      </c>
      <c r="N894" s="195"/>
    </row>
    <row r="895" spans="1:14" ht="15" x14ac:dyDescent="0.25">
      <c r="A895" s="410">
        <v>89010</v>
      </c>
      <c r="B895" t="str">
        <f t="shared" si="30"/>
        <v>SEVROLL 00215 spojovacia lišta H18 3m strieborná</v>
      </c>
      <c r="C895" s="198">
        <f t="shared" si="31"/>
        <v>11.89518</v>
      </c>
      <c r="D895" s="526" t="s">
        <v>2725</v>
      </c>
      <c r="E895" s="526" t="s">
        <v>5617</v>
      </c>
      <c r="F895" s="526" t="s">
        <v>5618</v>
      </c>
      <c r="G895" s="526" t="s">
        <v>2725</v>
      </c>
      <c r="H895" s="412">
        <v>329.36606</v>
      </c>
      <c r="I895" s="411">
        <v>11.89518</v>
      </c>
      <c r="J895" s="411">
        <v>48.042000000000002</v>
      </c>
      <c r="K895" s="411">
        <v>4528.1910099999996</v>
      </c>
      <c r="L895" s="526" t="s">
        <v>710</v>
      </c>
      <c r="M895" s="409" t="s">
        <v>586</v>
      </c>
      <c r="N895" s="195"/>
    </row>
    <row r="896" spans="1:14" ht="15" x14ac:dyDescent="0.25">
      <c r="A896" s="410">
        <v>89011</v>
      </c>
      <c r="B896" t="str">
        <f t="shared" si="30"/>
        <v>SEVROLL 00216 spojovacia lišta H18 3m zlatá</v>
      </c>
      <c r="C896" s="198">
        <f t="shared" si="31"/>
        <v>14.86899</v>
      </c>
      <c r="D896" s="526" t="s">
        <v>2726</v>
      </c>
      <c r="E896" s="526" t="s">
        <v>5619</v>
      </c>
      <c r="F896" s="526" t="s">
        <v>5620</v>
      </c>
      <c r="G896" s="526" t="s">
        <v>2726</v>
      </c>
      <c r="H896" s="412">
        <v>411.52895999999998</v>
      </c>
      <c r="I896" s="411">
        <v>14.86899</v>
      </c>
      <c r="J896" s="411">
        <v>52.856400000000001</v>
      </c>
      <c r="K896" s="411">
        <v>5660.2387699999999</v>
      </c>
      <c r="L896" s="526" t="s">
        <v>553</v>
      </c>
      <c r="M896" s="409" t="s">
        <v>586</v>
      </c>
      <c r="N896" s="195"/>
    </row>
    <row r="897" spans="1:14" ht="15" x14ac:dyDescent="0.25">
      <c r="A897" s="410">
        <v>224158</v>
      </c>
      <c r="B897" t="str">
        <f t="shared" si="30"/>
        <v>SEVROLL 04446 spojovacia lišta Simple/Blue H21 3m (pre lamino 18mm) oliva</v>
      </c>
      <c r="C897" s="198">
        <f t="shared" si="31"/>
        <v>14.159409999999999</v>
      </c>
      <c r="D897" s="526" t="s">
        <v>3149</v>
      </c>
      <c r="E897" s="526" t="s">
        <v>5621</v>
      </c>
      <c r="F897" s="526" t="s">
        <v>5622</v>
      </c>
      <c r="G897" s="526" t="s">
        <v>5623</v>
      </c>
      <c r="H897" s="412">
        <v>387.82906000000003</v>
      </c>
      <c r="I897" s="411">
        <v>14.159409999999999</v>
      </c>
      <c r="J897" s="411">
        <v>54.071179999999998</v>
      </c>
      <c r="K897" s="411">
        <v>5500.1215499999998</v>
      </c>
      <c r="L897" s="526" t="s">
        <v>553</v>
      </c>
      <c r="M897" s="409" t="s">
        <v>586</v>
      </c>
      <c r="N897" s="195"/>
    </row>
    <row r="898" spans="1:14" ht="15" x14ac:dyDescent="0.25">
      <c r="A898" s="410">
        <v>223560</v>
      </c>
      <c r="B898" t="str">
        <f t="shared" si="30"/>
        <v>SEVROLL 04444 spojovacia lišta Simple/Blue H28 3m (pre lamino 18mm) oliva</v>
      </c>
      <c r="C898" s="198">
        <f t="shared" si="31"/>
        <v>24.577359999999999</v>
      </c>
      <c r="D898" s="526" t="s">
        <v>3099</v>
      </c>
      <c r="E898" s="526" t="s">
        <v>5624</v>
      </c>
      <c r="F898" s="526" t="s">
        <v>5625</v>
      </c>
      <c r="G898" s="526" t="s">
        <v>5626</v>
      </c>
      <c r="H898" s="412">
        <v>673.53274999999996</v>
      </c>
      <c r="I898" s="411">
        <v>24.577359999999999</v>
      </c>
      <c r="J898" s="411">
        <v>83.149019999999993</v>
      </c>
      <c r="K898" s="411">
        <v>9546.9076999999997</v>
      </c>
      <c r="L898" s="526" t="s">
        <v>553</v>
      </c>
      <c r="M898" s="409" t="s">
        <v>586</v>
      </c>
      <c r="N898" s="195"/>
    </row>
    <row r="899" spans="1:14" ht="15" x14ac:dyDescent="0.25">
      <c r="A899" s="410">
        <v>98073</v>
      </c>
      <c r="B899" t="str">
        <f t="shared" si="30"/>
        <v>SEVROLL System 10 II úch.lišta 2,7m striebor</v>
      </c>
      <c r="C899" s="198">
        <f t="shared" si="31"/>
        <v>18.732980000000001</v>
      </c>
      <c r="D899" s="526" t="s">
        <v>2802</v>
      </c>
      <c r="E899" s="526" t="s">
        <v>5627</v>
      </c>
      <c r="F899" s="526" t="s">
        <v>1226</v>
      </c>
      <c r="G899" s="526" t="s">
        <v>5628</v>
      </c>
      <c r="H899" s="412">
        <v>518.69795999999997</v>
      </c>
      <c r="I899" s="411">
        <v>18.732980000000001</v>
      </c>
      <c r="J899" s="411">
        <v>76.000200000000007</v>
      </c>
      <c r="K899" s="411">
        <v>7131.1641099999997</v>
      </c>
      <c r="L899" s="526" t="s">
        <v>553</v>
      </c>
      <c r="M899" s="409" t="s">
        <v>586</v>
      </c>
      <c r="N899" s="195"/>
    </row>
    <row r="900" spans="1:14" ht="15" x14ac:dyDescent="0.25">
      <c r="A900" s="410">
        <v>135164</v>
      </c>
      <c r="B900" t="str">
        <f t="shared" si="30"/>
        <v>SEVROLL 20032-SV tesnenie na sklo 10/4,5mm</v>
      </c>
      <c r="C900" s="198">
        <f t="shared" si="31"/>
        <v>0.79988999999999999</v>
      </c>
      <c r="D900" s="526" t="s">
        <v>2879</v>
      </c>
      <c r="E900" s="526" t="s">
        <v>5629</v>
      </c>
      <c r="F900" s="526" t="s">
        <v>5630</v>
      </c>
      <c r="G900" s="526" t="s">
        <v>5631</v>
      </c>
      <c r="H900" s="412">
        <v>23.502649999999999</v>
      </c>
      <c r="I900" s="411">
        <v>0.79988999999999999</v>
      </c>
      <c r="J900" s="411">
        <v>2.7501000000000002</v>
      </c>
      <c r="K900" s="411">
        <v>310.71307999999999</v>
      </c>
      <c r="L900" s="526" t="s">
        <v>553</v>
      </c>
      <c r="M900" s="409" t="s">
        <v>585</v>
      </c>
      <c r="N900" s="195"/>
    </row>
    <row r="901" spans="1:14" ht="15" x14ac:dyDescent="0.25">
      <c r="A901" s="410">
        <v>89238</v>
      </c>
      <c r="B901" t="str">
        <f t="shared" si="30"/>
        <v>SEVROLL 20031-SV tesnenie na sklo 10/4mm</v>
      </c>
      <c r="C901" s="198">
        <f t="shared" si="31"/>
        <v>0.79988999999999999</v>
      </c>
      <c r="D901" s="526" t="s">
        <v>2696</v>
      </c>
      <c r="E901" s="526" t="s">
        <v>5632</v>
      </c>
      <c r="F901" s="526" t="s">
        <v>5633</v>
      </c>
      <c r="G901" s="526" t="s">
        <v>5634</v>
      </c>
      <c r="H901" s="412">
        <v>23.502649999999999</v>
      </c>
      <c r="I901" s="411">
        <v>0.79988999999999999</v>
      </c>
      <c r="J901" s="411">
        <v>2.7501000000000002</v>
      </c>
      <c r="K901" s="411">
        <v>310.71307999999999</v>
      </c>
      <c r="L901" s="526" t="s">
        <v>710</v>
      </c>
      <c r="M901" s="409" t="s">
        <v>585</v>
      </c>
      <c r="N901" s="195"/>
    </row>
    <row r="902" spans="1:14" ht="15" x14ac:dyDescent="0.25">
      <c r="A902" s="410">
        <v>89243</v>
      </c>
      <c r="B902" t="str">
        <f t="shared" si="30"/>
        <v>SEVROLL 20033-SV tesnenie na sklo 10/6mm</v>
      </c>
      <c r="C902" s="198">
        <f t="shared" si="31"/>
        <v>0.79988999999999999</v>
      </c>
      <c r="D902" s="526" t="s">
        <v>2697</v>
      </c>
      <c r="E902" s="526" t="s">
        <v>5635</v>
      </c>
      <c r="F902" s="526" t="s">
        <v>5636</v>
      </c>
      <c r="G902" s="526" t="s">
        <v>5637</v>
      </c>
      <c r="H902" s="412">
        <v>23.502649999999999</v>
      </c>
      <c r="I902" s="411">
        <v>0.79988999999999999</v>
      </c>
      <c r="J902" s="411">
        <v>2.7501000000000002</v>
      </c>
      <c r="K902" s="411">
        <v>310.71307999999999</v>
      </c>
      <c r="L902" s="526" t="s">
        <v>553</v>
      </c>
      <c r="M902" s="409" t="s">
        <v>585</v>
      </c>
      <c r="N902" s="195"/>
    </row>
    <row r="903" spans="1:14" ht="15" x14ac:dyDescent="0.25">
      <c r="A903" s="410">
        <v>275863</v>
      </c>
      <c r="B903" t="e">
        <f t="shared" si="30"/>
        <v>#N/A</v>
      </c>
      <c r="C903" s="198" t="e">
        <f t="shared" si="31"/>
        <v>#N/A</v>
      </c>
      <c r="D903" s="526" t="e">
        <v>#N/A</v>
      </c>
      <c r="E903" s="526" t="e">
        <v>#N/A</v>
      </c>
      <c r="F903" s="526" t="e">
        <v>#N/A</v>
      </c>
      <c r="G903" s="526" t="e">
        <v>#N/A</v>
      </c>
      <c r="H903" s="412" t="e">
        <v>#N/A</v>
      </c>
      <c r="I903" s="411" t="e">
        <v>#N/A</v>
      </c>
      <c r="J903" s="411" t="e">
        <v>#N/A</v>
      </c>
      <c r="K903" s="411" t="e">
        <v>#N/A</v>
      </c>
      <c r="L903" s="526" t="e">
        <v>#N/A</v>
      </c>
      <c r="M903" s="409" t="s">
        <v>586</v>
      </c>
      <c r="N903" s="195"/>
    </row>
    <row r="904" spans="1:14" ht="15" x14ac:dyDescent="0.25">
      <c r="A904" s="410">
        <v>89098</v>
      </c>
      <c r="B904" t="str">
        <f t="shared" si="30"/>
        <v>SEVROLL Tytan úch.lišta 18mm 2,7m oliva</v>
      </c>
      <c r="C904" s="198">
        <f t="shared" si="31"/>
        <v>18.732980000000001</v>
      </c>
      <c r="D904" s="526" t="s">
        <v>2710</v>
      </c>
      <c r="E904" s="526" t="s">
        <v>5638</v>
      </c>
      <c r="F904" s="526" t="s">
        <v>1225</v>
      </c>
      <c r="G904" s="526" t="s">
        <v>5639</v>
      </c>
      <c r="H904" s="412">
        <v>518.69795999999997</v>
      </c>
      <c r="I904" s="411">
        <v>18.732980000000001</v>
      </c>
      <c r="J904" s="411">
        <v>72.504180000000005</v>
      </c>
      <c r="K904" s="411">
        <v>7131.1641099999997</v>
      </c>
      <c r="L904" s="526" t="s">
        <v>553</v>
      </c>
      <c r="M904" s="409" t="s">
        <v>586</v>
      </c>
      <c r="N904" s="195"/>
    </row>
    <row r="905" spans="1:14" ht="15" x14ac:dyDescent="0.25">
      <c r="A905" s="410">
        <v>89099</v>
      </c>
      <c r="B905" t="str">
        <f t="shared" si="30"/>
        <v>SEVROLL Tytan úch.lišta 18mm 2,7m strieborná</v>
      </c>
      <c r="C905" s="198">
        <f t="shared" si="31"/>
        <v>15.404389999999999</v>
      </c>
      <c r="D905" s="526" t="s">
        <v>2711</v>
      </c>
      <c r="E905" s="526" t="s">
        <v>5640</v>
      </c>
      <c r="F905" s="526" t="s">
        <v>1224</v>
      </c>
      <c r="G905" s="526" t="s">
        <v>5641</v>
      </c>
      <c r="H905" s="412">
        <v>448.68088</v>
      </c>
      <c r="I905" s="411">
        <v>15.404389999999999</v>
      </c>
      <c r="J905" s="411">
        <v>67.83381</v>
      </c>
      <c r="K905" s="411">
        <v>5864.0565299999998</v>
      </c>
      <c r="L905" s="526" t="s">
        <v>553</v>
      </c>
      <c r="M905" s="409" t="s">
        <v>586</v>
      </c>
      <c r="N905" s="195"/>
    </row>
    <row r="906" spans="1:14" ht="15" x14ac:dyDescent="0.25">
      <c r="A906" s="410">
        <v>267880</v>
      </c>
      <c r="B906" t="str">
        <f t="shared" si="30"/>
        <v>SEVROLL 04055 uholník Mini 17x11mm 3m biela lesk</v>
      </c>
      <c r="C906" s="198">
        <f t="shared" si="31"/>
        <v>5.5734500000000002</v>
      </c>
      <c r="D906" s="526" t="s">
        <v>5642</v>
      </c>
      <c r="E906" s="526" t="s">
        <v>5643</v>
      </c>
      <c r="F906" s="526" t="s">
        <v>5644</v>
      </c>
      <c r="G906" s="526" t="s">
        <v>5645</v>
      </c>
      <c r="H906" s="412">
        <v>154.32336000000001</v>
      </c>
      <c r="I906" s="411">
        <v>5.5734500000000002</v>
      </c>
      <c r="J906" s="411">
        <v>21.583200000000001</v>
      </c>
      <c r="K906" s="411">
        <v>2121.6687099999999</v>
      </c>
      <c r="L906" s="526" t="s">
        <v>553</v>
      </c>
      <c r="M906" s="409" t="s">
        <v>586</v>
      </c>
      <c r="N906" s="195"/>
    </row>
    <row r="907" spans="1:14" ht="15" x14ac:dyDescent="0.25">
      <c r="A907" s="410">
        <v>135686</v>
      </c>
      <c r="B907" t="e">
        <f t="shared" si="30"/>
        <v>#N/A</v>
      </c>
      <c r="C907" s="198" t="e">
        <f t="shared" si="31"/>
        <v>#N/A</v>
      </c>
      <c r="D907" s="526" t="e">
        <v>#N/A</v>
      </c>
      <c r="E907" s="526" t="e">
        <v>#N/A</v>
      </c>
      <c r="F907" s="526" t="e">
        <v>#N/A</v>
      </c>
      <c r="G907" s="526" t="e">
        <v>#N/A</v>
      </c>
      <c r="H907" s="412" t="e">
        <v>#N/A</v>
      </c>
      <c r="I907" s="411" t="e">
        <v>#N/A</v>
      </c>
      <c r="J907" s="411" t="e">
        <v>#N/A</v>
      </c>
      <c r="K907" s="411" t="e">
        <v>#N/A</v>
      </c>
      <c r="L907" s="526" t="e">
        <v>#N/A</v>
      </c>
      <c r="M907" s="409" t="s">
        <v>586</v>
      </c>
      <c r="N907" s="195"/>
    </row>
    <row r="908" spans="1:14" ht="15" x14ac:dyDescent="0.25">
      <c r="A908" s="410">
        <v>180245</v>
      </c>
      <c r="B908" t="e">
        <f t="shared" si="30"/>
        <v>#N/A</v>
      </c>
      <c r="C908" s="198" t="e">
        <f t="shared" si="31"/>
        <v>#N/A</v>
      </c>
      <c r="D908" s="526" t="e">
        <v>#N/A</v>
      </c>
      <c r="E908" s="526" t="e">
        <v>#N/A</v>
      </c>
      <c r="F908" s="526" t="e">
        <v>#N/A</v>
      </c>
      <c r="G908" s="526" t="e">
        <v>#N/A</v>
      </c>
      <c r="H908" s="412" t="e">
        <v>#N/A</v>
      </c>
      <c r="I908" s="411" t="e">
        <v>#N/A</v>
      </c>
      <c r="J908" s="411" t="e">
        <v>#N/A</v>
      </c>
      <c r="K908" s="411" t="e">
        <v>#N/A</v>
      </c>
      <c r="L908" s="526" t="e">
        <v>#N/A</v>
      </c>
      <c r="M908" s="409" t="s">
        <v>586</v>
      </c>
      <c r="N908" s="195"/>
    </row>
    <row r="909" spans="1:14" ht="15" x14ac:dyDescent="0.25">
      <c r="A909" s="413">
        <v>198399</v>
      </c>
      <c r="B909" t="e">
        <f t="shared" si="30"/>
        <v>#N/A</v>
      </c>
      <c r="C909" s="198" t="e">
        <f t="shared" si="31"/>
        <v>#N/A</v>
      </c>
      <c r="D909" s="526" t="e">
        <v>#N/A</v>
      </c>
      <c r="E909" s="526" t="e">
        <v>#N/A</v>
      </c>
      <c r="F909" s="526" t="e">
        <v>#N/A</v>
      </c>
      <c r="G909" s="526" t="e">
        <v>#N/A</v>
      </c>
      <c r="H909" s="412" t="e">
        <v>#N/A</v>
      </c>
      <c r="I909" s="411" t="e">
        <v>#N/A</v>
      </c>
      <c r="J909" s="411" t="e">
        <v>#N/A</v>
      </c>
      <c r="K909" s="411" t="e">
        <v>#N/A</v>
      </c>
      <c r="L909" s="526" t="e">
        <v>#N/A</v>
      </c>
      <c r="M909" s="414" t="s">
        <v>586</v>
      </c>
      <c r="N909" s="195"/>
    </row>
    <row r="910" spans="1:14" ht="15" x14ac:dyDescent="0.25">
      <c r="A910" s="413">
        <v>340607</v>
      </c>
      <c r="B910" t="e">
        <f t="shared" si="30"/>
        <v>#N/A</v>
      </c>
      <c r="C910" s="198" t="e">
        <f t="shared" si="31"/>
        <v>#N/A</v>
      </c>
      <c r="D910" s="526" t="e">
        <v>#N/A</v>
      </c>
      <c r="E910" s="526" t="e">
        <v>#N/A</v>
      </c>
      <c r="F910" s="526" t="e">
        <v>#N/A</v>
      </c>
      <c r="G910" s="526" t="e">
        <v>#N/A</v>
      </c>
      <c r="H910" s="412" t="e">
        <v>#N/A</v>
      </c>
      <c r="I910" s="411" t="e">
        <v>#N/A</v>
      </c>
      <c r="J910" s="411" t="e">
        <v>#N/A</v>
      </c>
      <c r="K910" s="411" t="e">
        <v>#N/A</v>
      </c>
      <c r="L910" s="526" t="e">
        <v>#N/A</v>
      </c>
      <c r="M910" s="414" t="s">
        <v>587</v>
      </c>
      <c r="N910" s="195"/>
    </row>
    <row r="911" spans="1:14" ht="15" x14ac:dyDescent="0.25">
      <c r="A911" s="413">
        <v>100304</v>
      </c>
      <c r="B911" t="e">
        <f t="shared" si="30"/>
        <v>#N/A</v>
      </c>
      <c r="C911" s="198" t="e">
        <f t="shared" si="31"/>
        <v>#N/A</v>
      </c>
      <c r="D911" s="526" t="e">
        <v>#N/A</v>
      </c>
      <c r="E911" s="526" t="e">
        <v>#N/A</v>
      </c>
      <c r="F911" s="526" t="e">
        <v>#N/A</v>
      </c>
      <c r="G911" s="526" t="e">
        <v>#N/A</v>
      </c>
      <c r="H911" s="412" t="e">
        <v>#N/A</v>
      </c>
      <c r="I911" s="411" t="e">
        <v>#N/A</v>
      </c>
      <c r="J911" s="411" t="e">
        <v>#N/A</v>
      </c>
      <c r="K911" s="411" t="e">
        <v>#N/A</v>
      </c>
      <c r="L911" s="526" t="e">
        <v>#N/A</v>
      </c>
      <c r="M911" s="414" t="s">
        <v>586</v>
      </c>
      <c r="N911" s="195"/>
    </row>
    <row r="912" spans="1:14" ht="15" x14ac:dyDescent="0.25">
      <c r="A912" s="413">
        <v>100300</v>
      </c>
      <c r="B912" t="e">
        <f t="shared" si="30"/>
        <v>#N/A</v>
      </c>
      <c r="C912" s="198" t="e">
        <f t="shared" si="31"/>
        <v>#N/A</v>
      </c>
      <c r="D912" s="526" t="e">
        <v>#N/A</v>
      </c>
      <c r="E912" s="526" t="e">
        <v>#N/A</v>
      </c>
      <c r="F912" s="526" t="e">
        <v>#N/A</v>
      </c>
      <c r="G912" s="526" t="e">
        <v>#N/A</v>
      </c>
      <c r="H912" s="412" t="e">
        <v>#N/A</v>
      </c>
      <c r="I912" s="411" t="e">
        <v>#N/A</v>
      </c>
      <c r="J912" s="411" t="e">
        <v>#N/A</v>
      </c>
      <c r="K912" s="411" t="e">
        <v>#N/A</v>
      </c>
      <c r="L912" s="526" t="e">
        <v>#N/A</v>
      </c>
      <c r="M912" s="414" t="s">
        <v>586</v>
      </c>
      <c r="N912" s="195"/>
    </row>
    <row r="913" spans="1:14" ht="15" x14ac:dyDescent="0.25">
      <c r="A913" s="413">
        <v>98013</v>
      </c>
      <c r="B913" t="str">
        <f t="shared" si="30"/>
        <v>Sevroll (Astin)-UHOLNÍK 3,6M HLINÍK (22/1)</v>
      </c>
      <c r="C913" s="198">
        <f t="shared" si="31"/>
        <v>10.39861</v>
      </c>
      <c r="D913" s="526" t="s">
        <v>2743</v>
      </c>
      <c r="E913" s="526" t="s">
        <v>5646</v>
      </c>
      <c r="F913" s="526" t="s">
        <v>5647</v>
      </c>
      <c r="G913" s="526" t="s">
        <v>5648</v>
      </c>
      <c r="H913" s="412">
        <v>287.92738000000003</v>
      </c>
      <c r="I913" s="411">
        <v>10.39861</v>
      </c>
      <c r="J913" s="411">
        <v>44.809489999999997</v>
      </c>
      <c r="K913" s="411">
        <v>3958.4834700000001</v>
      </c>
      <c r="L913" s="526" t="s">
        <v>554</v>
      </c>
      <c r="M913" s="414" t="s">
        <v>586</v>
      </c>
      <c r="N913" s="195"/>
    </row>
    <row r="914" spans="1:14" ht="15" x14ac:dyDescent="0.25">
      <c r="A914" s="413">
        <v>98012</v>
      </c>
      <c r="B914" t="str">
        <f t="shared" si="30"/>
        <v>Sevroll (Astin) UHOLNÍK 2,7M str. (22/1)</v>
      </c>
      <c r="C914" s="198">
        <f t="shared" si="31"/>
        <v>7.8957199999999998</v>
      </c>
      <c r="D914" s="526" t="s">
        <v>2742</v>
      </c>
      <c r="E914" s="526" t="s">
        <v>5649</v>
      </c>
      <c r="F914" s="526" t="s">
        <v>5650</v>
      </c>
      <c r="G914" s="526" t="s">
        <v>5651</v>
      </c>
      <c r="H914" s="412">
        <v>218.62476000000001</v>
      </c>
      <c r="I914" s="411">
        <v>7.8957199999999998</v>
      </c>
      <c r="J914" s="411">
        <v>34.024070000000002</v>
      </c>
      <c r="K914" s="411">
        <v>3005.69731</v>
      </c>
      <c r="L914" s="526" t="s">
        <v>553</v>
      </c>
      <c r="M914" s="414" t="s">
        <v>586</v>
      </c>
      <c r="N914" s="195"/>
    </row>
    <row r="915" spans="1:14" ht="15" x14ac:dyDescent="0.25">
      <c r="A915" s="413">
        <v>98011</v>
      </c>
      <c r="B915" t="str">
        <f t="shared" si="30"/>
        <v>Sevroll (Astin)-UHOLNÍK 1,8M HLINÍK (22/1)</v>
      </c>
      <c r="C915" s="198">
        <f t="shared" si="31"/>
        <v>5.0315899999999996</v>
      </c>
      <c r="D915" s="526" t="s">
        <v>2741</v>
      </c>
      <c r="E915" s="526" t="s">
        <v>5652</v>
      </c>
      <c r="F915" s="526" t="s">
        <v>5653</v>
      </c>
      <c r="G915" s="526" t="s">
        <v>5654</v>
      </c>
      <c r="H915" s="412">
        <v>139.31970000000001</v>
      </c>
      <c r="I915" s="411">
        <v>5.0315899999999996</v>
      </c>
      <c r="J915" s="411">
        <v>21.682020000000001</v>
      </c>
      <c r="K915" s="411">
        <v>1915.3952999999999</v>
      </c>
      <c r="L915" s="526" t="s">
        <v>554</v>
      </c>
      <c r="M915" s="414" t="s">
        <v>586</v>
      </c>
      <c r="N915" s="195"/>
    </row>
    <row r="916" spans="1:14" ht="15" x14ac:dyDescent="0.25">
      <c r="A916" s="413">
        <v>98015</v>
      </c>
      <c r="B916" t="str">
        <f t="shared" si="30"/>
        <v>Sevroll (Astin) spojovací H08 profil 3m strieborná</v>
      </c>
      <c r="C916" s="198">
        <f t="shared" si="31"/>
        <v>10.270049999999999</v>
      </c>
      <c r="D916" s="526" t="s">
        <v>2744</v>
      </c>
      <c r="E916" s="526" t="s">
        <v>5655</v>
      </c>
      <c r="F916" s="526" t="s">
        <v>5656</v>
      </c>
      <c r="G916" s="526" t="s">
        <v>5657</v>
      </c>
      <c r="H916" s="412" t="e">
        <v>#N/A</v>
      </c>
      <c r="I916" s="411">
        <v>10.270049999999999</v>
      </c>
      <c r="J916" s="411">
        <v>36.833399999999997</v>
      </c>
      <c r="K916" s="411">
        <v>4021.5995200000002</v>
      </c>
      <c r="L916" s="526" t="e">
        <v>#N/A</v>
      </c>
      <c r="M916" s="414" t="s">
        <v>586</v>
      </c>
      <c r="N916" s="195"/>
    </row>
    <row r="917" spans="1:14" ht="15" x14ac:dyDescent="0.25">
      <c r="A917" s="413">
        <v>98009</v>
      </c>
      <c r="B917" t="str">
        <f t="shared" si="30"/>
        <v>Sevroll (Astin)-SPODNÝ PROFIL 3,6M HLINÍK (22/1)</v>
      </c>
      <c r="C917" s="198">
        <f t="shared" si="31"/>
        <v>21.984159999999999</v>
      </c>
      <c r="D917" s="526" t="s">
        <v>2740</v>
      </c>
      <c r="E917" s="526" t="s">
        <v>5658</v>
      </c>
      <c r="F917" s="526" t="s">
        <v>5659</v>
      </c>
      <c r="G917" s="526" t="s">
        <v>5660</v>
      </c>
      <c r="H917" s="412">
        <v>608.71992</v>
      </c>
      <c r="I917" s="411">
        <v>21.984159999999999</v>
      </c>
      <c r="J917" s="411">
        <v>92.052850000000007</v>
      </c>
      <c r="K917" s="411">
        <v>8368.8042299999997</v>
      </c>
      <c r="L917" s="526" t="s">
        <v>553</v>
      </c>
      <c r="M917" s="414" t="s">
        <v>586</v>
      </c>
      <c r="N917" s="195"/>
    </row>
    <row r="918" spans="1:14" ht="15" x14ac:dyDescent="0.25">
      <c r="A918" s="413">
        <v>98008</v>
      </c>
      <c r="B918" t="str">
        <f t="shared" si="30"/>
        <v>Sevroll (Astin)-SPODNÝ PROFIL 2,7M HLINÍK (22/1)</v>
      </c>
      <c r="C918" s="198">
        <f t="shared" si="31"/>
        <v>18.603960000000001</v>
      </c>
      <c r="D918" s="526" t="s">
        <v>2739</v>
      </c>
      <c r="E918" s="526" t="s">
        <v>5661</v>
      </c>
      <c r="F918" s="526" t="s">
        <v>5662</v>
      </c>
      <c r="G918" s="526" t="s">
        <v>5663</v>
      </c>
      <c r="H918" s="412">
        <v>515.12566000000004</v>
      </c>
      <c r="I918" s="411">
        <v>18.603960000000001</v>
      </c>
      <c r="J918" s="411">
        <v>77.890870000000007</v>
      </c>
      <c r="K918" s="411">
        <v>7082.05141</v>
      </c>
      <c r="L918" s="526" t="s">
        <v>553</v>
      </c>
      <c r="M918" s="414" t="s">
        <v>586</v>
      </c>
      <c r="N918" s="195"/>
    </row>
    <row r="919" spans="1:14" ht="15" x14ac:dyDescent="0.25">
      <c r="A919" s="413">
        <v>98007</v>
      </c>
      <c r="B919" t="str">
        <f t="shared" si="30"/>
        <v>Sevroll (Astin)-SPODNÝ PROFIL 1,8M HLINÍK (22/1)</v>
      </c>
      <c r="C919" s="198">
        <f t="shared" si="31"/>
        <v>10.837260000000001</v>
      </c>
      <c r="D919" s="526" t="s">
        <v>2738</v>
      </c>
      <c r="E919" s="526" t="s">
        <v>5664</v>
      </c>
      <c r="F919" s="526" t="s">
        <v>5665</v>
      </c>
      <c r="G919" s="526" t="s">
        <v>5666</v>
      </c>
      <c r="H919" s="412">
        <v>300.07319999999999</v>
      </c>
      <c r="I919" s="411">
        <v>10.837260000000001</v>
      </c>
      <c r="J919" s="411">
        <v>45.359380000000002</v>
      </c>
      <c r="K919" s="411">
        <v>4125.4668000000001</v>
      </c>
      <c r="L919" s="526" t="s">
        <v>554</v>
      </c>
      <c r="M919" s="414" t="s">
        <v>586</v>
      </c>
      <c r="N919" s="195"/>
    </row>
    <row r="920" spans="1:14" ht="15" x14ac:dyDescent="0.25">
      <c r="A920" s="413">
        <v>98002</v>
      </c>
      <c r="B920" t="str">
        <f t="shared" si="30"/>
        <v>Sevroll (Astin) Orient úch.lišta 2,7m str. (32/1)</v>
      </c>
      <c r="C920" s="198">
        <f t="shared" si="31"/>
        <v>19.512239999999998</v>
      </c>
      <c r="D920" s="526" t="s">
        <v>2734</v>
      </c>
      <c r="E920" s="526" t="s">
        <v>5667</v>
      </c>
      <c r="F920" s="526" t="s">
        <v>5668</v>
      </c>
      <c r="G920" s="526" t="s">
        <v>5669</v>
      </c>
      <c r="H920" s="412">
        <v>540.13175999999999</v>
      </c>
      <c r="I920" s="411">
        <v>19.512239999999998</v>
      </c>
      <c r="J920" s="411">
        <v>81.387789999999995</v>
      </c>
      <c r="K920" s="411">
        <v>7427.8048500000004</v>
      </c>
      <c r="L920" s="526" t="s">
        <v>553</v>
      </c>
      <c r="M920" s="414" t="s">
        <v>586</v>
      </c>
      <c r="N920" s="195"/>
    </row>
    <row r="921" spans="1:14" ht="15" x14ac:dyDescent="0.25">
      <c r="A921" s="413">
        <v>98005</v>
      </c>
      <c r="B921" t="str">
        <f t="shared" si="30"/>
        <v>Sevroll (Astin)-HORNÝ PROFIL 3,6M HLINÍK (32/1)</v>
      </c>
      <c r="C921" s="198">
        <f t="shared" si="31"/>
        <v>44.484369999999998</v>
      </c>
      <c r="D921" s="526" t="s">
        <v>2737</v>
      </c>
      <c r="E921" s="526" t="s">
        <v>5670</v>
      </c>
      <c r="F921" s="526" t="s">
        <v>5671</v>
      </c>
      <c r="G921" s="526" t="s">
        <v>5672</v>
      </c>
      <c r="H921" s="412">
        <v>1231.7290399999999</v>
      </c>
      <c r="I921" s="411">
        <v>44.484369999999998</v>
      </c>
      <c r="J921" s="411">
        <v>176.27547000000001</v>
      </c>
      <c r="K921" s="411">
        <v>16934.05889</v>
      </c>
      <c r="L921" s="526" t="s">
        <v>554</v>
      </c>
      <c r="M921" s="414" t="s">
        <v>586</v>
      </c>
      <c r="N921" s="195"/>
    </row>
    <row r="922" spans="1:14" ht="15" x14ac:dyDescent="0.25">
      <c r="A922" s="413">
        <v>98004</v>
      </c>
      <c r="B922" t="str">
        <f t="shared" si="30"/>
        <v>Sevroll (Astin)-HORNÝ PROFIL 2,7M HLINÍK (32/1)</v>
      </c>
      <c r="C922" s="198">
        <f t="shared" si="31"/>
        <v>36.38223</v>
      </c>
      <c r="D922" s="526" t="s">
        <v>2736</v>
      </c>
      <c r="E922" s="526" t="s">
        <v>5673</v>
      </c>
      <c r="F922" s="526" t="s">
        <v>5674</v>
      </c>
      <c r="G922" s="526" t="s">
        <v>5675</v>
      </c>
      <c r="H922" s="412">
        <v>1007.3886</v>
      </c>
      <c r="I922" s="411">
        <v>36.38223</v>
      </c>
      <c r="J922" s="411">
        <v>144.12826999999999</v>
      </c>
      <c r="K922" s="411">
        <v>13849.7814</v>
      </c>
      <c r="L922" s="526" t="s">
        <v>553</v>
      </c>
      <c r="M922" s="414" t="s">
        <v>586</v>
      </c>
      <c r="N922" s="195"/>
    </row>
    <row r="923" spans="1:14" ht="15" x14ac:dyDescent="0.25">
      <c r="A923" s="413">
        <v>98003</v>
      </c>
      <c r="B923" t="str">
        <f t="shared" si="30"/>
        <v>Sevroll (Astin)-HORNÝ PROFIL 1,8M HLINÍK (32/1)</v>
      </c>
      <c r="C923" s="198">
        <f t="shared" si="31"/>
        <v>21.081050000000001</v>
      </c>
      <c r="D923" s="526" t="s">
        <v>2735</v>
      </c>
      <c r="E923" s="526" t="s">
        <v>5676</v>
      </c>
      <c r="F923" s="526" t="s">
        <v>5677</v>
      </c>
      <c r="G923" s="526" t="s">
        <v>5678</v>
      </c>
      <c r="H923" s="412">
        <v>583.71382000000006</v>
      </c>
      <c r="I923" s="411">
        <v>21.081050000000001</v>
      </c>
      <c r="J923" s="411">
        <v>83.524460000000005</v>
      </c>
      <c r="K923" s="411">
        <v>8025.0153300000002</v>
      </c>
      <c r="L923" s="526" t="s">
        <v>553</v>
      </c>
      <c r="M923" s="414" t="s">
        <v>586</v>
      </c>
      <c r="N923" s="195"/>
    </row>
    <row r="924" spans="1:14" ht="15" x14ac:dyDescent="0.25">
      <c r="A924" s="413">
        <v>98001</v>
      </c>
      <c r="B924" t="str">
        <f t="shared" ref="B924:B979" si="32">IF($A$2=1,D924,IF($A$2=2,F924,IF($A$2=3,G924,IF($A$2=4,E924,"zadat jazyk"))))</f>
        <v>Sevroll (Astin) Elegant úch.lišta 2,7m str. (22/1)</v>
      </c>
      <c r="C924" s="198">
        <f t="shared" si="31"/>
        <v>19.438680000000002</v>
      </c>
      <c r="D924" s="526" t="s">
        <v>2733</v>
      </c>
      <c r="E924" s="526" t="s">
        <v>5679</v>
      </c>
      <c r="F924" s="526" t="s">
        <v>5680</v>
      </c>
      <c r="G924" s="526" t="s">
        <v>5681</v>
      </c>
      <c r="H924" s="412">
        <v>537.98838000000001</v>
      </c>
      <c r="I924" s="411">
        <v>19.438680000000002</v>
      </c>
      <c r="J924" s="411">
        <v>81.096440000000001</v>
      </c>
      <c r="K924" s="411">
        <v>7399.8107499999996</v>
      </c>
      <c r="L924" s="526" t="s">
        <v>553</v>
      </c>
      <c r="M924" s="414" t="s">
        <v>586</v>
      </c>
      <c r="N924" s="195"/>
    </row>
    <row r="925" spans="1:14" ht="15" x14ac:dyDescent="0.25">
      <c r="A925" s="415">
        <v>279084</v>
      </c>
      <c r="B925" t="str">
        <f t="shared" si="32"/>
        <v>SEVROLL vedenie INTER S 35kg do stropu 6m</v>
      </c>
      <c r="C925" s="198" t="e">
        <f t="shared" si="31"/>
        <v>#N/A</v>
      </c>
      <c r="D925" s="526" t="s">
        <v>3257</v>
      </c>
      <c r="E925" s="526" t="s">
        <v>5682</v>
      </c>
      <c r="F925" s="526" t="s">
        <v>1103</v>
      </c>
      <c r="G925" s="526" t="s">
        <v>5683</v>
      </c>
      <c r="H925" s="412" t="e">
        <v>#N/A</v>
      </c>
      <c r="I925" s="411" t="e">
        <v>#N/A</v>
      </c>
      <c r="J925" s="411" t="e">
        <v>#N/A</v>
      </c>
      <c r="K925" s="411" t="e">
        <v>#N/A</v>
      </c>
      <c r="L925" s="526" t="e">
        <v>#N/A</v>
      </c>
      <c r="M925" s="416" t="s">
        <v>586</v>
      </c>
      <c r="N925" s="195"/>
    </row>
    <row r="926" spans="1:14" ht="15" x14ac:dyDescent="0.25">
      <c r="A926" s="415">
        <v>279083</v>
      </c>
      <c r="B926" t="str">
        <f t="shared" si="32"/>
        <v>SEVROLL vedenie INTER S 35kg do stropu 3m</v>
      </c>
      <c r="C926" s="198" t="e">
        <f t="shared" si="31"/>
        <v>#N/A</v>
      </c>
      <c r="D926" s="526" t="s">
        <v>3256</v>
      </c>
      <c r="E926" s="526" t="s">
        <v>5684</v>
      </c>
      <c r="F926" s="526" t="s">
        <v>1104</v>
      </c>
      <c r="G926" s="526" t="s">
        <v>5685</v>
      </c>
      <c r="H926" s="412" t="e">
        <v>#N/A</v>
      </c>
      <c r="I926" s="411" t="e">
        <v>#N/A</v>
      </c>
      <c r="J926" s="411" t="e">
        <v>#N/A</v>
      </c>
      <c r="K926" s="411" t="e">
        <v>#N/A</v>
      </c>
      <c r="L926" s="526" t="e">
        <v>#N/A</v>
      </c>
      <c r="M926" s="416" t="s">
        <v>586</v>
      </c>
      <c r="N926" s="195"/>
    </row>
    <row r="927" spans="1:14" ht="15" x14ac:dyDescent="0.25">
      <c r="A927" s="415">
        <v>279087</v>
      </c>
      <c r="B927" t="str">
        <f t="shared" si="32"/>
        <v>SEVROLL vedenie INTER B 35kg na stenu 6m</v>
      </c>
      <c r="C927" s="198" t="e">
        <f t="shared" si="31"/>
        <v>#N/A</v>
      </c>
      <c r="D927" s="526" t="s">
        <v>3260</v>
      </c>
      <c r="E927" s="526" t="s">
        <v>5686</v>
      </c>
      <c r="F927" s="526" t="s">
        <v>1105</v>
      </c>
      <c r="G927" s="526" t="s">
        <v>5687</v>
      </c>
      <c r="H927" s="412" t="e">
        <v>#N/A</v>
      </c>
      <c r="I927" s="411" t="e">
        <v>#N/A</v>
      </c>
      <c r="J927" s="411" t="e">
        <v>#N/A</v>
      </c>
      <c r="K927" s="411" t="e">
        <v>#N/A</v>
      </c>
      <c r="L927" s="526" t="e">
        <v>#N/A</v>
      </c>
      <c r="M927" s="416" t="s">
        <v>586</v>
      </c>
      <c r="N927" s="195"/>
    </row>
    <row r="928" spans="1:14" ht="15" x14ac:dyDescent="0.25">
      <c r="A928" s="415">
        <v>279086</v>
      </c>
      <c r="B928" t="str">
        <f t="shared" si="32"/>
        <v>SEVROLL vedenie INTER B 35kg do stropu 3m</v>
      </c>
      <c r="C928" s="198" t="e">
        <f t="shared" si="31"/>
        <v>#N/A</v>
      </c>
      <c r="D928" s="526" t="s">
        <v>3259</v>
      </c>
      <c r="E928" s="526" t="s">
        <v>5688</v>
      </c>
      <c r="F928" s="526" t="s">
        <v>1106</v>
      </c>
      <c r="G928" s="526" t="s">
        <v>5689</v>
      </c>
      <c r="H928" s="412" t="e">
        <v>#N/A</v>
      </c>
      <c r="I928" s="411" t="e">
        <v>#N/A</v>
      </c>
      <c r="J928" s="411" t="e">
        <v>#N/A</v>
      </c>
      <c r="K928" s="411" t="e">
        <v>#N/A</v>
      </c>
      <c r="L928" s="526" t="e">
        <v>#N/A</v>
      </c>
      <c r="M928" s="416" t="s">
        <v>586</v>
      </c>
      <c r="N928" s="195"/>
    </row>
    <row r="929" spans="1:14" ht="15" x14ac:dyDescent="0.25">
      <c r="A929" s="415">
        <v>308699</v>
      </c>
      <c r="B929" t="str">
        <f t="shared" si="32"/>
        <v>SEVROLL vedenie Galaxy S 50kg do stropu 4m</v>
      </c>
      <c r="C929" s="198">
        <f t="shared" si="31"/>
        <v>24.684449999999998</v>
      </c>
      <c r="D929" s="526" t="s">
        <v>3348</v>
      </c>
      <c r="E929" s="526" t="s">
        <v>5690</v>
      </c>
      <c r="F929" s="526" t="s">
        <v>1107</v>
      </c>
      <c r="G929" s="526" t="s">
        <v>5691</v>
      </c>
      <c r="H929" s="412">
        <v>651.76485000000002</v>
      </c>
      <c r="I929" s="411">
        <v>24.684449999999998</v>
      </c>
      <c r="J929" s="411">
        <v>84.933130000000006</v>
      </c>
      <c r="K929" s="411">
        <v>9090.0172999999995</v>
      </c>
      <c r="L929" s="526" t="s">
        <v>554</v>
      </c>
      <c r="M929" s="416" t="s">
        <v>586</v>
      </c>
      <c r="N929" s="195"/>
    </row>
    <row r="930" spans="1:14" ht="15" x14ac:dyDescent="0.25">
      <c r="A930" s="415">
        <v>308698</v>
      </c>
      <c r="B930" t="str">
        <f t="shared" si="32"/>
        <v>SEVROLL vedenie Galaxy S 50kg do stropu 2,5m</v>
      </c>
      <c r="C930" s="198">
        <f t="shared" si="31"/>
        <v>0</v>
      </c>
      <c r="D930" s="526" t="s">
        <v>3347</v>
      </c>
      <c r="E930" s="526" t="s">
        <v>5692</v>
      </c>
      <c r="F930" s="526" t="s">
        <v>1108</v>
      </c>
      <c r="G930" s="526" t="s">
        <v>5693</v>
      </c>
      <c r="H930" s="412">
        <v>0</v>
      </c>
      <c r="I930" s="411">
        <v>0</v>
      </c>
      <c r="J930" s="411">
        <v>0</v>
      </c>
      <c r="K930" s="411">
        <v>0</v>
      </c>
      <c r="L930" s="526" t="s">
        <v>555</v>
      </c>
      <c r="M930" s="416" t="s">
        <v>586</v>
      </c>
      <c r="N930" s="195"/>
    </row>
    <row r="931" spans="1:14" ht="15" x14ac:dyDescent="0.25">
      <c r="A931" s="415">
        <v>308697</v>
      </c>
      <c r="B931" t="str">
        <f t="shared" si="32"/>
        <v>SEVROLL vedenie Galaxy S 50kg do stropu 1,5m</v>
      </c>
      <c r="C931" s="198">
        <f t="shared" si="31"/>
        <v>9.26586</v>
      </c>
      <c r="D931" s="526" t="s">
        <v>3346</v>
      </c>
      <c r="E931" s="526" t="s">
        <v>5694</v>
      </c>
      <c r="F931" s="526" t="s">
        <v>1109</v>
      </c>
      <c r="G931" s="526" t="s">
        <v>5695</v>
      </c>
      <c r="H931" s="412">
        <v>244.49695</v>
      </c>
      <c r="I931" s="411">
        <v>9.26586</v>
      </c>
      <c r="J931" s="411">
        <v>31.881550000000001</v>
      </c>
      <c r="K931" s="411">
        <v>3412.1423</v>
      </c>
      <c r="L931" s="526" t="s">
        <v>554</v>
      </c>
      <c r="M931" s="416" t="s">
        <v>586</v>
      </c>
      <c r="N931" s="195"/>
    </row>
    <row r="932" spans="1:14" ht="15" x14ac:dyDescent="0.25">
      <c r="A932" s="415">
        <v>308696</v>
      </c>
      <c r="B932" t="str">
        <f t="shared" si="32"/>
        <v>SEVROLL vedenie Galaxy B 50kg na stenu 4m</v>
      </c>
      <c r="C932" s="198">
        <f t="shared" si="31"/>
        <v>25.9346</v>
      </c>
      <c r="D932" s="526" t="s">
        <v>3345</v>
      </c>
      <c r="E932" s="526" t="s">
        <v>5696</v>
      </c>
      <c r="F932" s="526" t="s">
        <v>1110</v>
      </c>
      <c r="G932" s="526" t="s">
        <v>5697</v>
      </c>
      <c r="H932" s="412">
        <v>684.45524999999998</v>
      </c>
      <c r="I932" s="411">
        <v>25.9346</v>
      </c>
      <c r="J932" s="411">
        <v>89.2346</v>
      </c>
      <c r="K932" s="411">
        <v>9550.3846300000005</v>
      </c>
      <c r="L932" s="526" t="s">
        <v>554</v>
      </c>
      <c r="M932" s="416" t="s">
        <v>586</v>
      </c>
      <c r="N932" s="195"/>
    </row>
    <row r="933" spans="1:14" ht="15" x14ac:dyDescent="0.25">
      <c r="A933" s="415">
        <v>308695</v>
      </c>
      <c r="B933" t="str">
        <f t="shared" si="32"/>
        <v>SEVROLL vedenie Galaxy B 50kg na stenu 2,5m</v>
      </c>
      <c r="C933" s="198">
        <f t="shared" si="31"/>
        <v>0</v>
      </c>
      <c r="D933" s="526" t="s">
        <v>3344</v>
      </c>
      <c r="E933" s="526" t="s">
        <v>5698</v>
      </c>
      <c r="F933" s="526" t="s">
        <v>1111</v>
      </c>
      <c r="G933" s="526" t="s">
        <v>5699</v>
      </c>
      <c r="H933" s="412">
        <v>0</v>
      </c>
      <c r="I933" s="411">
        <v>0</v>
      </c>
      <c r="J933" s="411">
        <v>0</v>
      </c>
      <c r="K933" s="411">
        <v>0</v>
      </c>
      <c r="L933" s="526" t="s">
        <v>555</v>
      </c>
      <c r="M933" s="416" t="s">
        <v>586</v>
      </c>
      <c r="N933" s="195"/>
    </row>
    <row r="934" spans="1:14" ht="15" x14ac:dyDescent="0.25">
      <c r="A934" s="415">
        <v>96400</v>
      </c>
      <c r="B934" t="str">
        <f t="shared" si="32"/>
        <v>SEVROLL Exclusive horné vedenie 1,8m str.</v>
      </c>
      <c r="C934" s="198">
        <f t="shared" si="31"/>
        <v>19.352250000000002</v>
      </c>
      <c r="D934" s="526" t="s">
        <v>2780</v>
      </c>
      <c r="E934" s="526" t="s">
        <v>5700</v>
      </c>
      <c r="F934" s="526" t="s">
        <v>1198</v>
      </c>
      <c r="G934" s="526" t="s">
        <v>5701</v>
      </c>
      <c r="H934" s="412">
        <v>510.78750000000002</v>
      </c>
      <c r="I934" s="411">
        <v>19.352250000000002</v>
      </c>
      <c r="J934" s="411">
        <v>66.586370000000002</v>
      </c>
      <c r="K934" s="411">
        <v>7126.4422999999997</v>
      </c>
      <c r="L934" s="526" t="s">
        <v>554</v>
      </c>
      <c r="M934" s="416" t="s">
        <v>586</v>
      </c>
      <c r="N934" s="195"/>
    </row>
    <row r="935" spans="1:14" ht="15" x14ac:dyDescent="0.25">
      <c r="A935" s="415">
        <v>279082</v>
      </c>
      <c r="B935" t="str">
        <f t="shared" si="32"/>
        <v>SEVROLL 50461 vedenie INTER S 35kg do stropu 2m</v>
      </c>
      <c r="C935" s="198">
        <f t="shared" si="31"/>
        <v>10.65213</v>
      </c>
      <c r="D935" s="526" t="s">
        <v>3255</v>
      </c>
      <c r="E935" s="526" t="s">
        <v>5702</v>
      </c>
      <c r="F935" s="526" t="s">
        <v>5703</v>
      </c>
      <c r="G935" s="526" t="s">
        <v>5704</v>
      </c>
      <c r="H935" s="412">
        <v>287.40309999999999</v>
      </c>
      <c r="I935" s="411">
        <v>10.65213</v>
      </c>
      <c r="J935" s="411">
        <v>37.448180000000001</v>
      </c>
      <c r="K935" s="411">
        <v>4007.9077000000002</v>
      </c>
      <c r="L935" s="526" t="s">
        <v>555</v>
      </c>
      <c r="M935" s="416" t="s">
        <v>586</v>
      </c>
      <c r="N935" s="195"/>
    </row>
    <row r="936" spans="1:14" ht="15" x14ac:dyDescent="0.25">
      <c r="A936" s="415">
        <v>284589</v>
      </c>
      <c r="B936" t="str">
        <f t="shared" si="32"/>
        <v>SEVROLL 50460 vedenie INTER S 35kg do stropu 1,5m</v>
      </c>
      <c r="C936" s="198">
        <f t="shared" si="31"/>
        <v>7.9651100000000001</v>
      </c>
      <c r="D936" s="526" t="s">
        <v>3279</v>
      </c>
      <c r="E936" s="526" t="s">
        <v>5705</v>
      </c>
      <c r="F936" s="526" t="s">
        <v>5706</v>
      </c>
      <c r="G936" s="526" t="s">
        <v>5707</v>
      </c>
      <c r="H936" s="412" t="e">
        <v>#N/A</v>
      </c>
      <c r="I936" s="411">
        <v>7.9651100000000001</v>
      </c>
      <c r="J936" s="411">
        <v>28.00179</v>
      </c>
      <c r="K936" s="411">
        <v>2996.9047999999998</v>
      </c>
      <c r="L936" s="526" t="e">
        <v>#N/A</v>
      </c>
      <c r="M936" s="416" t="s">
        <v>586</v>
      </c>
      <c r="N936" s="195"/>
    </row>
    <row r="937" spans="1:14" ht="15" x14ac:dyDescent="0.25">
      <c r="A937" s="415">
        <v>279085</v>
      </c>
      <c r="B937" t="str">
        <f t="shared" si="32"/>
        <v>SEVROLL 50455 vedenie INTER B 35kg na stenu 2m</v>
      </c>
      <c r="C937" s="198">
        <f t="shared" si="31"/>
        <v>10.65213</v>
      </c>
      <c r="D937" s="526" t="s">
        <v>3258</v>
      </c>
      <c r="E937" s="526" t="s">
        <v>5708</v>
      </c>
      <c r="F937" s="526" t="s">
        <v>5709</v>
      </c>
      <c r="G937" s="526" t="s">
        <v>5710</v>
      </c>
      <c r="H937" s="412">
        <v>287.40309999999999</v>
      </c>
      <c r="I937" s="411">
        <v>10.65213</v>
      </c>
      <c r="J937" s="411">
        <v>37.448180000000001</v>
      </c>
      <c r="K937" s="411">
        <v>4007.9077000000002</v>
      </c>
      <c r="L937" s="526" t="s">
        <v>555</v>
      </c>
      <c r="M937" s="416" t="s">
        <v>586</v>
      </c>
      <c r="N937" s="195"/>
    </row>
    <row r="938" spans="1:14" ht="15" x14ac:dyDescent="0.25">
      <c r="A938" s="415">
        <v>284590</v>
      </c>
      <c r="B938" t="str">
        <f t="shared" si="32"/>
        <v>SEVROLL 50454 vedenie INTER B 35kg na stenu 1,5m</v>
      </c>
      <c r="C938" s="198">
        <f t="shared" si="31"/>
        <v>7.9651100000000001</v>
      </c>
      <c r="D938" s="526" t="s">
        <v>3280</v>
      </c>
      <c r="E938" s="526" t="s">
        <v>5711</v>
      </c>
      <c r="F938" s="526" t="s">
        <v>5712</v>
      </c>
      <c r="G938" s="526" t="s">
        <v>5713</v>
      </c>
      <c r="H938" s="412">
        <v>214.53075000000001</v>
      </c>
      <c r="I938" s="411">
        <v>7.9651100000000001</v>
      </c>
      <c r="J938" s="411">
        <v>28.00179</v>
      </c>
      <c r="K938" s="411">
        <v>2996.9047999999998</v>
      </c>
      <c r="L938" s="526" t="s">
        <v>555</v>
      </c>
      <c r="M938" s="416" t="s">
        <v>586</v>
      </c>
      <c r="N938" s="195"/>
    </row>
    <row r="939" spans="1:14" ht="15" x14ac:dyDescent="0.25">
      <c r="A939" s="415">
        <v>279090</v>
      </c>
      <c r="B939" t="str">
        <f t="shared" si="32"/>
        <v>SEVROLL 50450 vedenie Galaxy S 50kg do stropu 6m</v>
      </c>
      <c r="C939" s="198">
        <f t="shared" si="31"/>
        <v>37.038910000000001</v>
      </c>
      <c r="D939" s="526" t="s">
        <v>3263</v>
      </c>
      <c r="E939" s="526" t="s">
        <v>5714</v>
      </c>
      <c r="F939" s="526" t="s">
        <v>5715</v>
      </c>
      <c r="G939" s="526" t="s">
        <v>5716</v>
      </c>
      <c r="H939" s="412">
        <v>977.30674999999997</v>
      </c>
      <c r="I939" s="411">
        <v>37.038910000000001</v>
      </c>
      <c r="J939" s="411">
        <v>127.44186000000001</v>
      </c>
      <c r="K939" s="411">
        <v>13639.53463</v>
      </c>
      <c r="L939" s="526" t="s">
        <v>553</v>
      </c>
      <c r="M939" s="416" t="s">
        <v>586</v>
      </c>
      <c r="N939" s="195"/>
    </row>
    <row r="940" spans="1:14" ht="15" x14ac:dyDescent="0.25">
      <c r="A940" s="415">
        <v>279089</v>
      </c>
      <c r="B940" t="str">
        <f t="shared" si="32"/>
        <v>SEVROLL 50449 vedenie Galaxy S 50kg do stropu 3m</v>
      </c>
      <c r="C940" s="198">
        <f t="shared" si="31"/>
        <v>18.507210000000001</v>
      </c>
      <c r="D940" s="526" t="s">
        <v>3262</v>
      </c>
      <c r="E940" s="526" t="s">
        <v>5717</v>
      </c>
      <c r="F940" s="526" t="s">
        <v>5718</v>
      </c>
      <c r="G940" s="526" t="s">
        <v>5719</v>
      </c>
      <c r="H940" s="412">
        <v>488.31285000000003</v>
      </c>
      <c r="I940" s="411">
        <v>18.507210000000001</v>
      </c>
      <c r="J940" s="411">
        <v>63.678759999999997</v>
      </c>
      <c r="K940" s="411">
        <v>6815.2586600000004</v>
      </c>
      <c r="L940" s="526" t="s">
        <v>553</v>
      </c>
      <c r="M940" s="416" t="s">
        <v>586</v>
      </c>
      <c r="N940" s="195"/>
    </row>
    <row r="941" spans="1:14" ht="15" x14ac:dyDescent="0.25">
      <c r="A941" s="415">
        <v>279088</v>
      </c>
      <c r="B941" t="str">
        <f t="shared" si="32"/>
        <v>SEVROLL 50472 vedenie Galaxy S 50kg do stropu 2m</v>
      </c>
      <c r="C941" s="198">
        <f t="shared" si="31"/>
        <v>12.354469999999999</v>
      </c>
      <c r="D941" s="526" t="s">
        <v>3261</v>
      </c>
      <c r="E941" s="526" t="s">
        <v>5720</v>
      </c>
      <c r="F941" s="526" t="s">
        <v>5721</v>
      </c>
      <c r="G941" s="526" t="s">
        <v>5722</v>
      </c>
      <c r="H941" s="412">
        <v>326.22295000000003</v>
      </c>
      <c r="I941" s="411">
        <v>12.354469999999999</v>
      </c>
      <c r="J941" s="411">
        <v>42.508749999999999</v>
      </c>
      <c r="K941" s="411">
        <v>4549.5173000000004</v>
      </c>
      <c r="L941" s="526" t="s">
        <v>553</v>
      </c>
      <c r="M941" s="416" t="s">
        <v>586</v>
      </c>
      <c r="N941" s="195"/>
    </row>
    <row r="942" spans="1:14" ht="15" x14ac:dyDescent="0.25">
      <c r="A942" s="415">
        <v>279093</v>
      </c>
      <c r="B942" t="str">
        <f t="shared" si="32"/>
        <v>SEVROLL 50452 vedenie Galaxy B 50kg na stenu 6m</v>
      </c>
      <c r="C942" s="198">
        <f t="shared" si="31"/>
        <v>38.926409999999997</v>
      </c>
      <c r="D942" s="526" t="s">
        <v>3266</v>
      </c>
      <c r="E942" s="526" t="s">
        <v>5723</v>
      </c>
      <c r="F942" s="526" t="s">
        <v>5724</v>
      </c>
      <c r="G942" s="526" t="s">
        <v>5725</v>
      </c>
      <c r="H942" s="412">
        <v>1027.70445</v>
      </c>
      <c r="I942" s="411">
        <v>38.926409999999997</v>
      </c>
      <c r="J942" s="411">
        <v>133.93624</v>
      </c>
      <c r="K942" s="411">
        <v>14334.6029</v>
      </c>
      <c r="L942" s="526" t="s">
        <v>553</v>
      </c>
      <c r="M942" s="416" t="s">
        <v>586</v>
      </c>
      <c r="N942" s="195"/>
    </row>
    <row r="943" spans="1:14" ht="15" x14ac:dyDescent="0.25">
      <c r="A943" s="415">
        <v>279092</v>
      </c>
      <c r="B943" t="str">
        <f t="shared" si="32"/>
        <v>SEVROLL 50451 vedenie Galaxy B 50kg na stenu 3m</v>
      </c>
      <c r="C943" s="198">
        <f t="shared" si="31"/>
        <v>19.463190000000001</v>
      </c>
      <c r="D943" s="526" t="s">
        <v>3265</v>
      </c>
      <c r="E943" s="526" t="s">
        <v>5726</v>
      </c>
      <c r="F943" s="526" t="s">
        <v>5727</v>
      </c>
      <c r="G943" s="526" t="s">
        <v>5728</v>
      </c>
      <c r="H943" s="412">
        <v>513.51170000000002</v>
      </c>
      <c r="I943" s="411">
        <v>19.463190000000001</v>
      </c>
      <c r="J943" s="411">
        <v>66.968130000000002</v>
      </c>
      <c r="K943" s="411">
        <v>7167.2971299999999</v>
      </c>
      <c r="L943" s="526" t="s">
        <v>553</v>
      </c>
      <c r="M943" s="416" t="s">
        <v>586</v>
      </c>
      <c r="N943" s="195"/>
    </row>
    <row r="944" spans="1:14" ht="15" x14ac:dyDescent="0.25">
      <c r="A944" s="415">
        <v>279091</v>
      </c>
      <c r="B944" t="str">
        <f t="shared" si="32"/>
        <v>SEVROLL 50468 vedenie Galaxy B 50kg na stenu 2m</v>
      </c>
      <c r="C944" s="198">
        <f t="shared" si="31"/>
        <v>12.9673</v>
      </c>
      <c r="D944" s="526" t="s">
        <v>3264</v>
      </c>
      <c r="E944" s="526" t="s">
        <v>5729</v>
      </c>
      <c r="F944" s="526" t="s">
        <v>5730</v>
      </c>
      <c r="G944" s="526" t="s">
        <v>5731</v>
      </c>
      <c r="H944" s="412">
        <v>342.56815</v>
      </c>
      <c r="I944" s="411">
        <v>12.9673</v>
      </c>
      <c r="J944" s="411">
        <v>44.6173</v>
      </c>
      <c r="K944" s="411">
        <v>4775.1922999999997</v>
      </c>
      <c r="L944" s="526" t="s">
        <v>553</v>
      </c>
      <c r="M944" s="416" t="s">
        <v>586</v>
      </c>
      <c r="N944" s="195"/>
    </row>
    <row r="945" spans="1:14" ht="15" x14ac:dyDescent="0.25">
      <c r="A945" s="415">
        <v>128842</v>
      </c>
      <c r="B945" t="str">
        <f t="shared" si="32"/>
        <v>SEVROLL 20144 vrták stupňovitý 6,5/9,5mm</v>
      </c>
      <c r="C945" s="198">
        <f t="shared" si="31"/>
        <v>26.752659999999999</v>
      </c>
      <c r="D945" s="526" t="s">
        <v>2856</v>
      </c>
      <c r="E945" s="526" t="s">
        <v>5732</v>
      </c>
      <c r="F945" s="526" t="s">
        <v>2856</v>
      </c>
      <c r="G945" s="526" t="s">
        <v>5733</v>
      </c>
      <c r="H945" s="412">
        <v>671.23099999999999</v>
      </c>
      <c r="I945" s="411">
        <v>26.752659999999999</v>
      </c>
      <c r="J945" s="411">
        <v>116.85122</v>
      </c>
      <c r="K945" s="411">
        <v>10898.66318</v>
      </c>
      <c r="L945" s="526" t="s">
        <v>553</v>
      </c>
      <c r="M945" s="416" t="s">
        <v>586</v>
      </c>
      <c r="N945" s="195"/>
    </row>
    <row r="946" spans="1:14" ht="15" x14ac:dyDescent="0.25">
      <c r="A946" s="444">
        <v>96420</v>
      </c>
      <c r="B946" t="e">
        <f t="shared" si="32"/>
        <v>#N/A</v>
      </c>
      <c r="C946" s="198" t="e">
        <f t="shared" si="31"/>
        <v>#N/A</v>
      </c>
      <c r="D946" s="526" t="e">
        <v>#N/A</v>
      </c>
      <c r="E946" s="526" t="e">
        <v>#N/A</v>
      </c>
      <c r="F946" s="526" t="e">
        <v>#N/A</v>
      </c>
      <c r="G946" s="526" t="e">
        <v>#N/A</v>
      </c>
      <c r="H946" s="412" t="e">
        <v>#N/A</v>
      </c>
      <c r="I946" s="411" t="e">
        <v>#N/A</v>
      </c>
      <c r="J946" s="411" t="e">
        <v>#N/A</v>
      </c>
      <c r="K946" s="411" t="e">
        <v>#N/A</v>
      </c>
      <c r="L946" s="526" t="e">
        <v>#N/A</v>
      </c>
      <c r="M946" s="445" t="s">
        <v>589</v>
      </c>
      <c r="N946" s="195"/>
    </row>
    <row r="947" spans="1:14" ht="15" x14ac:dyDescent="0.25">
      <c r="A947" s="444">
        <v>216351</v>
      </c>
      <c r="B947" t="e">
        <f t="shared" si="32"/>
        <v>#N/A</v>
      </c>
      <c r="C947" s="198" t="e">
        <f t="shared" si="31"/>
        <v>#N/A</v>
      </c>
      <c r="D947" s="526" t="e">
        <v>#N/A</v>
      </c>
      <c r="E947" s="526" t="e">
        <v>#N/A</v>
      </c>
      <c r="F947" s="526" t="e">
        <v>#N/A</v>
      </c>
      <c r="G947" s="526" t="e">
        <v>#N/A</v>
      </c>
      <c r="H947" s="412" t="e">
        <v>#N/A</v>
      </c>
      <c r="I947" s="411" t="e">
        <v>#N/A</v>
      </c>
      <c r="J947" s="411" t="e">
        <v>#N/A</v>
      </c>
      <c r="K947" s="411" t="e">
        <v>#N/A</v>
      </c>
      <c r="L947" s="526" t="e">
        <v>#N/A</v>
      </c>
      <c r="M947" s="445" t="s">
        <v>586</v>
      </c>
      <c r="N947" s="195"/>
    </row>
    <row r="948" spans="1:14" ht="15" x14ac:dyDescent="0.25">
      <c r="A948" s="444">
        <v>216350</v>
      </c>
      <c r="B948" t="e">
        <f t="shared" si="32"/>
        <v>#N/A</v>
      </c>
      <c r="C948" s="198" t="e">
        <f t="shared" si="31"/>
        <v>#N/A</v>
      </c>
      <c r="D948" s="526" t="e">
        <v>#N/A</v>
      </c>
      <c r="E948" s="526" t="e">
        <v>#N/A</v>
      </c>
      <c r="F948" s="526" t="e">
        <v>#N/A</v>
      </c>
      <c r="G948" s="526" t="e">
        <v>#N/A</v>
      </c>
      <c r="H948" s="412" t="e">
        <v>#N/A</v>
      </c>
      <c r="I948" s="411" t="e">
        <v>#N/A</v>
      </c>
      <c r="J948" s="411" t="e">
        <v>#N/A</v>
      </c>
      <c r="K948" s="411" t="e">
        <v>#N/A</v>
      </c>
      <c r="L948" s="526" t="e">
        <v>#N/A</v>
      </c>
      <c r="M948" s="445" t="s">
        <v>586</v>
      </c>
      <c r="N948" s="195"/>
    </row>
    <row r="949" spans="1:14" ht="15" x14ac:dyDescent="0.25">
      <c r="A949" s="444">
        <v>211532</v>
      </c>
      <c r="B949" t="e">
        <f t="shared" si="32"/>
        <v>#N/A</v>
      </c>
      <c r="C949" s="198" t="e">
        <f t="shared" si="31"/>
        <v>#N/A</v>
      </c>
      <c r="D949" s="526" t="e">
        <v>#N/A</v>
      </c>
      <c r="E949" s="526" t="e">
        <v>#N/A</v>
      </c>
      <c r="F949" s="526" t="e">
        <v>#N/A</v>
      </c>
      <c r="G949" s="526" t="e">
        <v>#N/A</v>
      </c>
      <c r="H949" s="412" t="e">
        <v>#N/A</v>
      </c>
      <c r="I949" s="411" t="e">
        <v>#N/A</v>
      </c>
      <c r="J949" s="411" t="e">
        <v>#N/A</v>
      </c>
      <c r="K949" s="411" t="e">
        <v>#N/A</v>
      </c>
      <c r="L949" s="526" t="e">
        <v>#N/A</v>
      </c>
      <c r="M949" s="445" t="s">
        <v>586</v>
      </c>
      <c r="N949" s="195"/>
    </row>
    <row r="950" spans="1:14" ht="15" x14ac:dyDescent="0.25">
      <c r="A950" s="444">
        <v>89279</v>
      </c>
      <c r="B950" t="e">
        <f t="shared" si="32"/>
        <v>#N/A</v>
      </c>
      <c r="C950" s="198" t="e">
        <f t="shared" si="31"/>
        <v>#N/A</v>
      </c>
      <c r="D950" s="526" t="e">
        <v>#N/A</v>
      </c>
      <c r="E950" s="526" t="e">
        <v>#N/A</v>
      </c>
      <c r="F950" s="526" t="e">
        <v>#N/A</v>
      </c>
      <c r="G950" s="526" t="e">
        <v>#N/A</v>
      </c>
      <c r="H950" s="412" t="e">
        <v>#N/A</v>
      </c>
      <c r="I950" s="411" t="e">
        <v>#N/A</v>
      </c>
      <c r="J950" s="411" t="e">
        <v>#N/A</v>
      </c>
      <c r="K950" s="411" t="e">
        <v>#N/A</v>
      </c>
      <c r="L950" s="526" t="e">
        <v>#N/A</v>
      </c>
      <c r="M950" s="445" t="s">
        <v>586</v>
      </c>
      <c r="N950" s="195"/>
    </row>
    <row r="951" spans="1:14" ht="15" x14ac:dyDescent="0.25">
      <c r="A951" s="444">
        <v>245317</v>
      </c>
      <c r="B951" t="str">
        <f t="shared" si="32"/>
        <v>SEVROLL vzorkovník profilov Simple (krabička</v>
      </c>
      <c r="C951" s="198">
        <f t="shared" si="31"/>
        <v>0</v>
      </c>
      <c r="D951" s="526" t="s">
        <v>3206</v>
      </c>
      <c r="E951" s="526" t="s">
        <v>5734</v>
      </c>
      <c r="F951" s="526" t="s">
        <v>1093</v>
      </c>
      <c r="G951" s="526" t="s">
        <v>5735</v>
      </c>
      <c r="H951" s="412">
        <v>0</v>
      </c>
      <c r="I951" s="411">
        <v>0</v>
      </c>
      <c r="J951" s="411">
        <v>0</v>
      </c>
      <c r="K951" s="411">
        <v>0</v>
      </c>
      <c r="L951" s="526" t="s">
        <v>555</v>
      </c>
      <c r="M951" s="445" t="s">
        <v>586</v>
      </c>
      <c r="N951" s="195"/>
    </row>
    <row r="952" spans="1:14" ht="15" x14ac:dyDescent="0.25">
      <c r="A952" s="444">
        <v>336641</v>
      </c>
      <c r="B952" t="e">
        <f t="shared" si="32"/>
        <v>#N/A</v>
      </c>
      <c r="C952" s="198" t="e">
        <f t="shared" si="31"/>
        <v>#N/A</v>
      </c>
      <c r="D952" s="526" t="e">
        <v>#N/A</v>
      </c>
      <c r="E952" s="526" t="e">
        <v>#N/A</v>
      </c>
      <c r="F952" s="526" t="e">
        <v>#N/A</v>
      </c>
      <c r="G952" s="526" t="e">
        <v>#N/A</v>
      </c>
      <c r="H952" s="412" t="e">
        <v>#N/A</v>
      </c>
      <c r="I952" s="411" t="e">
        <v>#N/A</v>
      </c>
      <c r="J952" s="411" t="e">
        <v>#N/A</v>
      </c>
      <c r="K952" s="411" t="e">
        <v>#N/A</v>
      </c>
      <c r="L952" s="526" t="e">
        <v>#N/A</v>
      </c>
      <c r="M952" s="445" t="s">
        <v>586</v>
      </c>
      <c r="N952" s="195"/>
    </row>
    <row r="953" spans="1:14" ht="15" x14ac:dyDescent="0.25">
      <c r="A953" s="444">
        <v>310079</v>
      </c>
      <c r="B953" t="e">
        <f t="shared" si="32"/>
        <v>#N/A</v>
      </c>
      <c r="C953" s="198" t="e">
        <f t="shared" si="31"/>
        <v>#N/A</v>
      </c>
      <c r="D953" s="526" t="e">
        <v>#N/A</v>
      </c>
      <c r="E953" s="526" t="e">
        <v>#N/A</v>
      </c>
      <c r="F953" s="526" t="e">
        <v>#N/A</v>
      </c>
      <c r="G953" s="526" t="e">
        <v>#N/A</v>
      </c>
      <c r="H953" s="412" t="e">
        <v>#N/A</v>
      </c>
      <c r="I953" s="411" t="e">
        <v>#N/A</v>
      </c>
      <c r="J953" s="411" t="e">
        <v>#N/A</v>
      </c>
      <c r="K953" s="411" t="e">
        <v>#N/A</v>
      </c>
      <c r="L953" s="526" t="e">
        <v>#N/A</v>
      </c>
      <c r="M953" s="445" t="s">
        <v>586</v>
      </c>
      <c r="N953" s="195"/>
    </row>
    <row r="954" spans="1:14" ht="15" x14ac:dyDescent="0.25">
      <c r="A954" s="444">
        <v>222761</v>
      </c>
      <c r="B954" t="str">
        <f t="shared" si="32"/>
        <v>SEVROLL šablóna pre vozíky DTD 18mm</v>
      </c>
      <c r="C954" s="198">
        <f t="shared" si="31"/>
        <v>4.0829800000000001</v>
      </c>
      <c r="D954" s="526" t="s">
        <v>3058</v>
      </c>
      <c r="E954" s="526" t="s">
        <v>5736</v>
      </c>
      <c r="F954" s="526" t="s">
        <v>1096</v>
      </c>
      <c r="G954" s="526" t="s">
        <v>5737</v>
      </c>
      <c r="H954" s="412">
        <v>102.443</v>
      </c>
      <c r="I954" s="411">
        <v>4.0829800000000001</v>
      </c>
      <c r="J954" s="411">
        <v>17.821909999999999</v>
      </c>
      <c r="K954" s="411">
        <v>1662.2421200000001</v>
      </c>
      <c r="L954" s="526" t="s">
        <v>556</v>
      </c>
      <c r="M954" s="445" t="s">
        <v>586</v>
      </c>
      <c r="N954" s="195"/>
    </row>
    <row r="955" spans="1:14" ht="15" x14ac:dyDescent="0.25">
      <c r="A955" s="444">
        <v>291822</v>
      </c>
      <c r="B955" t="str">
        <f t="shared" si="32"/>
        <v>SEVROLL 40373 reklamná šablóna pre vozíky pre lamino 18mm</v>
      </c>
      <c r="C955" s="198">
        <f t="shared" ref="C955:C979" si="33">IF($A$2=1,H955,IF($A$2=2,I955,IF($A$2=3,J955,IF($A$2=4,K955,"zadat jazyk"))))</f>
        <v>0</v>
      </c>
      <c r="D955" s="526" t="s">
        <v>3302</v>
      </c>
      <c r="E955" s="526" t="s">
        <v>1839</v>
      </c>
      <c r="F955" s="526" t="s">
        <v>5738</v>
      </c>
      <c r="G955" s="526" t="s">
        <v>2405</v>
      </c>
      <c r="H955" s="412">
        <v>0</v>
      </c>
      <c r="I955" s="411">
        <v>0</v>
      </c>
      <c r="J955" s="411">
        <v>0</v>
      </c>
      <c r="K955" s="411">
        <v>0</v>
      </c>
      <c r="L955" s="526" t="s">
        <v>555</v>
      </c>
      <c r="M955" s="445" t="s">
        <v>586</v>
      </c>
      <c r="N955" s="195"/>
    </row>
    <row r="956" spans="1:14" ht="15" x14ac:dyDescent="0.25">
      <c r="A956" s="444">
        <v>336476</v>
      </c>
      <c r="B956" t="e">
        <f t="shared" si="32"/>
        <v>#N/A</v>
      </c>
      <c r="C956" s="198" t="e">
        <f t="shared" si="33"/>
        <v>#N/A</v>
      </c>
      <c r="D956" s="526" t="e">
        <v>#N/A</v>
      </c>
      <c r="E956" s="526" t="e">
        <v>#N/A</v>
      </c>
      <c r="F956" s="526" t="e">
        <v>#N/A</v>
      </c>
      <c r="G956" s="526" t="e">
        <v>#N/A</v>
      </c>
      <c r="H956" s="412" t="e">
        <v>#N/A</v>
      </c>
      <c r="I956" s="411" t="e">
        <v>#N/A</v>
      </c>
      <c r="J956" s="411" t="e">
        <v>#N/A</v>
      </c>
      <c r="K956" s="411" t="e">
        <v>#N/A</v>
      </c>
      <c r="L956" s="526" t="e">
        <v>#N/A</v>
      </c>
      <c r="M956" s="445" t="s">
        <v>586</v>
      </c>
      <c r="N956" s="195"/>
    </row>
    <row r="957" spans="1:14" ht="15" x14ac:dyDescent="0.25">
      <c r="A957" s="444">
        <v>310078</v>
      </c>
      <c r="B957" t="e">
        <f t="shared" si="32"/>
        <v>#N/A</v>
      </c>
      <c r="C957" s="198" t="e">
        <f t="shared" si="33"/>
        <v>#N/A</v>
      </c>
      <c r="D957" s="526" t="e">
        <v>#N/A</v>
      </c>
      <c r="E957" s="526" t="e">
        <v>#N/A</v>
      </c>
      <c r="F957" s="526" t="e">
        <v>#N/A</v>
      </c>
      <c r="G957" s="526" t="e">
        <v>#N/A</v>
      </c>
      <c r="H957" s="412" t="e">
        <v>#N/A</v>
      </c>
      <c r="I957" s="411" t="e">
        <v>#N/A</v>
      </c>
      <c r="J957" s="411" t="e">
        <v>#N/A</v>
      </c>
      <c r="K957" s="411" t="e">
        <v>#N/A</v>
      </c>
      <c r="L957" s="526" t="e">
        <v>#N/A</v>
      </c>
      <c r="M957" s="445" t="s">
        <v>586</v>
      </c>
      <c r="N957" s="195"/>
    </row>
    <row r="958" spans="1:14" ht="15" x14ac:dyDescent="0.25">
      <c r="A958" s="444">
        <v>310077</v>
      </c>
      <c r="B958" t="e">
        <f t="shared" si="32"/>
        <v>#N/A</v>
      </c>
      <c r="C958" s="198" t="e">
        <f t="shared" si="33"/>
        <v>#N/A</v>
      </c>
      <c r="D958" s="526" t="e">
        <v>#N/A</v>
      </c>
      <c r="E958" s="526" t="e">
        <v>#N/A</v>
      </c>
      <c r="F958" s="526" t="e">
        <v>#N/A</v>
      </c>
      <c r="G958" s="526" t="e">
        <v>#N/A</v>
      </c>
      <c r="H958" s="412" t="e">
        <v>#N/A</v>
      </c>
      <c r="I958" s="411" t="e">
        <v>#N/A</v>
      </c>
      <c r="J958" s="411" t="e">
        <v>#N/A</v>
      </c>
      <c r="K958" s="411" t="e">
        <v>#N/A</v>
      </c>
      <c r="L958" s="526" t="e">
        <v>#N/A</v>
      </c>
      <c r="M958" s="445" t="s">
        <v>586</v>
      </c>
      <c r="N958" s="195"/>
    </row>
    <row r="959" spans="1:14" ht="15" x14ac:dyDescent="0.25">
      <c r="A959" s="444">
        <v>310080</v>
      </c>
      <c r="B959" t="e">
        <f t="shared" si="32"/>
        <v>#N/A</v>
      </c>
      <c r="C959" s="198" t="e">
        <f t="shared" si="33"/>
        <v>#N/A</v>
      </c>
      <c r="D959" s="526" t="e">
        <v>#N/A</v>
      </c>
      <c r="E959" s="526" t="e">
        <v>#N/A</v>
      </c>
      <c r="F959" s="526" t="e">
        <v>#N/A</v>
      </c>
      <c r="G959" s="526" t="e">
        <v>#N/A</v>
      </c>
      <c r="H959" s="412" t="e">
        <v>#N/A</v>
      </c>
      <c r="I959" s="411" t="e">
        <v>#N/A</v>
      </c>
      <c r="J959" s="411" t="e">
        <v>#N/A</v>
      </c>
      <c r="K959" s="411" t="e">
        <v>#N/A</v>
      </c>
      <c r="L959" s="526" t="e">
        <v>#N/A</v>
      </c>
      <c r="M959" s="445" t="s">
        <v>586</v>
      </c>
      <c r="N959" s="195"/>
    </row>
    <row r="960" spans="1:14" ht="15" x14ac:dyDescent="0.25">
      <c r="A960" s="444">
        <v>335225</v>
      </c>
      <c r="B960" t="str">
        <f t="shared" si="32"/>
        <v>K-SEVROLL sp.vozík V 10mm+mont.prípr.zadarmo</v>
      </c>
      <c r="C960" s="198">
        <f t="shared" si="33"/>
        <v>0</v>
      </c>
      <c r="D960" s="526" t="s">
        <v>1097</v>
      </c>
      <c r="E960" s="526" t="s">
        <v>5739</v>
      </c>
      <c r="F960" s="526" t="s">
        <v>1098</v>
      </c>
      <c r="G960" s="526" t="s">
        <v>5740</v>
      </c>
      <c r="H960" s="412" t="e">
        <v>#N/A</v>
      </c>
      <c r="I960" s="411">
        <v>0</v>
      </c>
      <c r="J960" s="411">
        <v>0</v>
      </c>
      <c r="K960" s="411">
        <v>0</v>
      </c>
      <c r="L960" s="526" t="e">
        <v>#N/A</v>
      </c>
      <c r="M960" s="445" t="s">
        <v>587</v>
      </c>
      <c r="N960" s="195"/>
    </row>
    <row r="961" spans="1:14" ht="15" x14ac:dyDescent="0.25">
      <c r="A961" s="444">
        <v>335227</v>
      </c>
      <c r="B961" t="str">
        <f t="shared" si="32"/>
        <v>K-SEVROLL sp.vozík V 10mm+Fix+vrták zadarmo</v>
      </c>
      <c r="C961" s="198">
        <f t="shared" si="33"/>
        <v>0</v>
      </c>
      <c r="D961" s="526" t="s">
        <v>1099</v>
      </c>
      <c r="E961" s="526" t="s">
        <v>5741</v>
      </c>
      <c r="F961" s="526" t="s">
        <v>1100</v>
      </c>
      <c r="G961" s="526" t="s">
        <v>5742</v>
      </c>
      <c r="H961" s="412" t="e">
        <v>#N/A</v>
      </c>
      <c r="I961" s="411">
        <v>0</v>
      </c>
      <c r="J961" s="411">
        <v>0</v>
      </c>
      <c r="K961" s="411">
        <v>0</v>
      </c>
      <c r="L961" s="526" t="e">
        <v>#N/A</v>
      </c>
      <c r="M961" s="445" t="s">
        <v>587</v>
      </c>
      <c r="N961" s="195"/>
    </row>
    <row r="962" spans="1:14" ht="15" x14ac:dyDescent="0.25">
      <c r="A962" s="444">
        <v>328334</v>
      </c>
      <c r="B962" t="str">
        <f t="shared" si="32"/>
        <v/>
      </c>
      <c r="C962" s="198">
        <f t="shared" si="33"/>
        <v>0</v>
      </c>
      <c r="D962" s="526" t="s">
        <v>1101</v>
      </c>
      <c r="E962" s="526" t="s">
        <v>5743</v>
      </c>
      <c r="F962" s="526" t="s">
        <v>71</v>
      </c>
      <c r="G962" s="526" t="s">
        <v>5744</v>
      </c>
      <c r="H962" s="412">
        <v>0</v>
      </c>
      <c r="I962" s="411">
        <v>0</v>
      </c>
      <c r="J962" s="411">
        <v>0</v>
      </c>
      <c r="K962" s="411">
        <v>0</v>
      </c>
      <c r="L962" s="526" t="s">
        <v>555</v>
      </c>
      <c r="M962" s="445" t="s">
        <v>587</v>
      </c>
      <c r="N962" s="195"/>
    </row>
    <row r="963" spans="1:14" ht="15" x14ac:dyDescent="0.25">
      <c r="A963" s="444">
        <v>179111</v>
      </c>
      <c r="B963" t="str">
        <f t="shared" si="32"/>
        <v>SEVROLL 16280 vzorkovník samolepiacíh fólií</v>
      </c>
      <c r="C963" s="198">
        <f t="shared" si="33"/>
        <v>0</v>
      </c>
      <c r="D963" s="526" t="s">
        <v>2928</v>
      </c>
      <c r="E963" s="526" t="s">
        <v>5745</v>
      </c>
      <c r="F963" s="526" t="s">
        <v>5746</v>
      </c>
      <c r="G963" s="526" t="s">
        <v>5747</v>
      </c>
      <c r="H963" s="412">
        <v>0</v>
      </c>
      <c r="I963" s="411">
        <v>0</v>
      </c>
      <c r="J963" s="411">
        <v>0</v>
      </c>
      <c r="K963" s="411">
        <v>0</v>
      </c>
      <c r="L963" s="526" t="s">
        <v>555</v>
      </c>
      <c r="M963" s="445" t="s">
        <v>586</v>
      </c>
      <c r="N963" s="195"/>
    </row>
    <row r="964" spans="1:14" ht="15" x14ac:dyDescent="0.25">
      <c r="A964" s="444">
        <v>328716</v>
      </c>
      <c r="B964" t="e">
        <f t="shared" si="32"/>
        <v>#N/A</v>
      </c>
      <c r="C964" s="198" t="e">
        <f t="shared" si="33"/>
        <v>#N/A</v>
      </c>
      <c r="D964" s="526" t="e">
        <v>#N/A</v>
      </c>
      <c r="E964" s="526" t="e">
        <v>#N/A</v>
      </c>
      <c r="F964" s="526" t="e">
        <v>#N/A</v>
      </c>
      <c r="G964" s="526" t="e">
        <v>#N/A</v>
      </c>
      <c r="H964" s="412" t="e">
        <v>#N/A</v>
      </c>
      <c r="I964" s="411" t="e">
        <v>#N/A</v>
      </c>
      <c r="J964" s="411" t="e">
        <v>#N/A</v>
      </c>
      <c r="K964" s="411" t="e">
        <v>#N/A</v>
      </c>
      <c r="L964" s="526" t="e">
        <v>#N/A</v>
      </c>
      <c r="M964" s="445" t="s">
        <v>586</v>
      </c>
      <c r="N964" s="195"/>
    </row>
    <row r="965" spans="1:14" ht="15" x14ac:dyDescent="0.25">
      <c r="A965" s="444">
        <v>252988</v>
      </c>
      <c r="B965" t="e">
        <f t="shared" si="32"/>
        <v>#N/A</v>
      </c>
      <c r="C965" s="198" t="e">
        <f t="shared" si="33"/>
        <v>#N/A</v>
      </c>
      <c r="D965" s="526" t="e">
        <v>#N/A</v>
      </c>
      <c r="E965" s="526" t="e">
        <v>#N/A</v>
      </c>
      <c r="F965" s="526" t="e">
        <v>#N/A</v>
      </c>
      <c r="G965" s="526" t="e">
        <v>#N/A</v>
      </c>
      <c r="H965" s="412" t="e">
        <v>#N/A</v>
      </c>
      <c r="I965" s="411" t="e">
        <v>#N/A</v>
      </c>
      <c r="J965" s="411" t="e">
        <v>#N/A</v>
      </c>
      <c r="K965" s="411" t="e">
        <v>#N/A</v>
      </c>
      <c r="L965" s="526" t="e">
        <v>#N/A</v>
      </c>
      <c r="M965" s="445" t="s">
        <v>589</v>
      </c>
      <c r="N965" s="195"/>
    </row>
    <row r="966" spans="1:14" ht="15" x14ac:dyDescent="0.25">
      <c r="A966" s="444">
        <v>301650</v>
      </c>
      <c r="B966" t="e">
        <f t="shared" si="32"/>
        <v>#N/A</v>
      </c>
      <c r="C966" s="198" t="e">
        <f t="shared" si="33"/>
        <v>#N/A</v>
      </c>
      <c r="D966" s="526" t="e">
        <v>#N/A</v>
      </c>
      <c r="E966" s="526" t="e">
        <v>#N/A</v>
      </c>
      <c r="F966" s="526" t="e">
        <v>#N/A</v>
      </c>
      <c r="G966" s="526" t="e">
        <v>#N/A</v>
      </c>
      <c r="H966" s="412" t="e">
        <v>#N/A</v>
      </c>
      <c r="I966" s="411" t="e">
        <v>#N/A</v>
      </c>
      <c r="J966" s="411" t="e">
        <v>#N/A</v>
      </c>
      <c r="K966" s="411" t="e">
        <v>#N/A</v>
      </c>
      <c r="L966" s="526" t="e">
        <v>#N/A</v>
      </c>
      <c r="M966" s="445" t="s">
        <v>586</v>
      </c>
      <c r="N966" s="195"/>
    </row>
    <row r="967" spans="1:14" ht="15" x14ac:dyDescent="0.25">
      <c r="A967" s="444">
        <v>301649</v>
      </c>
      <c r="B967" t="e">
        <f t="shared" si="32"/>
        <v>#N/A</v>
      </c>
      <c r="C967" s="198" t="e">
        <f t="shared" si="33"/>
        <v>#N/A</v>
      </c>
      <c r="D967" s="526" t="e">
        <v>#N/A</v>
      </c>
      <c r="E967" s="526" t="e">
        <v>#N/A</v>
      </c>
      <c r="F967" s="526" t="e">
        <v>#N/A</v>
      </c>
      <c r="G967" s="526" t="e">
        <v>#N/A</v>
      </c>
      <c r="H967" s="412" t="e">
        <v>#N/A</v>
      </c>
      <c r="I967" s="411" t="e">
        <v>#N/A</v>
      </c>
      <c r="J967" s="411" t="e">
        <v>#N/A</v>
      </c>
      <c r="K967" s="411" t="e">
        <v>#N/A</v>
      </c>
      <c r="L967" s="526" t="e">
        <v>#N/A</v>
      </c>
      <c r="M967" s="445" t="s">
        <v>586</v>
      </c>
      <c r="N967" s="195"/>
    </row>
    <row r="968" spans="1:14" ht="15" x14ac:dyDescent="0.25">
      <c r="A968" s="444">
        <v>216728</v>
      </c>
      <c r="B968" t="e">
        <f t="shared" si="32"/>
        <v>#N/A</v>
      </c>
      <c r="C968" s="198" t="e">
        <f t="shared" si="33"/>
        <v>#N/A</v>
      </c>
      <c r="D968" s="526" t="e">
        <v>#N/A</v>
      </c>
      <c r="E968" s="526" t="e">
        <v>#N/A</v>
      </c>
      <c r="F968" s="526" t="e">
        <v>#N/A</v>
      </c>
      <c r="G968" s="526" t="e">
        <v>#N/A</v>
      </c>
      <c r="H968" s="412" t="e">
        <v>#N/A</v>
      </c>
      <c r="I968" s="411" t="e">
        <v>#N/A</v>
      </c>
      <c r="J968" s="411" t="e">
        <v>#N/A</v>
      </c>
      <c r="K968" s="411" t="e">
        <v>#N/A</v>
      </c>
      <c r="L968" s="526" t="e">
        <v>#N/A</v>
      </c>
      <c r="M968" s="445" t="s">
        <v>586</v>
      </c>
      <c r="N968" s="195"/>
    </row>
    <row r="969" spans="1:14" ht="15" x14ac:dyDescent="0.25">
      <c r="A969" s="444">
        <v>343374</v>
      </c>
      <c r="B969" t="str">
        <f t="shared" si="32"/>
        <v>SEVROLL 20340 montážny prípravok pre Eden/Pax</v>
      </c>
      <c r="C969" s="198">
        <f t="shared" si="33"/>
        <v>21.633700000000001</v>
      </c>
      <c r="D969" s="526" t="s">
        <v>3375</v>
      </c>
      <c r="E969" s="526" t="s">
        <v>5748</v>
      </c>
      <c r="F969" s="526" t="s">
        <v>5749</v>
      </c>
      <c r="G969" s="526" t="s">
        <v>5750</v>
      </c>
      <c r="H969" s="412">
        <v>542.79499999999996</v>
      </c>
      <c r="I969" s="411">
        <v>21.633700000000001</v>
      </c>
      <c r="J969" s="411">
        <v>99.477649999999997</v>
      </c>
      <c r="K969" s="411">
        <v>9278.2384399999992</v>
      </c>
      <c r="L969" s="526" t="s">
        <v>554</v>
      </c>
      <c r="M969" s="445" t="s">
        <v>586</v>
      </c>
      <c r="N969" s="195"/>
    </row>
    <row r="970" spans="1:14" ht="15" x14ac:dyDescent="0.25">
      <c r="A970" s="444">
        <v>128850</v>
      </c>
      <c r="B970" t="str">
        <f t="shared" si="32"/>
        <v>SEVROLL 20016 montažný prípravok pre lamino 10mm veľký</v>
      </c>
      <c r="C970" s="198">
        <f t="shared" si="33"/>
        <v>110.13077</v>
      </c>
      <c r="D970" s="526" t="s">
        <v>2857</v>
      </c>
      <c r="E970" s="526" t="s">
        <v>5751</v>
      </c>
      <c r="F970" s="526" t="s">
        <v>5752</v>
      </c>
      <c r="G970" s="526" t="s">
        <v>5753</v>
      </c>
      <c r="H970" s="412">
        <v>2763.2087999999999</v>
      </c>
      <c r="I970" s="411">
        <v>110.13077</v>
      </c>
      <c r="J970" s="411">
        <v>506.41131999999999</v>
      </c>
      <c r="K970" s="411">
        <v>47232.767570000004</v>
      </c>
      <c r="L970" s="526" t="s">
        <v>554</v>
      </c>
      <c r="M970" s="445" t="s">
        <v>586</v>
      </c>
      <c r="N970" s="195"/>
    </row>
    <row r="971" spans="1:14" ht="15" x14ac:dyDescent="0.25">
      <c r="A971" s="444">
        <v>234728</v>
      </c>
      <c r="B971" t="e">
        <f t="shared" si="32"/>
        <v>#N/A</v>
      </c>
      <c r="C971" s="198" t="e">
        <f t="shared" si="33"/>
        <v>#N/A</v>
      </c>
      <c r="D971" s="526" t="e">
        <v>#N/A</v>
      </c>
      <c r="E971" s="526" t="e">
        <v>#N/A</v>
      </c>
      <c r="F971" s="526" t="e">
        <v>#N/A</v>
      </c>
      <c r="G971" s="526" t="e">
        <v>#N/A</v>
      </c>
      <c r="H971" s="412" t="e">
        <v>#N/A</v>
      </c>
      <c r="I971" s="411" t="e">
        <v>#N/A</v>
      </c>
      <c r="J971" s="411" t="e">
        <v>#N/A</v>
      </c>
      <c r="K971" s="411" t="e">
        <v>#N/A</v>
      </c>
      <c r="L971" s="526" t="e">
        <v>#N/A</v>
      </c>
      <c r="M971" s="445" t="s">
        <v>586</v>
      </c>
      <c r="N971" s="195"/>
    </row>
    <row r="972" spans="1:14" ht="15" x14ac:dyDescent="0.25">
      <c r="A972" s="444">
        <v>304009</v>
      </c>
      <c r="B972" t="e">
        <f t="shared" si="32"/>
        <v>#N/A</v>
      </c>
      <c r="C972" s="198" t="e">
        <f t="shared" si="33"/>
        <v>#N/A</v>
      </c>
      <c r="D972" s="526" t="e">
        <v>#N/A</v>
      </c>
      <c r="E972" s="526" t="e">
        <v>#N/A</v>
      </c>
      <c r="F972" s="526" t="e">
        <v>#N/A</v>
      </c>
      <c r="G972" s="526" t="e">
        <v>#N/A</v>
      </c>
      <c r="H972" s="412" t="e">
        <v>#N/A</v>
      </c>
      <c r="I972" s="411" t="e">
        <v>#N/A</v>
      </c>
      <c r="J972" s="411" t="e">
        <v>#N/A</v>
      </c>
      <c r="K972" s="411" t="e">
        <v>#N/A</v>
      </c>
      <c r="L972" s="526" t="e">
        <v>#N/A</v>
      </c>
      <c r="M972" s="445" t="s">
        <v>586</v>
      </c>
      <c r="N972" s="195"/>
    </row>
    <row r="973" spans="1:14" ht="15" x14ac:dyDescent="0.25">
      <c r="A973" s="444">
        <v>236118</v>
      </c>
      <c r="B973" t="e">
        <f t="shared" si="32"/>
        <v>#N/A</v>
      </c>
      <c r="C973" s="198" t="e">
        <f t="shared" si="33"/>
        <v>#N/A</v>
      </c>
      <c r="D973" s="526" t="e">
        <v>#N/A</v>
      </c>
      <c r="E973" s="526" t="e">
        <v>#N/A</v>
      </c>
      <c r="F973" s="526" t="e">
        <v>#N/A</v>
      </c>
      <c r="G973" s="526" t="e">
        <v>#N/A</v>
      </c>
      <c r="H973" s="412" t="e">
        <v>#N/A</v>
      </c>
      <c r="I973" s="411" t="e">
        <v>#N/A</v>
      </c>
      <c r="J973" s="411" t="e">
        <v>#N/A</v>
      </c>
      <c r="K973" s="411" t="e">
        <v>#N/A</v>
      </c>
      <c r="L973" s="526" t="e">
        <v>#N/A</v>
      </c>
      <c r="M973" s="445" t="s">
        <v>586</v>
      </c>
      <c r="N973" s="195"/>
    </row>
    <row r="974" spans="1:14" ht="15" x14ac:dyDescent="0.25">
      <c r="A974" s="444">
        <v>236152</v>
      </c>
      <c r="B974" t="e">
        <f t="shared" si="32"/>
        <v>#N/A</v>
      </c>
      <c r="C974" s="198" t="e">
        <f t="shared" si="33"/>
        <v>#N/A</v>
      </c>
      <c r="D974" s="526" t="e">
        <v>#N/A</v>
      </c>
      <c r="E974" s="526" t="e">
        <v>#N/A</v>
      </c>
      <c r="F974" s="526" t="e">
        <v>#N/A</v>
      </c>
      <c r="G974" s="526" t="e">
        <v>#N/A</v>
      </c>
      <c r="H974" s="412" t="e">
        <v>#N/A</v>
      </c>
      <c r="I974" s="411" t="e">
        <v>#N/A</v>
      </c>
      <c r="J974" s="411" t="e">
        <v>#N/A</v>
      </c>
      <c r="K974" s="411" t="e">
        <v>#N/A</v>
      </c>
      <c r="L974" s="526" t="e">
        <v>#N/A</v>
      </c>
      <c r="M974" s="445" t="s">
        <v>586</v>
      </c>
      <c r="N974" s="195"/>
    </row>
    <row r="975" spans="1:14" ht="15" x14ac:dyDescent="0.25">
      <c r="A975" s="444">
        <v>128842</v>
      </c>
      <c r="B975" t="str">
        <f t="shared" si="32"/>
        <v>SEVROLL 20144 vrták stupňovitý 6,5/9,5mm</v>
      </c>
      <c r="C975" s="198">
        <f t="shared" si="33"/>
        <v>26.752659999999999</v>
      </c>
      <c r="D975" s="526" t="s">
        <v>2856</v>
      </c>
      <c r="E975" s="526" t="s">
        <v>5732</v>
      </c>
      <c r="F975" s="526" t="s">
        <v>2856</v>
      </c>
      <c r="G975" s="526" t="s">
        <v>5733</v>
      </c>
      <c r="H975" s="412">
        <v>671.23099999999999</v>
      </c>
      <c r="I975" s="411">
        <v>26.752659999999999</v>
      </c>
      <c r="J975" s="411">
        <v>116.85122</v>
      </c>
      <c r="K975" s="411">
        <v>10898.66318</v>
      </c>
      <c r="L975" s="526" t="s">
        <v>553</v>
      </c>
      <c r="M975" s="445" t="s">
        <v>586</v>
      </c>
      <c r="N975" s="195"/>
    </row>
    <row r="976" spans="1:14" ht="15" x14ac:dyDescent="0.25">
      <c r="A976" s="444">
        <v>252987</v>
      </c>
      <c r="B976" t="str">
        <f t="shared" si="32"/>
        <v>SEVROLL 20238 Simple/Blue montážny prípravok pre lamino 10/18mm</v>
      </c>
      <c r="C976" s="198">
        <f t="shared" si="33"/>
        <v>5.9477399999999996</v>
      </c>
      <c r="D976" s="526" t="s">
        <v>3222</v>
      </c>
      <c r="E976" s="526" t="s">
        <v>5754</v>
      </c>
      <c r="F976" s="526" t="s">
        <v>5755</v>
      </c>
      <c r="G976" s="526" t="s">
        <v>5756</v>
      </c>
      <c r="H976" s="412">
        <v>149.2304</v>
      </c>
      <c r="I976" s="411">
        <v>5.9477399999999996</v>
      </c>
      <c r="J976" s="411">
        <v>26.004300000000001</v>
      </c>
      <c r="K976" s="411">
        <v>2425.4100100000001</v>
      </c>
      <c r="L976" s="526" t="s">
        <v>553</v>
      </c>
      <c r="M976" s="445" t="s">
        <v>586</v>
      </c>
      <c r="N976" s="195"/>
    </row>
    <row r="977" spans="1:14" ht="15" x14ac:dyDescent="0.25">
      <c r="A977" s="444">
        <v>256425</v>
      </c>
      <c r="B977" t="str">
        <f t="shared" si="32"/>
        <v>SEVROLL 20183 montážny prípravok pre systém Maxim malý</v>
      </c>
      <c r="C977" s="198">
        <f t="shared" si="33"/>
        <v>5.2530299999999999</v>
      </c>
      <c r="D977" s="526" t="s">
        <v>3223</v>
      </c>
      <c r="E977" s="526" t="s">
        <v>5757</v>
      </c>
      <c r="F977" s="526" t="s">
        <v>5758</v>
      </c>
      <c r="G977" s="526" t="s">
        <v>5759</v>
      </c>
      <c r="H977" s="412">
        <v>131.7998</v>
      </c>
      <c r="I977" s="411">
        <v>5.2530299999999999</v>
      </c>
      <c r="J977" s="411">
        <v>22.921900000000001</v>
      </c>
      <c r="K977" s="411">
        <v>2137.9153000000001</v>
      </c>
      <c r="L977" s="526" t="s">
        <v>555</v>
      </c>
      <c r="M977" s="445" t="s">
        <v>586</v>
      </c>
      <c r="N977" s="195"/>
    </row>
    <row r="978" spans="1:14" ht="15" x14ac:dyDescent="0.25">
      <c r="A978" s="444">
        <v>129677</v>
      </c>
      <c r="B978" t="str">
        <f t="shared" si="32"/>
        <v>SEVROLL 20173 montážny prípravok pre lamino 10mm malý</v>
      </c>
      <c r="C978" s="198">
        <f t="shared" si="33"/>
        <v>5.0214600000000003</v>
      </c>
      <c r="D978" s="526" t="s">
        <v>2858</v>
      </c>
      <c r="E978" s="526" t="s">
        <v>5760</v>
      </c>
      <c r="F978" s="526" t="s">
        <v>5761</v>
      </c>
      <c r="G978" s="526" t="s">
        <v>5762</v>
      </c>
      <c r="H978" s="412">
        <v>125.9896</v>
      </c>
      <c r="I978" s="411">
        <v>5.0214600000000003</v>
      </c>
      <c r="J978" s="411">
        <v>21.91311</v>
      </c>
      <c r="K978" s="411">
        <v>2043.8259700000001</v>
      </c>
      <c r="L978" s="526" t="s">
        <v>553</v>
      </c>
      <c r="M978" s="445" t="s">
        <v>586</v>
      </c>
      <c r="N978" s="195"/>
    </row>
    <row r="979" spans="1:14" ht="15" x14ac:dyDescent="0.25">
      <c r="A979" s="444">
        <v>351824</v>
      </c>
      <c r="B979" t="str">
        <f t="shared" si="32"/>
        <v>SEVROLL 20384 Micra šablóna pre vozíky - 1 pár = 1 ks</v>
      </c>
      <c r="C979" s="198">
        <f t="shared" si="33"/>
        <v>5.3261599999999998</v>
      </c>
      <c r="D979" s="526" t="s">
        <v>3460</v>
      </c>
      <c r="E979" s="526" t="s">
        <v>5763</v>
      </c>
      <c r="F979" s="526" t="s">
        <v>5764</v>
      </c>
      <c r="G979" s="526" t="s">
        <v>5765</v>
      </c>
      <c r="H979" s="412">
        <v>133.63460000000001</v>
      </c>
      <c r="I979" s="411">
        <v>5.3261599999999998</v>
      </c>
      <c r="J979" s="411">
        <v>23.25816</v>
      </c>
      <c r="K979" s="411">
        <v>2169.2782900000002</v>
      </c>
      <c r="L979" s="526" t="s">
        <v>553</v>
      </c>
      <c r="M979" s="445" t="s">
        <v>589</v>
      </c>
      <c r="N979" s="195"/>
    </row>
    <row r="980" spans="1:14" ht="15" x14ac:dyDescent="0.25">
      <c r="A980" s="444">
        <v>387424</v>
      </c>
      <c r="B980" t="str">
        <f t="shared" ref="B980" si="34">IF($A$2=1,D980,IF($A$2=2,F980,IF($A$2=3,G980,IF($A$2=4,E980,"zadat jazyk"))))</f>
        <v>SEVROLL 20385 držiak spodného vedenia Gemini</v>
      </c>
      <c r="C980" s="198">
        <f t="shared" ref="C980" si="35">IF($A$2=1,H980,IF($A$2=2,I980,IF($A$2=3,J980,IF($A$2=4,K980,"zadat jazyk"))))</f>
        <v>0.23222999999999999</v>
      </c>
      <c r="D980" s="526" t="s">
        <v>1289</v>
      </c>
      <c r="E980" s="526" t="s">
        <v>1290</v>
      </c>
      <c r="F980" s="526" t="s">
        <v>5766</v>
      </c>
      <c r="G980" s="526" t="s">
        <v>1291</v>
      </c>
      <c r="H980" s="412">
        <v>6.4301399999999997</v>
      </c>
      <c r="I980" s="411">
        <v>0.23222999999999999</v>
      </c>
      <c r="J980" s="411">
        <v>0.78280000000000005</v>
      </c>
      <c r="K980" s="411">
        <v>88.402789999999996</v>
      </c>
      <c r="L980" s="526" t="s">
        <v>553</v>
      </c>
      <c r="M980" s="445" t="s">
        <v>586</v>
      </c>
    </row>
    <row r="981" spans="1:14" ht="15" x14ac:dyDescent="0.25">
      <c r="A981" s="444">
        <v>283281</v>
      </c>
      <c r="B981" t="e">
        <f>IF($A$2=1,D981,IF($A$2=2,F981,IF($A$2=3,G981,IF($A$2=4,E981,"zadat jazyk"))))</f>
        <v>#N/A</v>
      </c>
      <c r="C981" s="198" t="e">
        <f>IF($A$2=1,H981,IF($A$2=2,I981,IF($A$2=3,J981,IF($A$2=4,K981,"zadat jazyk"))))</f>
        <v>#N/A</v>
      </c>
      <c r="D981" s="526" t="e">
        <v>#N/A</v>
      </c>
      <c r="E981" s="526" t="e">
        <v>#N/A</v>
      </c>
      <c r="F981" s="526" t="e">
        <v>#N/A</v>
      </c>
      <c r="G981" s="526" t="e">
        <v>#N/A</v>
      </c>
      <c r="H981" s="412" t="e">
        <v>#N/A</v>
      </c>
      <c r="I981" s="411" t="e">
        <v>#N/A</v>
      </c>
      <c r="J981" s="411" t="e">
        <v>#N/A</v>
      </c>
      <c r="K981" s="411" t="e">
        <v>#N/A</v>
      </c>
      <c r="L981" s="526" t="e">
        <v>#N/A</v>
      </c>
      <c r="M981" s="445" t="s">
        <v>586</v>
      </c>
    </row>
    <row r="982" spans="1:14" ht="15" x14ac:dyDescent="0.25">
      <c r="A982" s="444">
        <v>283283</v>
      </c>
      <c r="B982" t="e">
        <f>IF($A$2=1,D982,IF($A$2=2,F982,IF($A$2=3,G982,IF($A$2=4,E982,"zadat jazyk"))))</f>
        <v>#N/A</v>
      </c>
      <c r="C982" s="198" t="e">
        <f>IF($A$2=1,H982,IF($A$2=2,I982,IF($A$2=3,J982,IF($A$2=4,K982,"zadat jazyk"))))</f>
        <v>#N/A</v>
      </c>
      <c r="D982" s="526" t="e">
        <v>#N/A</v>
      </c>
      <c r="E982" s="526" t="e">
        <v>#N/A</v>
      </c>
      <c r="F982" s="526" t="e">
        <v>#N/A</v>
      </c>
      <c r="G982" s="526" t="e">
        <v>#N/A</v>
      </c>
      <c r="H982" s="412" t="e">
        <v>#N/A</v>
      </c>
      <c r="I982" s="411" t="e">
        <v>#N/A</v>
      </c>
      <c r="J982" s="411" t="e">
        <v>#N/A</v>
      </c>
      <c r="K982" s="411" t="e">
        <v>#N/A</v>
      </c>
      <c r="L982" s="526" t="e">
        <v>#N/A</v>
      </c>
      <c r="M982" s="445" t="s">
        <v>586</v>
      </c>
    </row>
    <row r="983" spans="1:14" ht="15" x14ac:dyDescent="0.25">
      <c r="A983">
        <v>265343</v>
      </c>
      <c r="B983" t="e">
        <f t="shared" ref="B983:B1026" si="36">IF($A$2=1,D983,IF($A$2=2,F983,IF($A$2=3,G983,IF($A$2=4,E983,"zadat jazyk"))))</f>
        <v>#N/A</v>
      </c>
      <c r="C983" s="198" t="e">
        <f t="shared" ref="C983:C1026" si="37">IF($A$2=1,H983,IF($A$2=2,I983,IF($A$2=3,J983,IF($A$2=4,K983,"zadat jazyk"))))</f>
        <v>#N/A</v>
      </c>
      <c r="D983" s="526" t="e">
        <v>#N/A</v>
      </c>
      <c r="E983" s="526" t="e">
        <v>#N/A</v>
      </c>
      <c r="F983" s="526" t="e">
        <v>#N/A</v>
      </c>
      <c r="G983" s="526" t="e">
        <v>#N/A</v>
      </c>
      <c r="H983" s="412" t="e">
        <v>#N/A</v>
      </c>
      <c r="I983" s="411" t="e">
        <v>#N/A</v>
      </c>
      <c r="J983" s="411" t="e">
        <v>#N/A</v>
      </c>
      <c r="K983" s="411" t="e">
        <v>#N/A</v>
      </c>
      <c r="L983" s="526" t="e">
        <v>#N/A</v>
      </c>
    </row>
    <row r="984" spans="1:14" ht="15" x14ac:dyDescent="0.25">
      <c r="A984">
        <v>328426</v>
      </c>
      <c r="B984" t="e">
        <f t="shared" si="36"/>
        <v>#N/A</v>
      </c>
      <c r="C984" s="198" t="e">
        <f t="shared" si="37"/>
        <v>#N/A</v>
      </c>
      <c r="D984" s="526" t="e">
        <v>#N/A</v>
      </c>
      <c r="E984" s="526" t="e">
        <v>#N/A</v>
      </c>
      <c r="F984" s="526" t="e">
        <v>#N/A</v>
      </c>
      <c r="G984" s="526" t="e">
        <v>#N/A</v>
      </c>
      <c r="H984" s="412" t="e">
        <v>#N/A</v>
      </c>
      <c r="I984" s="411" t="e">
        <v>#N/A</v>
      </c>
      <c r="J984" s="411" t="e">
        <v>#N/A</v>
      </c>
      <c r="K984" s="411" t="e">
        <v>#N/A</v>
      </c>
      <c r="L984" s="526" t="e">
        <v>#N/A</v>
      </c>
    </row>
    <row r="985" spans="1:14" ht="15" x14ac:dyDescent="0.25">
      <c r="A985">
        <v>328628</v>
      </c>
      <c r="B985" t="e">
        <f t="shared" si="36"/>
        <v>#N/A</v>
      </c>
      <c r="C985" s="198" t="e">
        <f t="shared" si="37"/>
        <v>#N/A</v>
      </c>
      <c r="D985" s="526" t="e">
        <v>#N/A</v>
      </c>
      <c r="E985" s="526" t="e">
        <v>#N/A</v>
      </c>
      <c r="F985" s="526" t="e">
        <v>#N/A</v>
      </c>
      <c r="G985" s="526" t="e">
        <v>#N/A</v>
      </c>
      <c r="H985" s="412" t="e">
        <v>#N/A</v>
      </c>
      <c r="I985" s="411" t="e">
        <v>#N/A</v>
      </c>
      <c r="J985" s="411" t="e">
        <v>#N/A</v>
      </c>
      <c r="K985" s="411" t="e">
        <v>#N/A</v>
      </c>
      <c r="L985" s="526" t="e">
        <v>#N/A</v>
      </c>
    </row>
    <row r="986" spans="1:14" ht="15" x14ac:dyDescent="0.25">
      <c r="A986">
        <v>328633</v>
      </c>
      <c r="B986" t="e">
        <f t="shared" si="36"/>
        <v>#N/A</v>
      </c>
      <c r="C986" s="198" t="e">
        <f t="shared" si="37"/>
        <v>#N/A</v>
      </c>
      <c r="D986" s="526" t="e">
        <v>#N/A</v>
      </c>
      <c r="E986" s="526" t="e">
        <v>#N/A</v>
      </c>
      <c r="F986" s="526" t="e">
        <v>#N/A</v>
      </c>
      <c r="G986" s="526" t="e">
        <v>#N/A</v>
      </c>
      <c r="H986" s="412" t="e">
        <v>#N/A</v>
      </c>
      <c r="I986" s="411" t="e">
        <v>#N/A</v>
      </c>
      <c r="J986" s="411" t="e">
        <v>#N/A</v>
      </c>
      <c r="K986" s="411" t="e">
        <v>#N/A</v>
      </c>
      <c r="L986" s="526" t="e">
        <v>#N/A</v>
      </c>
    </row>
    <row r="987" spans="1:14" ht="15" x14ac:dyDescent="0.25">
      <c r="A987">
        <v>328661</v>
      </c>
      <c r="B987" t="str">
        <f t="shared" si="36"/>
        <v/>
      </c>
      <c r="C987" s="198" t="e">
        <f t="shared" si="37"/>
        <v>#N/A</v>
      </c>
      <c r="D987" s="526" t="s">
        <v>1299</v>
      </c>
      <c r="E987" s="526" t="s">
        <v>1751</v>
      </c>
      <c r="F987" s="526" t="s">
        <v>71</v>
      </c>
      <c r="G987" s="526" t="s">
        <v>2335</v>
      </c>
      <c r="H987" s="412" t="e">
        <v>#N/A</v>
      </c>
      <c r="I987" s="411" t="e">
        <v>#N/A</v>
      </c>
      <c r="J987" s="411" t="e">
        <v>#N/A</v>
      </c>
      <c r="K987" s="411" t="e">
        <v>#N/A</v>
      </c>
      <c r="L987" s="526" t="e">
        <v>#N/A</v>
      </c>
    </row>
    <row r="988" spans="1:14" ht="15" x14ac:dyDescent="0.25">
      <c r="A988">
        <v>328662</v>
      </c>
      <c r="B988" t="str">
        <f t="shared" si="36"/>
        <v/>
      </c>
      <c r="C988" s="198">
        <f t="shared" si="37"/>
        <v>3.9899900000000001</v>
      </c>
      <c r="D988" s="526" t="s">
        <v>1300</v>
      </c>
      <c r="E988" s="526" t="s">
        <v>1752</v>
      </c>
      <c r="F988" s="526" t="s">
        <v>71</v>
      </c>
      <c r="G988" s="526" t="s">
        <v>2336</v>
      </c>
      <c r="H988" s="412">
        <v>260.96474000000001</v>
      </c>
      <c r="I988" s="411">
        <v>3.9899900000000001</v>
      </c>
      <c r="J988" s="411">
        <v>34.093000000000004</v>
      </c>
      <c r="K988" s="411">
        <v>3901.8495800000001</v>
      </c>
      <c r="L988" s="526" t="s">
        <v>556</v>
      </c>
    </row>
    <row r="989" spans="1:14" ht="15" x14ac:dyDescent="0.25">
      <c r="A989">
        <v>328807</v>
      </c>
      <c r="B989" t="e">
        <f t="shared" si="36"/>
        <v>#N/A</v>
      </c>
      <c r="C989" s="198" t="e">
        <f t="shared" si="37"/>
        <v>#N/A</v>
      </c>
      <c r="D989" s="526" t="e">
        <v>#N/A</v>
      </c>
      <c r="E989" s="526" t="e">
        <v>#N/A</v>
      </c>
      <c r="F989" s="526" t="e">
        <v>#N/A</v>
      </c>
      <c r="G989" s="526" t="e">
        <v>#N/A</v>
      </c>
      <c r="H989" s="412" t="e">
        <v>#N/A</v>
      </c>
      <c r="I989" s="411" t="e">
        <v>#N/A</v>
      </c>
      <c r="J989" s="411" t="e">
        <v>#N/A</v>
      </c>
      <c r="K989" s="411" t="e">
        <v>#N/A</v>
      </c>
      <c r="L989" s="526" t="e">
        <v>#N/A</v>
      </c>
    </row>
    <row r="990" spans="1:14" ht="15" x14ac:dyDescent="0.25">
      <c r="A990">
        <v>263201</v>
      </c>
      <c r="B990" t="e">
        <f t="shared" si="36"/>
        <v>#N/A</v>
      </c>
      <c r="C990" s="198" t="e">
        <f t="shared" si="37"/>
        <v>#N/A</v>
      </c>
      <c r="D990" s="526" t="e">
        <v>#N/A</v>
      </c>
      <c r="E990" s="526" t="e">
        <v>#N/A</v>
      </c>
      <c r="F990" s="526" t="e">
        <v>#N/A</v>
      </c>
      <c r="G990" s="526" t="e">
        <v>#N/A</v>
      </c>
      <c r="H990" s="412" t="e">
        <v>#N/A</v>
      </c>
      <c r="I990" s="411" t="e">
        <v>#N/A</v>
      </c>
      <c r="J990" s="411" t="e">
        <v>#N/A</v>
      </c>
      <c r="K990" s="411" t="e">
        <v>#N/A</v>
      </c>
      <c r="L990" s="526" t="e">
        <v>#N/A</v>
      </c>
    </row>
    <row r="991" spans="1:14" ht="15" x14ac:dyDescent="0.25">
      <c r="A991">
        <v>263202</v>
      </c>
      <c r="B991" t="e">
        <f t="shared" si="36"/>
        <v>#N/A</v>
      </c>
      <c r="C991" s="198" t="e">
        <f t="shared" si="37"/>
        <v>#N/A</v>
      </c>
      <c r="D991" s="526" t="e">
        <v>#N/A</v>
      </c>
      <c r="E991" s="526" t="e">
        <v>#N/A</v>
      </c>
      <c r="F991" s="526" t="e">
        <v>#N/A</v>
      </c>
      <c r="G991" s="526" t="e">
        <v>#N/A</v>
      </c>
      <c r="H991" s="412" t="e">
        <v>#N/A</v>
      </c>
      <c r="I991" s="411" t="e">
        <v>#N/A</v>
      </c>
      <c r="J991" s="411" t="e">
        <v>#N/A</v>
      </c>
      <c r="K991" s="411" t="e">
        <v>#N/A</v>
      </c>
      <c r="L991" s="526" t="e">
        <v>#N/A</v>
      </c>
    </row>
    <row r="992" spans="1:14" ht="15" x14ac:dyDescent="0.25">
      <c r="A992">
        <v>263203</v>
      </c>
      <c r="B992" t="e">
        <f t="shared" si="36"/>
        <v>#N/A</v>
      </c>
      <c r="C992" s="198" t="e">
        <f t="shared" si="37"/>
        <v>#N/A</v>
      </c>
      <c r="D992" s="526" t="e">
        <v>#N/A</v>
      </c>
      <c r="E992" s="526" t="e">
        <v>#N/A</v>
      </c>
      <c r="F992" s="526" t="e">
        <v>#N/A</v>
      </c>
      <c r="G992" s="526" t="e">
        <v>#N/A</v>
      </c>
      <c r="H992" s="412" t="e">
        <v>#N/A</v>
      </c>
      <c r="I992" s="411" t="e">
        <v>#N/A</v>
      </c>
      <c r="J992" s="411" t="e">
        <v>#N/A</v>
      </c>
      <c r="K992" s="411" t="e">
        <v>#N/A</v>
      </c>
      <c r="L992" s="526" t="e">
        <v>#N/A</v>
      </c>
    </row>
    <row r="993" spans="1:12" ht="15" x14ac:dyDescent="0.25">
      <c r="A993">
        <v>263209</v>
      </c>
      <c r="B993" t="e">
        <f t="shared" si="36"/>
        <v>#N/A</v>
      </c>
      <c r="C993" s="198" t="e">
        <f t="shared" si="37"/>
        <v>#N/A</v>
      </c>
      <c r="D993" s="526" t="e">
        <v>#N/A</v>
      </c>
      <c r="E993" s="526" t="e">
        <v>#N/A</v>
      </c>
      <c r="F993" s="526" t="e">
        <v>#N/A</v>
      </c>
      <c r="G993" s="526" t="e">
        <v>#N/A</v>
      </c>
      <c r="H993" s="412" t="e">
        <v>#N/A</v>
      </c>
      <c r="I993" s="411" t="e">
        <v>#N/A</v>
      </c>
      <c r="J993" s="411" t="e">
        <v>#N/A</v>
      </c>
      <c r="K993" s="411" t="e">
        <v>#N/A</v>
      </c>
      <c r="L993" s="526" t="e">
        <v>#N/A</v>
      </c>
    </row>
    <row r="994" spans="1:12" ht="15" x14ac:dyDescent="0.25">
      <c r="A994">
        <v>263210</v>
      </c>
      <c r="B994" t="e">
        <f t="shared" si="36"/>
        <v>#N/A</v>
      </c>
      <c r="C994" s="198" t="e">
        <f t="shared" si="37"/>
        <v>#N/A</v>
      </c>
      <c r="D994" s="526" t="e">
        <v>#N/A</v>
      </c>
      <c r="E994" s="526" t="e">
        <v>#N/A</v>
      </c>
      <c r="F994" s="526" t="e">
        <v>#N/A</v>
      </c>
      <c r="G994" s="526" t="e">
        <v>#N/A</v>
      </c>
      <c r="H994" s="412" t="e">
        <v>#N/A</v>
      </c>
      <c r="I994" s="411" t="e">
        <v>#N/A</v>
      </c>
      <c r="J994" s="411" t="e">
        <v>#N/A</v>
      </c>
      <c r="K994" s="411" t="e">
        <v>#N/A</v>
      </c>
      <c r="L994" s="526" t="e">
        <v>#N/A</v>
      </c>
    </row>
    <row r="995" spans="1:12" ht="15" x14ac:dyDescent="0.25">
      <c r="A995">
        <v>263211</v>
      </c>
      <c r="B995" t="e">
        <f t="shared" si="36"/>
        <v>#N/A</v>
      </c>
      <c r="C995" s="198" t="e">
        <f t="shared" si="37"/>
        <v>#N/A</v>
      </c>
      <c r="D995" s="526" t="e">
        <v>#N/A</v>
      </c>
      <c r="E995" s="526" t="e">
        <v>#N/A</v>
      </c>
      <c r="F995" s="526" t="e">
        <v>#N/A</v>
      </c>
      <c r="G995" s="526" t="e">
        <v>#N/A</v>
      </c>
      <c r="H995" s="412" t="e">
        <v>#N/A</v>
      </c>
      <c r="I995" s="411" t="e">
        <v>#N/A</v>
      </c>
      <c r="J995" s="411" t="e">
        <v>#N/A</v>
      </c>
      <c r="K995" s="411" t="e">
        <v>#N/A</v>
      </c>
      <c r="L995" s="526" t="e">
        <v>#N/A</v>
      </c>
    </row>
    <row r="996" spans="1:12" ht="15" x14ac:dyDescent="0.25">
      <c r="A996">
        <v>263213</v>
      </c>
      <c r="B996" t="e">
        <f t="shared" si="36"/>
        <v>#N/A</v>
      </c>
      <c r="C996" s="198" t="e">
        <f t="shared" si="37"/>
        <v>#N/A</v>
      </c>
      <c r="D996" s="526" t="e">
        <v>#N/A</v>
      </c>
      <c r="E996" s="526" t="e">
        <v>#N/A</v>
      </c>
      <c r="F996" s="526" t="e">
        <v>#N/A</v>
      </c>
      <c r="G996" s="526" t="e">
        <v>#N/A</v>
      </c>
      <c r="H996" s="412" t="e">
        <v>#N/A</v>
      </c>
      <c r="I996" s="411" t="e">
        <v>#N/A</v>
      </c>
      <c r="J996" s="411" t="e">
        <v>#N/A</v>
      </c>
      <c r="K996" s="411" t="e">
        <v>#N/A</v>
      </c>
      <c r="L996" s="526" t="e">
        <v>#N/A</v>
      </c>
    </row>
    <row r="997" spans="1:12" ht="15" x14ac:dyDescent="0.25">
      <c r="A997">
        <v>263215</v>
      </c>
      <c r="B997" t="e">
        <f t="shared" si="36"/>
        <v>#N/A</v>
      </c>
      <c r="C997" s="198" t="e">
        <f t="shared" si="37"/>
        <v>#N/A</v>
      </c>
      <c r="D997" s="526" t="e">
        <v>#N/A</v>
      </c>
      <c r="E997" s="526" t="e">
        <v>#N/A</v>
      </c>
      <c r="F997" s="526" t="e">
        <v>#N/A</v>
      </c>
      <c r="G997" s="526" t="e">
        <v>#N/A</v>
      </c>
      <c r="H997" s="412" t="e">
        <v>#N/A</v>
      </c>
      <c r="I997" s="411" t="e">
        <v>#N/A</v>
      </c>
      <c r="J997" s="411" t="e">
        <v>#N/A</v>
      </c>
      <c r="K997" s="411" t="e">
        <v>#N/A</v>
      </c>
      <c r="L997" s="526" t="e">
        <v>#N/A</v>
      </c>
    </row>
    <row r="998" spans="1:12" ht="15" x14ac:dyDescent="0.25">
      <c r="A998">
        <v>263217</v>
      </c>
      <c r="B998" t="e">
        <f t="shared" si="36"/>
        <v>#N/A</v>
      </c>
      <c r="C998" s="198" t="e">
        <f t="shared" si="37"/>
        <v>#N/A</v>
      </c>
      <c r="D998" s="526" t="e">
        <v>#N/A</v>
      </c>
      <c r="E998" s="526" t="e">
        <v>#N/A</v>
      </c>
      <c r="F998" s="526" t="e">
        <v>#N/A</v>
      </c>
      <c r="G998" s="526" t="e">
        <v>#N/A</v>
      </c>
      <c r="H998" s="412" t="e">
        <v>#N/A</v>
      </c>
      <c r="I998" s="411" t="e">
        <v>#N/A</v>
      </c>
      <c r="J998" s="411" t="e">
        <v>#N/A</v>
      </c>
      <c r="K998" s="411" t="e">
        <v>#N/A</v>
      </c>
      <c r="L998" s="526" t="e">
        <v>#N/A</v>
      </c>
    </row>
    <row r="999" spans="1:12" ht="15" x14ac:dyDescent="0.25">
      <c r="A999">
        <v>372424</v>
      </c>
      <c r="B999" t="str">
        <f t="shared" si="36"/>
        <v>SEVROLL imbusový kľúč SEVROLL</v>
      </c>
      <c r="C999" s="198">
        <f t="shared" si="37"/>
        <v>3.9994700000000001</v>
      </c>
      <c r="D999" s="526" t="s">
        <v>1301</v>
      </c>
      <c r="E999" s="526" t="s">
        <v>1753</v>
      </c>
      <c r="F999" s="526" t="s">
        <v>2172</v>
      </c>
      <c r="G999" s="526" t="s">
        <v>2337</v>
      </c>
      <c r="H999" s="412">
        <v>110.7413</v>
      </c>
      <c r="I999" s="411">
        <v>3.9994700000000001</v>
      </c>
      <c r="J999" s="411">
        <v>13.542299999999999</v>
      </c>
      <c r="K999" s="411">
        <v>1522.4937</v>
      </c>
      <c r="L999" s="526" t="s">
        <v>554</v>
      </c>
    </row>
    <row r="1000" spans="1:12" ht="15" x14ac:dyDescent="0.25">
      <c r="A1000">
        <v>372603</v>
      </c>
      <c r="B1000" t="str">
        <f t="shared" si="36"/>
        <v>SEVROLL 04933 Era úchytová lišta 18mm 2,70m biely lesk</v>
      </c>
      <c r="C1000" s="198">
        <f t="shared" si="37"/>
        <v>15.76563</v>
      </c>
      <c r="D1000" s="526" t="s">
        <v>1302</v>
      </c>
      <c r="E1000" s="526" t="s">
        <v>1754</v>
      </c>
      <c r="F1000" s="526" t="s">
        <v>5767</v>
      </c>
      <c r="G1000" s="526" t="s">
        <v>5768</v>
      </c>
      <c r="H1000" s="412">
        <v>431.82425000000001</v>
      </c>
      <c r="I1000" s="411">
        <v>15.76563</v>
      </c>
      <c r="J1000" s="411">
        <v>55.817450000000001</v>
      </c>
      <c r="K1000" s="411">
        <v>6124.0530799999997</v>
      </c>
      <c r="L1000" s="526" t="s">
        <v>553</v>
      </c>
    </row>
    <row r="1001" spans="1:12" ht="15" x14ac:dyDescent="0.25">
      <c r="A1001">
        <v>372604</v>
      </c>
      <c r="B1001" t="str">
        <f t="shared" si="36"/>
        <v>SEVROLL 04906 Vitara úchytová lišta 2,7m strieborná</v>
      </c>
      <c r="C1001" s="198">
        <f t="shared" si="37"/>
        <v>14.417439999999999</v>
      </c>
      <c r="D1001" s="526" t="s">
        <v>1303</v>
      </c>
      <c r="E1001" s="526" t="s">
        <v>1755</v>
      </c>
      <c r="F1001" s="526" t="s">
        <v>5769</v>
      </c>
      <c r="G1001" s="526" t="s">
        <v>2338</v>
      </c>
      <c r="H1001" s="412">
        <v>399.38314000000003</v>
      </c>
      <c r="I1001" s="411">
        <v>14.417439999999999</v>
      </c>
      <c r="J1001" s="411">
        <v>57.018000000000001</v>
      </c>
      <c r="K1001" s="411">
        <v>5488.3445199999996</v>
      </c>
      <c r="L1001" s="526" t="s">
        <v>553</v>
      </c>
    </row>
    <row r="1002" spans="1:12" ht="15" x14ac:dyDescent="0.25">
      <c r="A1002">
        <v>372605</v>
      </c>
      <c r="B1002" t="str">
        <f t="shared" si="36"/>
        <v>SEVROLL 04905 Vitara úchytová lišta 2,7m oliva</v>
      </c>
      <c r="C1002" s="198">
        <f t="shared" si="37"/>
        <v>18.087900000000001</v>
      </c>
      <c r="D1002" s="526" t="s">
        <v>1304</v>
      </c>
      <c r="E1002" s="526" t="s">
        <v>1756</v>
      </c>
      <c r="F1002" s="526" t="s">
        <v>1304</v>
      </c>
      <c r="G1002" s="526" t="s">
        <v>2339</v>
      </c>
      <c r="H1002" s="412">
        <v>500.83645999999999</v>
      </c>
      <c r="I1002" s="411">
        <v>18.087900000000001</v>
      </c>
      <c r="J1002" s="411">
        <v>63.872399999999999</v>
      </c>
      <c r="K1002" s="411">
        <v>6885.6006100000004</v>
      </c>
      <c r="L1002" s="526" t="s">
        <v>553</v>
      </c>
    </row>
    <row r="1003" spans="1:12" ht="15" x14ac:dyDescent="0.25">
      <c r="A1003">
        <v>372606</v>
      </c>
      <c r="B1003" t="str">
        <f t="shared" si="36"/>
        <v>SEVROLL 04909 Vitara úchytová lišta 2,7m biela lesk</v>
      </c>
      <c r="C1003" s="198">
        <f t="shared" si="37"/>
        <v>18.742660000000001</v>
      </c>
      <c r="D1003" s="526" t="s">
        <v>1305</v>
      </c>
      <c r="E1003" s="526" t="s">
        <v>1757</v>
      </c>
      <c r="F1003" s="526" t="s">
        <v>5770</v>
      </c>
      <c r="G1003" s="526" t="s">
        <v>2340</v>
      </c>
      <c r="H1003" s="412">
        <v>518.69795999999997</v>
      </c>
      <c r="I1003" s="411">
        <v>18.742660000000001</v>
      </c>
      <c r="J1003" s="411">
        <v>74.143799999999999</v>
      </c>
      <c r="K1003" s="411">
        <v>7134.8474200000001</v>
      </c>
      <c r="L1003" s="526" t="s">
        <v>553</v>
      </c>
    </row>
    <row r="1004" spans="1:12" ht="15" x14ac:dyDescent="0.25">
      <c r="A1004">
        <v>421952</v>
      </c>
      <c r="B1004" t="str">
        <f t="shared" si="36"/>
        <v>SEVROLL Elegant spod.ved. 150mm biela mat</v>
      </c>
      <c r="C1004" s="198">
        <f t="shared" si="37"/>
        <v>0</v>
      </c>
      <c r="D1004" s="526" t="s">
        <v>1306</v>
      </c>
      <c r="E1004" s="526" t="s">
        <v>1758</v>
      </c>
      <c r="F1004" s="526" t="s">
        <v>2173</v>
      </c>
      <c r="G1004" s="526" t="s">
        <v>2341</v>
      </c>
      <c r="H1004" s="412">
        <v>0</v>
      </c>
      <c r="I1004" s="411">
        <v>0</v>
      </c>
      <c r="J1004" s="411">
        <v>0</v>
      </c>
      <c r="K1004" s="411">
        <v>0</v>
      </c>
      <c r="L1004" s="526" t="s">
        <v>554</v>
      </c>
    </row>
    <row r="1005" spans="1:12" ht="15" x14ac:dyDescent="0.25">
      <c r="A1005">
        <v>421953</v>
      </c>
      <c r="B1005" t="str">
        <f t="shared" si="36"/>
        <v>SEVROLL Elegant II spodné vedenie 150mm čierna lesk (vzorka)</v>
      </c>
      <c r="C1005" s="198">
        <f t="shared" si="37"/>
        <v>0</v>
      </c>
      <c r="D1005" s="526" t="s">
        <v>1307</v>
      </c>
      <c r="E1005" s="526" t="s">
        <v>1759</v>
      </c>
      <c r="F1005" s="526" t="s">
        <v>5771</v>
      </c>
      <c r="G1005" s="526" t="s">
        <v>2342</v>
      </c>
      <c r="H1005" s="412">
        <v>0</v>
      </c>
      <c r="I1005" s="411">
        <v>0</v>
      </c>
      <c r="J1005" s="411">
        <v>0</v>
      </c>
      <c r="K1005" s="411">
        <v>0</v>
      </c>
      <c r="L1005" s="526" t="s">
        <v>554</v>
      </c>
    </row>
    <row r="1006" spans="1:12" ht="15" x14ac:dyDescent="0.25">
      <c r="A1006">
        <v>421985</v>
      </c>
      <c r="B1006" t="e">
        <f t="shared" si="36"/>
        <v>#N/A</v>
      </c>
      <c r="C1006" s="198" t="e">
        <f t="shared" si="37"/>
        <v>#N/A</v>
      </c>
      <c r="D1006" s="526" t="e">
        <v>#N/A</v>
      </c>
      <c r="E1006" s="526" t="e">
        <v>#N/A</v>
      </c>
      <c r="F1006" s="526" t="e">
        <v>#N/A</v>
      </c>
      <c r="G1006" s="526" t="e">
        <v>#N/A</v>
      </c>
      <c r="H1006" s="412" t="e">
        <v>#N/A</v>
      </c>
      <c r="I1006" s="411" t="e">
        <v>#N/A</v>
      </c>
      <c r="J1006" s="411" t="e">
        <v>#N/A</v>
      </c>
      <c r="K1006" s="411" t="e">
        <v>#N/A</v>
      </c>
      <c r="L1006" s="526" t="e">
        <v>#N/A</v>
      </c>
    </row>
    <row r="1007" spans="1:12" ht="15" x14ac:dyDescent="0.25">
      <c r="A1007">
        <v>422007</v>
      </c>
      <c r="B1007" t="str">
        <f t="shared" si="36"/>
        <v>SEVROLL 05308 Elegant II spodné vedenie 1,7m čierna mat</v>
      </c>
      <c r="C1007" s="198">
        <f t="shared" si="37"/>
        <v>10.74747</v>
      </c>
      <c r="D1007" s="526" t="s">
        <v>1308</v>
      </c>
      <c r="E1007" s="526" t="s">
        <v>1760</v>
      </c>
      <c r="F1007" s="526" t="s">
        <v>5772</v>
      </c>
      <c r="G1007" s="526" t="s">
        <v>5773</v>
      </c>
      <c r="H1007" s="412">
        <v>297.92982000000001</v>
      </c>
      <c r="I1007" s="411">
        <v>10.74747</v>
      </c>
      <c r="J1007" s="411">
        <v>40.698</v>
      </c>
      <c r="K1007" s="411">
        <v>4091.2844</v>
      </c>
      <c r="L1007" s="526" t="s">
        <v>553</v>
      </c>
    </row>
    <row r="1008" spans="1:12" ht="15" x14ac:dyDescent="0.25">
      <c r="A1008">
        <v>422008</v>
      </c>
      <c r="B1008" t="str">
        <f t="shared" si="36"/>
        <v>SEVROLL 05313 Gemini horné vedenie 1,7m čierna mat</v>
      </c>
      <c r="C1008" s="198">
        <f t="shared" si="37"/>
        <v>18.247890000000002</v>
      </c>
      <c r="D1008" s="526" t="s">
        <v>1309</v>
      </c>
      <c r="E1008" s="526" t="s">
        <v>1761</v>
      </c>
      <c r="F1008" s="526" t="s">
        <v>5774</v>
      </c>
      <c r="G1008" s="526" t="s">
        <v>5775</v>
      </c>
      <c r="H1008" s="412">
        <v>505.12322</v>
      </c>
      <c r="I1008" s="411">
        <v>18.247890000000002</v>
      </c>
      <c r="J1008" s="411">
        <v>74.653800000000004</v>
      </c>
      <c r="K1008" s="411">
        <v>6946.5004600000002</v>
      </c>
      <c r="L1008" s="526" t="s">
        <v>553</v>
      </c>
    </row>
    <row r="1009" spans="1:12" ht="15" x14ac:dyDescent="0.25">
      <c r="A1009">
        <v>422009</v>
      </c>
      <c r="B1009" t="str">
        <f t="shared" si="36"/>
        <v>SEVROLL 20406 Pax nalepovacia úchytka čierna mat</v>
      </c>
      <c r="C1009" s="198">
        <f t="shared" si="37"/>
        <v>9.4438999999999993</v>
      </c>
      <c r="D1009" s="526" t="s">
        <v>1310</v>
      </c>
      <c r="E1009" s="526" t="s">
        <v>1762</v>
      </c>
      <c r="F1009" s="526" t="s">
        <v>5776</v>
      </c>
      <c r="G1009" s="526" t="s">
        <v>2343</v>
      </c>
      <c r="H1009" s="412">
        <v>261.49236000000002</v>
      </c>
      <c r="I1009" s="411">
        <v>9.4438999999999993</v>
      </c>
      <c r="J1009" s="411">
        <v>31.827000000000002</v>
      </c>
      <c r="K1009" s="411">
        <v>3595.0497099999998</v>
      </c>
      <c r="L1009" s="526" t="s">
        <v>554</v>
      </c>
    </row>
    <row r="1010" spans="1:12" ht="15" x14ac:dyDescent="0.25">
      <c r="A1010">
        <v>422012</v>
      </c>
      <c r="B1010" t="str">
        <f t="shared" si="36"/>
        <v>SEVROLL 05327 Pax záslepka profilu (4 ks) čierna mat</v>
      </c>
      <c r="C1010" s="198">
        <f t="shared" si="37"/>
        <v>8.9897600000000004</v>
      </c>
      <c r="D1010" s="526" t="s">
        <v>1311</v>
      </c>
      <c r="E1010" s="526" t="s">
        <v>1763</v>
      </c>
      <c r="F1010" s="526" t="s">
        <v>5777</v>
      </c>
      <c r="G1010" s="526" t="s">
        <v>2344</v>
      </c>
      <c r="H1010" s="412">
        <v>263.83620000000002</v>
      </c>
      <c r="I1010" s="411">
        <v>8.9897600000000004</v>
      </c>
      <c r="J1010" s="411">
        <v>34.68</v>
      </c>
      <c r="K1010" s="411">
        <v>3492.0130800000002</v>
      </c>
      <c r="L1010" s="526" t="s">
        <v>554</v>
      </c>
    </row>
    <row r="1011" spans="1:12" ht="15" x14ac:dyDescent="0.25">
      <c r="A1011">
        <v>422013</v>
      </c>
      <c r="B1011" t="str">
        <f t="shared" si="36"/>
        <v>SEVROLL profil "U" pro lamino 18mm 3m čierna mat</v>
      </c>
      <c r="C1011" s="198">
        <f t="shared" si="37"/>
        <v>6.1411100000000003</v>
      </c>
      <c r="D1011" s="526" t="s">
        <v>1312</v>
      </c>
      <c r="E1011" s="526" t="s">
        <v>1764</v>
      </c>
      <c r="F1011" s="526" t="s">
        <v>2174</v>
      </c>
      <c r="G1011" s="526" t="s">
        <v>2345</v>
      </c>
      <c r="H1011" s="412">
        <v>170.04148000000001</v>
      </c>
      <c r="I1011" s="411">
        <v>6.1411100000000003</v>
      </c>
      <c r="J1011" s="411">
        <v>27.009599999999999</v>
      </c>
      <c r="K1011" s="411">
        <v>2337.7643699999999</v>
      </c>
      <c r="L1011" s="526" t="s">
        <v>553</v>
      </c>
    </row>
    <row r="1012" spans="1:12" ht="15" x14ac:dyDescent="0.25">
      <c r="A1012">
        <v>422014</v>
      </c>
      <c r="B1012" t="str">
        <f t="shared" si="36"/>
        <v>SEVROLL 05296 uholník Mini 17x11mm 1,7m čierna mat</v>
      </c>
      <c r="C1012" s="198">
        <f t="shared" si="37"/>
        <v>3.1479699999999999</v>
      </c>
      <c r="D1012" s="526" t="s">
        <v>5778</v>
      </c>
      <c r="E1012" s="526" t="s">
        <v>5779</v>
      </c>
      <c r="F1012" s="526" t="s">
        <v>5780</v>
      </c>
      <c r="G1012" s="526" t="s">
        <v>5781</v>
      </c>
      <c r="H1012" s="412">
        <v>87.164119999999997</v>
      </c>
      <c r="I1012" s="411">
        <v>3.1479699999999999</v>
      </c>
      <c r="J1012" s="411">
        <v>12.2094</v>
      </c>
      <c r="K1012" s="411">
        <v>1198.3500300000001</v>
      </c>
      <c r="L1012" s="526" t="s">
        <v>553</v>
      </c>
    </row>
    <row r="1013" spans="1:12" ht="15" x14ac:dyDescent="0.25">
      <c r="A1013">
        <v>422027</v>
      </c>
      <c r="B1013" t="str">
        <f t="shared" si="36"/>
        <v>SEVROLL 05299 Gemini 10 spodná krycia lišta 1,7m 10mm čierna mat</v>
      </c>
      <c r="C1013" s="198">
        <f t="shared" si="37"/>
        <v>18.887799999999999</v>
      </c>
      <c r="D1013" s="526" t="s">
        <v>3471</v>
      </c>
      <c r="E1013" s="526" t="s">
        <v>1765</v>
      </c>
      <c r="F1013" s="526" t="s">
        <v>5782</v>
      </c>
      <c r="G1013" s="526" t="s">
        <v>2346</v>
      </c>
      <c r="H1013" s="412">
        <v>522.98472000000004</v>
      </c>
      <c r="I1013" s="411">
        <v>18.887799999999999</v>
      </c>
      <c r="J1013" s="411">
        <v>70.369799999999998</v>
      </c>
      <c r="K1013" s="411">
        <v>7190.0994300000002</v>
      </c>
      <c r="L1013" s="526" t="s">
        <v>553</v>
      </c>
    </row>
    <row r="1014" spans="1:12" ht="15" x14ac:dyDescent="0.25">
      <c r="A1014">
        <v>422029</v>
      </c>
      <c r="B1014" t="str">
        <f t="shared" si="36"/>
        <v>SEVROLL 05300 Gemini 10 spodná krycia lišta 2,35m 10mm čierna mat</v>
      </c>
      <c r="C1014" s="198">
        <f t="shared" si="37"/>
        <v>26.086829999999999</v>
      </c>
      <c r="D1014" s="526" t="s">
        <v>3472</v>
      </c>
      <c r="E1014" s="526" t="s">
        <v>1766</v>
      </c>
      <c r="F1014" s="526" t="s">
        <v>5783</v>
      </c>
      <c r="G1014" s="526" t="s">
        <v>2347</v>
      </c>
      <c r="H1014" s="412">
        <v>722.31906000000004</v>
      </c>
      <c r="I1014" s="411">
        <v>26.086829999999999</v>
      </c>
      <c r="J1014" s="411">
        <v>97.287599999999998</v>
      </c>
      <c r="K1014" s="411">
        <v>9930.5880099999995</v>
      </c>
      <c r="L1014" s="526" t="s">
        <v>553</v>
      </c>
    </row>
    <row r="1015" spans="1:12" ht="15" x14ac:dyDescent="0.25">
      <c r="A1015">
        <v>422030</v>
      </c>
      <c r="B1015" t="str">
        <f t="shared" si="36"/>
        <v>SEVROLL 03604 Gemini 10 spodná krycia lišta 3m 10mm čierna mat</v>
      </c>
      <c r="C1015" s="198">
        <f t="shared" si="37"/>
        <v>33.38908</v>
      </c>
      <c r="D1015" s="526" t="s">
        <v>3473</v>
      </c>
      <c r="E1015" s="526" t="s">
        <v>1767</v>
      </c>
      <c r="F1015" s="526" t="s">
        <v>5784</v>
      </c>
      <c r="G1015" s="526" t="s">
        <v>2348</v>
      </c>
      <c r="H1015" s="412">
        <v>924.51124000000004</v>
      </c>
      <c r="I1015" s="411">
        <v>33.38908</v>
      </c>
      <c r="J1015" s="411">
        <v>124.22580000000001</v>
      </c>
      <c r="K1015" s="411">
        <v>12710.366690000001</v>
      </c>
      <c r="L1015" s="526" t="s">
        <v>553</v>
      </c>
    </row>
    <row r="1016" spans="1:12" ht="15" x14ac:dyDescent="0.25">
      <c r="A1016">
        <v>422032</v>
      </c>
      <c r="B1016" t="str">
        <f t="shared" si="36"/>
        <v>SEVROLL 05323 Gemini 4 Pax spodná krycia lišta 3m 4mm čierna mat</v>
      </c>
      <c r="C1016" s="198">
        <f t="shared" si="37"/>
        <v>33.543900000000001</v>
      </c>
      <c r="D1016" s="526" t="s">
        <v>3474</v>
      </c>
      <c r="E1016" s="526" t="s">
        <v>1768</v>
      </c>
      <c r="F1016" s="526" t="s">
        <v>5785</v>
      </c>
      <c r="G1016" s="526" t="s">
        <v>2349</v>
      </c>
      <c r="H1016" s="412">
        <v>928.798</v>
      </c>
      <c r="I1016" s="411">
        <v>33.543900000000001</v>
      </c>
      <c r="J1016" s="411">
        <v>129.11160000000001</v>
      </c>
      <c r="K1016" s="411">
        <v>12769.302</v>
      </c>
      <c r="L1016" s="526" t="s">
        <v>554</v>
      </c>
    </row>
    <row r="1017" spans="1:12" ht="15" x14ac:dyDescent="0.25">
      <c r="A1017">
        <v>422033</v>
      </c>
      <c r="B1017" t="str">
        <f t="shared" si="36"/>
        <v>SEVROLL 04418 Gemini 4 Pax XL spodná krycia lišta 3m 4mm biela lesk</v>
      </c>
      <c r="C1017" s="198">
        <f t="shared" si="37"/>
        <v>37.491759999999999</v>
      </c>
      <c r="D1017" s="526" t="s">
        <v>3475</v>
      </c>
      <c r="E1017" s="526" t="s">
        <v>1769</v>
      </c>
      <c r="F1017" s="526" t="s">
        <v>3589</v>
      </c>
      <c r="G1017" s="526" t="s">
        <v>2350</v>
      </c>
      <c r="H1017" s="412">
        <v>1038.1103800000001</v>
      </c>
      <c r="I1017" s="411">
        <v>37.491759999999999</v>
      </c>
      <c r="J1017" s="411">
        <v>145.11539999999999</v>
      </c>
      <c r="K1017" s="411">
        <v>14272.15047</v>
      </c>
      <c r="L1017" s="526" t="s">
        <v>554</v>
      </c>
    </row>
    <row r="1018" spans="1:12" ht="15" x14ac:dyDescent="0.25">
      <c r="A1018">
        <v>422036</v>
      </c>
      <c r="B1018" t="str">
        <f t="shared" si="36"/>
        <v>SEVROLL 04833 Gemini 4 Pax XL spodná krycia lišta 3m 4mm čierna mat</v>
      </c>
      <c r="C1018" s="198">
        <f t="shared" si="37"/>
        <v>37.491759999999999</v>
      </c>
      <c r="D1018" s="526" t="s">
        <v>3476</v>
      </c>
      <c r="E1018" s="526" t="s">
        <v>1770</v>
      </c>
      <c r="F1018" s="526" t="s">
        <v>5786</v>
      </c>
      <c r="G1018" s="526" t="s">
        <v>2351</v>
      </c>
      <c r="H1018" s="412">
        <v>1038.1103800000001</v>
      </c>
      <c r="I1018" s="411">
        <v>37.491759999999999</v>
      </c>
      <c r="J1018" s="411">
        <v>145.11539999999999</v>
      </c>
      <c r="K1018" s="411">
        <v>14272.15047</v>
      </c>
      <c r="L1018" s="526" t="s">
        <v>554</v>
      </c>
    </row>
    <row r="1019" spans="1:12" ht="15" x14ac:dyDescent="0.25">
      <c r="A1019">
        <v>422043</v>
      </c>
      <c r="B1019" t="str">
        <f t="shared" si="36"/>
        <v>SEVROLL 05301 horná vodiaca lišta 1,7m čierna mat</v>
      </c>
      <c r="C1019" s="198">
        <f t="shared" si="37"/>
        <v>10.39861</v>
      </c>
      <c r="D1019" s="526" t="s">
        <v>1318</v>
      </c>
      <c r="E1019" s="526" t="s">
        <v>1771</v>
      </c>
      <c r="F1019" s="526" t="s">
        <v>5787</v>
      </c>
      <c r="G1019" s="526" t="s">
        <v>2352</v>
      </c>
      <c r="H1019" s="412">
        <v>287.92738000000003</v>
      </c>
      <c r="I1019" s="411">
        <v>10.39861</v>
      </c>
      <c r="J1019" s="411">
        <v>59.986199999999997</v>
      </c>
      <c r="K1019" s="411">
        <v>3958.4834700000001</v>
      </c>
      <c r="L1019" s="526" t="s">
        <v>553</v>
      </c>
    </row>
    <row r="1020" spans="1:12" ht="15" x14ac:dyDescent="0.25">
      <c r="A1020">
        <v>283627</v>
      </c>
      <c r="B1020" t="e">
        <f t="shared" si="36"/>
        <v>#N/A</v>
      </c>
      <c r="C1020" s="198" t="e">
        <f t="shared" si="37"/>
        <v>#N/A</v>
      </c>
      <c r="D1020" s="526" t="e">
        <v>#N/A</v>
      </c>
      <c r="E1020" s="526" t="e">
        <v>#N/A</v>
      </c>
      <c r="F1020" s="526" t="e">
        <v>#N/A</v>
      </c>
      <c r="G1020" s="526" t="e">
        <v>#N/A</v>
      </c>
      <c r="H1020" s="412" t="e">
        <v>#N/A</v>
      </c>
      <c r="I1020" s="411" t="e">
        <v>#N/A</v>
      </c>
      <c r="J1020" s="411" t="e">
        <v>#N/A</v>
      </c>
      <c r="K1020" s="411" t="e">
        <v>#N/A</v>
      </c>
      <c r="L1020" s="526" t="e">
        <v>#N/A</v>
      </c>
    </row>
    <row r="1021" spans="1:12" ht="15" x14ac:dyDescent="0.25">
      <c r="A1021">
        <v>283628</v>
      </c>
      <c r="B1021" t="e">
        <f t="shared" si="36"/>
        <v>#N/A</v>
      </c>
      <c r="C1021" s="198" t="e">
        <f t="shared" si="37"/>
        <v>#N/A</v>
      </c>
      <c r="D1021" s="526" t="e">
        <v>#N/A</v>
      </c>
      <c r="E1021" s="526" t="e">
        <v>#N/A</v>
      </c>
      <c r="F1021" s="526" t="e">
        <v>#N/A</v>
      </c>
      <c r="G1021" s="526" t="e">
        <v>#N/A</v>
      </c>
      <c r="H1021" s="412" t="e">
        <v>#N/A</v>
      </c>
      <c r="I1021" s="411" t="e">
        <v>#N/A</v>
      </c>
      <c r="J1021" s="411" t="e">
        <v>#N/A</v>
      </c>
      <c r="K1021" s="411" t="e">
        <v>#N/A</v>
      </c>
      <c r="L1021" s="526" t="e">
        <v>#N/A</v>
      </c>
    </row>
    <row r="1022" spans="1:12" ht="15" x14ac:dyDescent="0.25">
      <c r="A1022">
        <v>283629</v>
      </c>
      <c r="B1022" t="e">
        <f t="shared" si="36"/>
        <v>#N/A</v>
      </c>
      <c r="C1022" s="198" t="e">
        <f t="shared" si="37"/>
        <v>#N/A</v>
      </c>
      <c r="D1022" s="526" t="e">
        <v>#N/A</v>
      </c>
      <c r="E1022" s="526" t="e">
        <v>#N/A</v>
      </c>
      <c r="F1022" s="526" t="e">
        <v>#N/A</v>
      </c>
      <c r="G1022" s="526" t="e">
        <v>#N/A</v>
      </c>
      <c r="H1022" s="412" t="e">
        <v>#N/A</v>
      </c>
      <c r="I1022" s="411" t="e">
        <v>#N/A</v>
      </c>
      <c r="J1022" s="411" t="e">
        <v>#N/A</v>
      </c>
      <c r="K1022" s="411" t="e">
        <v>#N/A</v>
      </c>
      <c r="L1022" s="526" t="e">
        <v>#N/A</v>
      </c>
    </row>
    <row r="1023" spans="1:12" ht="15" x14ac:dyDescent="0.25">
      <c r="A1023">
        <v>283631</v>
      </c>
      <c r="B1023" t="e">
        <f t="shared" si="36"/>
        <v>#N/A</v>
      </c>
      <c r="C1023" s="198" t="e">
        <f t="shared" si="37"/>
        <v>#N/A</v>
      </c>
      <c r="D1023" s="526" t="e">
        <v>#N/A</v>
      </c>
      <c r="E1023" s="526" t="e">
        <v>#N/A</v>
      </c>
      <c r="F1023" s="526" t="e">
        <v>#N/A</v>
      </c>
      <c r="G1023" s="526" t="e">
        <v>#N/A</v>
      </c>
      <c r="H1023" s="412" t="e">
        <v>#N/A</v>
      </c>
      <c r="I1023" s="411" t="e">
        <v>#N/A</v>
      </c>
      <c r="J1023" s="411" t="e">
        <v>#N/A</v>
      </c>
      <c r="K1023" s="411" t="e">
        <v>#N/A</v>
      </c>
      <c r="L1023" s="526" t="e">
        <v>#N/A</v>
      </c>
    </row>
    <row r="1024" spans="1:12" ht="15" x14ac:dyDescent="0.25">
      <c r="A1024">
        <v>283640</v>
      </c>
      <c r="B1024" t="e">
        <f t="shared" si="36"/>
        <v>#N/A</v>
      </c>
      <c r="C1024" s="198" t="e">
        <f t="shared" si="37"/>
        <v>#N/A</v>
      </c>
      <c r="D1024" s="526" t="e">
        <v>#N/A</v>
      </c>
      <c r="E1024" s="526" t="e">
        <v>#N/A</v>
      </c>
      <c r="F1024" s="526" t="e">
        <v>#N/A</v>
      </c>
      <c r="G1024" s="526" t="e">
        <v>#N/A</v>
      </c>
      <c r="H1024" s="412" t="e">
        <v>#N/A</v>
      </c>
      <c r="I1024" s="411" t="e">
        <v>#N/A</v>
      </c>
      <c r="J1024" s="411" t="e">
        <v>#N/A</v>
      </c>
      <c r="K1024" s="411" t="e">
        <v>#N/A</v>
      </c>
      <c r="L1024" s="526" t="e">
        <v>#N/A</v>
      </c>
    </row>
    <row r="1025" spans="1:12" ht="15" x14ac:dyDescent="0.25">
      <c r="A1025">
        <v>283641</v>
      </c>
      <c r="B1025" t="e">
        <f t="shared" si="36"/>
        <v>#N/A</v>
      </c>
      <c r="C1025" s="198" t="e">
        <f t="shared" si="37"/>
        <v>#N/A</v>
      </c>
      <c r="D1025" s="526" t="e">
        <v>#N/A</v>
      </c>
      <c r="E1025" s="526" t="e">
        <v>#N/A</v>
      </c>
      <c r="F1025" s="526" t="e">
        <v>#N/A</v>
      </c>
      <c r="G1025" s="526" t="e">
        <v>#N/A</v>
      </c>
      <c r="H1025" s="412" t="e">
        <v>#N/A</v>
      </c>
      <c r="I1025" s="411" t="e">
        <v>#N/A</v>
      </c>
      <c r="J1025" s="411" t="e">
        <v>#N/A</v>
      </c>
      <c r="K1025" s="411" t="e">
        <v>#N/A</v>
      </c>
      <c r="L1025" s="526" t="e">
        <v>#N/A</v>
      </c>
    </row>
    <row r="1026" spans="1:12" ht="15" x14ac:dyDescent="0.25">
      <c r="A1026">
        <v>283976</v>
      </c>
      <c r="B1026" t="e">
        <f t="shared" si="36"/>
        <v>#N/A</v>
      </c>
      <c r="C1026" s="198" t="e">
        <f t="shared" si="37"/>
        <v>#N/A</v>
      </c>
      <c r="D1026" s="526" t="e">
        <v>#N/A</v>
      </c>
      <c r="E1026" s="526" t="e">
        <v>#N/A</v>
      </c>
      <c r="F1026" s="526" t="e">
        <v>#N/A</v>
      </c>
      <c r="G1026" s="526" t="e">
        <v>#N/A</v>
      </c>
      <c r="H1026" s="412" t="e">
        <v>#N/A</v>
      </c>
      <c r="I1026" s="411" t="e">
        <v>#N/A</v>
      </c>
      <c r="J1026" s="411" t="e">
        <v>#N/A</v>
      </c>
      <c r="K1026" s="411" t="e">
        <v>#N/A</v>
      </c>
      <c r="L1026" s="526" t="e">
        <v>#N/A</v>
      </c>
    </row>
    <row r="1027" spans="1:12" ht="15" x14ac:dyDescent="0.25">
      <c r="A1027">
        <v>283982</v>
      </c>
      <c r="B1027" t="e">
        <f t="shared" ref="B1027:B1083" si="38">IF($A$2=1,D1027,IF($A$2=2,F1027,IF($A$2=3,G1027,IF($A$2=4,E1027,"zadat jazyk"))))</f>
        <v>#N/A</v>
      </c>
      <c r="C1027" s="198" t="e">
        <f t="shared" ref="C1027:C1083" si="39">IF($A$2=1,H1027,IF($A$2=2,I1027,IF($A$2=3,J1027,IF($A$2=4,K1027,"zadat jazyk"))))</f>
        <v>#N/A</v>
      </c>
      <c r="D1027" s="526" t="e">
        <v>#N/A</v>
      </c>
      <c r="E1027" s="526" t="e">
        <v>#N/A</v>
      </c>
      <c r="F1027" s="526" t="e">
        <v>#N/A</v>
      </c>
      <c r="G1027" s="526" t="e">
        <v>#N/A</v>
      </c>
      <c r="H1027" s="412" t="e">
        <v>#N/A</v>
      </c>
      <c r="I1027" s="411" t="e">
        <v>#N/A</v>
      </c>
      <c r="J1027" s="411" t="e">
        <v>#N/A</v>
      </c>
      <c r="K1027" s="411" t="e">
        <v>#N/A</v>
      </c>
      <c r="L1027" s="526" t="e">
        <v>#N/A</v>
      </c>
    </row>
    <row r="1028" spans="1:12" ht="15" x14ac:dyDescent="0.25">
      <c r="A1028">
        <v>283984</v>
      </c>
      <c r="B1028" t="e">
        <f t="shared" si="38"/>
        <v>#N/A</v>
      </c>
      <c r="C1028" s="198" t="e">
        <f t="shared" si="39"/>
        <v>#N/A</v>
      </c>
      <c r="D1028" s="526" t="e">
        <v>#N/A</v>
      </c>
      <c r="E1028" s="526" t="e">
        <v>#N/A</v>
      </c>
      <c r="F1028" s="526" t="e">
        <v>#N/A</v>
      </c>
      <c r="G1028" s="526" t="e">
        <v>#N/A</v>
      </c>
      <c r="H1028" s="412" t="e">
        <v>#N/A</v>
      </c>
      <c r="I1028" s="411" t="e">
        <v>#N/A</v>
      </c>
      <c r="J1028" s="411" t="e">
        <v>#N/A</v>
      </c>
      <c r="K1028" s="411" t="e">
        <v>#N/A</v>
      </c>
      <c r="L1028" s="526" t="e">
        <v>#N/A</v>
      </c>
    </row>
    <row r="1029" spans="1:12" ht="15" x14ac:dyDescent="0.25">
      <c r="A1029">
        <v>283986</v>
      </c>
      <c r="B1029" t="e">
        <f t="shared" si="38"/>
        <v>#N/A</v>
      </c>
      <c r="C1029" s="198" t="e">
        <f t="shared" si="39"/>
        <v>#N/A</v>
      </c>
      <c r="D1029" s="526" t="e">
        <v>#N/A</v>
      </c>
      <c r="E1029" s="526" t="e">
        <v>#N/A</v>
      </c>
      <c r="F1029" s="526" t="e">
        <v>#N/A</v>
      </c>
      <c r="G1029" s="526" t="e">
        <v>#N/A</v>
      </c>
      <c r="H1029" s="412" t="e">
        <v>#N/A</v>
      </c>
      <c r="I1029" s="411" t="e">
        <v>#N/A</v>
      </c>
      <c r="J1029" s="411" t="e">
        <v>#N/A</v>
      </c>
      <c r="K1029" s="411" t="e">
        <v>#N/A</v>
      </c>
      <c r="L1029" s="526" t="e">
        <v>#N/A</v>
      </c>
    </row>
    <row r="1030" spans="1:12" ht="15" x14ac:dyDescent="0.25">
      <c r="A1030">
        <v>283987</v>
      </c>
      <c r="B1030" t="e">
        <f t="shared" si="38"/>
        <v>#N/A</v>
      </c>
      <c r="C1030" s="198" t="e">
        <f t="shared" si="39"/>
        <v>#N/A</v>
      </c>
      <c r="D1030" s="526" t="e">
        <v>#N/A</v>
      </c>
      <c r="E1030" s="526" t="e">
        <v>#N/A</v>
      </c>
      <c r="F1030" s="526" t="e">
        <v>#N/A</v>
      </c>
      <c r="G1030" s="526" t="e">
        <v>#N/A</v>
      </c>
      <c r="H1030" s="412" t="e">
        <v>#N/A</v>
      </c>
      <c r="I1030" s="411" t="e">
        <v>#N/A</v>
      </c>
      <c r="J1030" s="411" t="e">
        <v>#N/A</v>
      </c>
      <c r="K1030" s="411" t="e">
        <v>#N/A</v>
      </c>
      <c r="L1030" s="526" t="e">
        <v>#N/A</v>
      </c>
    </row>
    <row r="1031" spans="1:12" ht="15" x14ac:dyDescent="0.25">
      <c r="A1031">
        <v>283989</v>
      </c>
      <c r="B1031" t="e">
        <f t="shared" si="38"/>
        <v>#N/A</v>
      </c>
      <c r="C1031" s="198" t="e">
        <f t="shared" si="39"/>
        <v>#N/A</v>
      </c>
      <c r="D1031" s="526" t="e">
        <v>#N/A</v>
      </c>
      <c r="E1031" s="526" t="e">
        <v>#N/A</v>
      </c>
      <c r="F1031" s="526" t="e">
        <v>#N/A</v>
      </c>
      <c r="G1031" s="526" t="e">
        <v>#N/A</v>
      </c>
      <c r="H1031" s="412" t="e">
        <v>#N/A</v>
      </c>
      <c r="I1031" s="411" t="e">
        <v>#N/A</v>
      </c>
      <c r="J1031" s="411" t="e">
        <v>#N/A</v>
      </c>
      <c r="K1031" s="411" t="e">
        <v>#N/A</v>
      </c>
      <c r="L1031" s="526" t="e">
        <v>#N/A</v>
      </c>
    </row>
    <row r="1032" spans="1:12" ht="15" x14ac:dyDescent="0.25">
      <c r="A1032">
        <v>284383</v>
      </c>
      <c r="B1032" t="e">
        <f t="shared" si="38"/>
        <v>#N/A</v>
      </c>
      <c r="C1032" s="198" t="e">
        <f t="shared" si="39"/>
        <v>#N/A</v>
      </c>
      <c r="D1032" s="526" t="e">
        <v>#N/A</v>
      </c>
      <c r="E1032" s="526" t="e">
        <v>#N/A</v>
      </c>
      <c r="F1032" s="526" t="e">
        <v>#N/A</v>
      </c>
      <c r="G1032" s="526" t="e">
        <v>#N/A</v>
      </c>
      <c r="H1032" s="412" t="e">
        <v>#N/A</v>
      </c>
      <c r="I1032" s="411" t="e">
        <v>#N/A</v>
      </c>
      <c r="J1032" s="411" t="e">
        <v>#N/A</v>
      </c>
      <c r="K1032" s="411" t="e">
        <v>#N/A</v>
      </c>
      <c r="L1032" s="526" t="e">
        <v>#N/A</v>
      </c>
    </row>
    <row r="1033" spans="1:12" ht="15" x14ac:dyDescent="0.25">
      <c r="A1033">
        <v>284385</v>
      </c>
      <c r="B1033" t="e">
        <f t="shared" si="38"/>
        <v>#N/A</v>
      </c>
      <c r="C1033" s="198" t="e">
        <f t="shared" si="39"/>
        <v>#N/A</v>
      </c>
      <c r="D1033" s="526" t="e">
        <v>#N/A</v>
      </c>
      <c r="E1033" s="526" t="e">
        <v>#N/A</v>
      </c>
      <c r="F1033" s="526" t="e">
        <v>#N/A</v>
      </c>
      <c r="G1033" s="526" t="e">
        <v>#N/A</v>
      </c>
      <c r="H1033" s="412" t="e">
        <v>#N/A</v>
      </c>
      <c r="I1033" s="411" t="e">
        <v>#N/A</v>
      </c>
      <c r="J1033" s="411" t="e">
        <v>#N/A</v>
      </c>
      <c r="K1033" s="411" t="e">
        <v>#N/A</v>
      </c>
      <c r="L1033" s="526" t="e">
        <v>#N/A</v>
      </c>
    </row>
    <row r="1034" spans="1:12" ht="15" x14ac:dyDescent="0.25">
      <c r="A1034">
        <v>284386</v>
      </c>
      <c r="B1034" t="e">
        <f t="shared" si="38"/>
        <v>#N/A</v>
      </c>
      <c r="C1034" s="198" t="e">
        <f t="shared" si="39"/>
        <v>#N/A</v>
      </c>
      <c r="D1034" s="526" t="e">
        <v>#N/A</v>
      </c>
      <c r="E1034" s="526" t="e">
        <v>#N/A</v>
      </c>
      <c r="F1034" s="526" t="e">
        <v>#N/A</v>
      </c>
      <c r="G1034" s="526" t="e">
        <v>#N/A</v>
      </c>
      <c r="H1034" s="412" t="e">
        <v>#N/A</v>
      </c>
      <c r="I1034" s="411" t="e">
        <v>#N/A</v>
      </c>
      <c r="J1034" s="411" t="e">
        <v>#N/A</v>
      </c>
      <c r="K1034" s="411" t="e">
        <v>#N/A</v>
      </c>
      <c r="L1034" s="526" t="e">
        <v>#N/A</v>
      </c>
    </row>
    <row r="1035" spans="1:12" ht="15" x14ac:dyDescent="0.25">
      <c r="A1035">
        <v>284387</v>
      </c>
      <c r="B1035" t="e">
        <f t="shared" si="38"/>
        <v>#N/A</v>
      </c>
      <c r="C1035" s="198" t="e">
        <f t="shared" si="39"/>
        <v>#N/A</v>
      </c>
      <c r="D1035" s="526" t="e">
        <v>#N/A</v>
      </c>
      <c r="E1035" s="526" t="e">
        <v>#N/A</v>
      </c>
      <c r="F1035" s="526" t="e">
        <v>#N/A</v>
      </c>
      <c r="G1035" s="526" t="e">
        <v>#N/A</v>
      </c>
      <c r="H1035" s="412" t="e">
        <v>#N/A</v>
      </c>
      <c r="I1035" s="411" t="e">
        <v>#N/A</v>
      </c>
      <c r="J1035" s="411" t="e">
        <v>#N/A</v>
      </c>
      <c r="K1035" s="411" t="e">
        <v>#N/A</v>
      </c>
      <c r="L1035" s="526" t="e">
        <v>#N/A</v>
      </c>
    </row>
    <row r="1036" spans="1:12" ht="15" x14ac:dyDescent="0.25">
      <c r="A1036">
        <v>336187</v>
      </c>
      <c r="B1036" t="e">
        <f t="shared" si="38"/>
        <v>#N/A</v>
      </c>
      <c r="C1036" s="198" t="e">
        <f t="shared" si="39"/>
        <v>#N/A</v>
      </c>
      <c r="D1036" s="526" t="e">
        <v>#N/A</v>
      </c>
      <c r="E1036" s="526" t="e">
        <v>#N/A</v>
      </c>
      <c r="F1036" s="526" t="e">
        <v>#N/A</v>
      </c>
      <c r="G1036" s="526" t="e">
        <v>#N/A</v>
      </c>
      <c r="H1036" s="412" t="e">
        <v>#N/A</v>
      </c>
      <c r="I1036" s="411" t="e">
        <v>#N/A</v>
      </c>
      <c r="J1036" s="411" t="e">
        <v>#N/A</v>
      </c>
      <c r="K1036" s="411" t="e">
        <v>#N/A</v>
      </c>
      <c r="L1036" s="526" t="e">
        <v>#N/A</v>
      </c>
    </row>
    <row r="1037" spans="1:12" ht="15" x14ac:dyDescent="0.25">
      <c r="A1037">
        <v>336386</v>
      </c>
      <c r="B1037" t="e">
        <f t="shared" si="38"/>
        <v>#N/A</v>
      </c>
      <c r="C1037" s="198" t="e">
        <f t="shared" si="39"/>
        <v>#N/A</v>
      </c>
      <c r="D1037" s="526" t="e">
        <v>#N/A</v>
      </c>
      <c r="E1037" s="526" t="e">
        <v>#N/A</v>
      </c>
      <c r="F1037" s="526" t="e">
        <v>#N/A</v>
      </c>
      <c r="G1037" s="526" t="e">
        <v>#N/A</v>
      </c>
      <c r="H1037" s="412" t="e">
        <v>#N/A</v>
      </c>
      <c r="I1037" s="411" t="e">
        <v>#N/A</v>
      </c>
      <c r="J1037" s="411" t="e">
        <v>#N/A</v>
      </c>
      <c r="K1037" s="411" t="e">
        <v>#N/A</v>
      </c>
      <c r="L1037" s="526" t="e">
        <v>#N/A</v>
      </c>
    </row>
    <row r="1038" spans="1:12" ht="15" x14ac:dyDescent="0.25">
      <c r="A1038">
        <v>336387</v>
      </c>
      <c r="B1038" t="e">
        <f t="shared" si="38"/>
        <v>#N/A</v>
      </c>
      <c r="C1038" s="198" t="e">
        <f t="shared" si="39"/>
        <v>#N/A</v>
      </c>
      <c r="D1038" s="526" t="e">
        <v>#N/A</v>
      </c>
      <c r="E1038" s="526" t="e">
        <v>#N/A</v>
      </c>
      <c r="F1038" s="526" t="e">
        <v>#N/A</v>
      </c>
      <c r="G1038" s="526" t="e">
        <v>#N/A</v>
      </c>
      <c r="H1038" s="412" t="e">
        <v>#N/A</v>
      </c>
      <c r="I1038" s="411" t="e">
        <v>#N/A</v>
      </c>
      <c r="J1038" s="411" t="e">
        <v>#N/A</v>
      </c>
      <c r="K1038" s="411" t="e">
        <v>#N/A</v>
      </c>
      <c r="L1038" s="526" t="e">
        <v>#N/A</v>
      </c>
    </row>
    <row r="1039" spans="1:12" ht="15" x14ac:dyDescent="0.25">
      <c r="A1039">
        <v>336389</v>
      </c>
      <c r="B1039" t="e">
        <f t="shared" si="38"/>
        <v>#N/A</v>
      </c>
      <c r="C1039" s="198" t="e">
        <f t="shared" si="39"/>
        <v>#N/A</v>
      </c>
      <c r="D1039" s="526" t="e">
        <v>#N/A</v>
      </c>
      <c r="E1039" s="526" t="e">
        <v>#N/A</v>
      </c>
      <c r="F1039" s="526" t="e">
        <v>#N/A</v>
      </c>
      <c r="G1039" s="526" t="e">
        <v>#N/A</v>
      </c>
      <c r="H1039" s="412" t="e">
        <v>#N/A</v>
      </c>
      <c r="I1039" s="411" t="e">
        <v>#N/A</v>
      </c>
      <c r="J1039" s="411" t="e">
        <v>#N/A</v>
      </c>
      <c r="K1039" s="411" t="e">
        <v>#N/A</v>
      </c>
      <c r="L1039" s="526" t="e">
        <v>#N/A</v>
      </c>
    </row>
    <row r="1040" spans="1:12" ht="15" x14ac:dyDescent="0.25">
      <c r="A1040">
        <v>336390</v>
      </c>
      <c r="B1040" t="e">
        <f t="shared" si="38"/>
        <v>#N/A</v>
      </c>
      <c r="C1040" s="198" t="e">
        <f t="shared" si="39"/>
        <v>#N/A</v>
      </c>
      <c r="D1040" s="526" t="e">
        <v>#N/A</v>
      </c>
      <c r="E1040" s="526" t="e">
        <v>#N/A</v>
      </c>
      <c r="F1040" s="526" t="e">
        <v>#N/A</v>
      </c>
      <c r="G1040" s="526" t="e">
        <v>#N/A</v>
      </c>
      <c r="H1040" s="412" t="e">
        <v>#N/A</v>
      </c>
      <c r="I1040" s="411" t="e">
        <v>#N/A</v>
      </c>
      <c r="J1040" s="411" t="e">
        <v>#N/A</v>
      </c>
      <c r="K1040" s="411" t="e">
        <v>#N/A</v>
      </c>
      <c r="L1040" s="526" t="e">
        <v>#N/A</v>
      </c>
    </row>
    <row r="1041" spans="1:12" ht="15" x14ac:dyDescent="0.25">
      <c r="A1041">
        <v>315067</v>
      </c>
      <c r="B1041" t="e">
        <f t="shared" si="38"/>
        <v>#N/A</v>
      </c>
      <c r="C1041" s="198" t="e">
        <f t="shared" si="39"/>
        <v>#N/A</v>
      </c>
      <c r="D1041" s="526" t="e">
        <v>#N/A</v>
      </c>
      <c r="E1041" s="526" t="e">
        <v>#N/A</v>
      </c>
      <c r="F1041" s="526" t="e">
        <v>#N/A</v>
      </c>
      <c r="G1041" s="526" t="e">
        <v>#N/A</v>
      </c>
      <c r="H1041" s="412" t="e">
        <v>#N/A</v>
      </c>
      <c r="I1041" s="411" t="e">
        <v>#N/A</v>
      </c>
      <c r="J1041" s="411" t="e">
        <v>#N/A</v>
      </c>
      <c r="K1041" s="411" t="e">
        <v>#N/A</v>
      </c>
      <c r="L1041" s="526" t="e">
        <v>#N/A</v>
      </c>
    </row>
    <row r="1042" spans="1:12" ht="15" x14ac:dyDescent="0.25">
      <c r="A1042">
        <v>386764</v>
      </c>
      <c r="B1042" t="e">
        <f t="shared" si="38"/>
        <v>#N/A</v>
      </c>
      <c r="C1042" s="198" t="e">
        <f t="shared" si="39"/>
        <v>#N/A</v>
      </c>
      <c r="D1042" s="526" t="e">
        <v>#N/A</v>
      </c>
      <c r="E1042" s="526" t="e">
        <v>#N/A</v>
      </c>
      <c r="F1042" s="526" t="e">
        <v>#N/A</v>
      </c>
      <c r="G1042" s="526" t="e">
        <v>#N/A</v>
      </c>
      <c r="H1042" s="412" t="e">
        <v>#N/A</v>
      </c>
      <c r="I1042" s="411" t="e">
        <v>#N/A</v>
      </c>
      <c r="J1042" s="411" t="e">
        <v>#N/A</v>
      </c>
      <c r="K1042" s="411" t="e">
        <v>#N/A</v>
      </c>
      <c r="L1042" s="526" t="e">
        <v>#N/A</v>
      </c>
    </row>
    <row r="1043" spans="1:12" ht="15" x14ac:dyDescent="0.25">
      <c r="A1043">
        <v>387239</v>
      </c>
      <c r="B1043" t="e">
        <f t="shared" si="38"/>
        <v>#N/A</v>
      </c>
      <c r="C1043" s="198" t="e">
        <f t="shared" si="39"/>
        <v>#N/A</v>
      </c>
      <c r="D1043" s="526" t="e">
        <v>#N/A</v>
      </c>
      <c r="E1043" s="526" t="e">
        <v>#N/A</v>
      </c>
      <c r="F1043" s="526" t="e">
        <v>#N/A</v>
      </c>
      <c r="G1043" s="526" t="e">
        <v>#N/A</v>
      </c>
      <c r="H1043" s="412" t="e">
        <v>#N/A</v>
      </c>
      <c r="I1043" s="411" t="e">
        <v>#N/A</v>
      </c>
      <c r="J1043" s="411" t="e">
        <v>#N/A</v>
      </c>
      <c r="K1043" s="411" t="e">
        <v>#N/A</v>
      </c>
      <c r="L1043" s="526" t="e">
        <v>#N/A</v>
      </c>
    </row>
    <row r="1044" spans="1:12" ht="15" x14ac:dyDescent="0.25">
      <c r="A1044">
        <v>387290</v>
      </c>
      <c r="B1044" t="e">
        <f t="shared" si="38"/>
        <v>#N/A</v>
      </c>
      <c r="C1044" s="198" t="e">
        <f t="shared" si="39"/>
        <v>#N/A</v>
      </c>
      <c r="D1044" s="526" t="e">
        <v>#N/A</v>
      </c>
      <c r="E1044" s="526" t="e">
        <v>#N/A</v>
      </c>
      <c r="F1044" s="526" t="e">
        <v>#N/A</v>
      </c>
      <c r="G1044" s="526" t="e">
        <v>#N/A</v>
      </c>
      <c r="H1044" s="412" t="e">
        <v>#N/A</v>
      </c>
      <c r="I1044" s="411" t="e">
        <v>#N/A</v>
      </c>
      <c r="J1044" s="411" t="e">
        <v>#N/A</v>
      </c>
      <c r="K1044" s="411" t="e">
        <v>#N/A</v>
      </c>
      <c r="L1044" s="526" t="e">
        <v>#N/A</v>
      </c>
    </row>
    <row r="1045" spans="1:12" ht="15" x14ac:dyDescent="0.25">
      <c r="A1045">
        <v>387397</v>
      </c>
      <c r="B1045" t="str">
        <f t="shared" si="38"/>
        <v/>
      </c>
      <c r="C1045" s="198">
        <f t="shared" si="39"/>
        <v>0</v>
      </c>
      <c r="D1045" s="526" t="s">
        <v>1319</v>
      </c>
      <c r="E1045" s="526" t="s">
        <v>1772</v>
      </c>
      <c r="F1045" s="526" t="s">
        <v>71</v>
      </c>
      <c r="G1045" s="526" t="s">
        <v>71</v>
      </c>
      <c r="H1045" s="412">
        <v>0</v>
      </c>
      <c r="I1045" s="411">
        <v>0</v>
      </c>
      <c r="J1045" s="411">
        <v>0</v>
      </c>
      <c r="K1045" s="411">
        <v>0</v>
      </c>
      <c r="L1045" s="526" t="s">
        <v>555</v>
      </c>
    </row>
    <row r="1046" spans="1:12" ht="15" x14ac:dyDescent="0.25">
      <c r="A1046">
        <v>408419</v>
      </c>
      <c r="B1046" t="e">
        <f t="shared" si="38"/>
        <v>#N/A</v>
      </c>
      <c r="C1046" s="198" t="e">
        <f t="shared" si="39"/>
        <v>#N/A</v>
      </c>
      <c r="D1046" s="526" t="e">
        <v>#N/A</v>
      </c>
      <c r="E1046" s="526" t="e">
        <v>#N/A</v>
      </c>
      <c r="F1046" s="526" t="e">
        <v>#N/A</v>
      </c>
      <c r="G1046" s="526" t="e">
        <v>#N/A</v>
      </c>
      <c r="H1046" s="412" t="e">
        <v>#N/A</v>
      </c>
      <c r="I1046" s="411" t="e">
        <v>#N/A</v>
      </c>
      <c r="J1046" s="411" t="e">
        <v>#N/A</v>
      </c>
      <c r="K1046" s="411" t="e">
        <v>#N/A</v>
      </c>
      <c r="L1046" s="526" t="e">
        <v>#N/A</v>
      </c>
    </row>
    <row r="1047" spans="1:12" ht="15" x14ac:dyDescent="0.25">
      <c r="A1047">
        <v>408420</v>
      </c>
      <c r="B1047" t="e">
        <f t="shared" si="38"/>
        <v>#N/A</v>
      </c>
      <c r="C1047" s="198" t="e">
        <f t="shared" si="39"/>
        <v>#N/A</v>
      </c>
      <c r="D1047" s="526" t="e">
        <v>#N/A</v>
      </c>
      <c r="E1047" s="526" t="e">
        <v>#N/A</v>
      </c>
      <c r="F1047" s="526" t="e">
        <v>#N/A</v>
      </c>
      <c r="G1047" s="526" t="e">
        <v>#N/A</v>
      </c>
      <c r="H1047" s="412" t="e">
        <v>#N/A</v>
      </c>
      <c r="I1047" s="411" t="e">
        <v>#N/A</v>
      </c>
      <c r="J1047" s="411" t="e">
        <v>#N/A</v>
      </c>
      <c r="K1047" s="411" t="e">
        <v>#N/A</v>
      </c>
      <c r="L1047" s="526" t="e">
        <v>#N/A</v>
      </c>
    </row>
    <row r="1048" spans="1:12" ht="15" x14ac:dyDescent="0.25">
      <c r="A1048">
        <v>299606</v>
      </c>
      <c r="B1048" t="e">
        <f t="shared" si="38"/>
        <v>#N/A</v>
      </c>
      <c r="C1048" s="198" t="e">
        <f t="shared" si="39"/>
        <v>#N/A</v>
      </c>
      <c r="D1048" s="526" t="e">
        <v>#N/A</v>
      </c>
      <c r="E1048" s="526" t="e">
        <v>#N/A</v>
      </c>
      <c r="F1048" s="526" t="e">
        <v>#N/A</v>
      </c>
      <c r="G1048" s="526" t="e">
        <v>#N/A</v>
      </c>
      <c r="H1048" s="412" t="e">
        <v>#N/A</v>
      </c>
      <c r="I1048" s="411" t="e">
        <v>#N/A</v>
      </c>
      <c r="J1048" s="411" t="e">
        <v>#N/A</v>
      </c>
      <c r="K1048" s="411" t="e">
        <v>#N/A</v>
      </c>
      <c r="L1048" s="526" t="e">
        <v>#N/A</v>
      </c>
    </row>
    <row r="1049" spans="1:12" ht="15" x14ac:dyDescent="0.25">
      <c r="A1049">
        <v>299607</v>
      </c>
      <c r="B1049" t="e">
        <f t="shared" si="38"/>
        <v>#N/A</v>
      </c>
      <c r="C1049" s="198" t="e">
        <f t="shared" si="39"/>
        <v>#N/A</v>
      </c>
      <c r="D1049" s="526" t="e">
        <v>#N/A</v>
      </c>
      <c r="E1049" s="526" t="e">
        <v>#N/A</v>
      </c>
      <c r="F1049" s="526" t="e">
        <v>#N/A</v>
      </c>
      <c r="G1049" s="526" t="e">
        <v>#N/A</v>
      </c>
      <c r="H1049" s="412" t="e">
        <v>#N/A</v>
      </c>
      <c r="I1049" s="411" t="e">
        <v>#N/A</v>
      </c>
      <c r="J1049" s="411" t="e">
        <v>#N/A</v>
      </c>
      <c r="K1049" s="411" t="e">
        <v>#N/A</v>
      </c>
      <c r="L1049" s="526" t="e">
        <v>#N/A</v>
      </c>
    </row>
    <row r="1050" spans="1:12" ht="15" x14ac:dyDescent="0.25">
      <c r="A1050">
        <v>299608</v>
      </c>
      <c r="B1050" t="e">
        <f t="shared" si="38"/>
        <v>#N/A</v>
      </c>
      <c r="C1050" s="198" t="e">
        <f t="shared" si="39"/>
        <v>#N/A</v>
      </c>
      <c r="D1050" s="526" t="e">
        <v>#N/A</v>
      </c>
      <c r="E1050" s="526" t="e">
        <v>#N/A</v>
      </c>
      <c r="F1050" s="526" t="e">
        <v>#N/A</v>
      </c>
      <c r="G1050" s="526" t="e">
        <v>#N/A</v>
      </c>
      <c r="H1050" s="412" t="e">
        <v>#N/A</v>
      </c>
      <c r="I1050" s="411" t="e">
        <v>#N/A</v>
      </c>
      <c r="J1050" s="411" t="e">
        <v>#N/A</v>
      </c>
      <c r="K1050" s="411" t="e">
        <v>#N/A</v>
      </c>
      <c r="L1050" s="526" t="e">
        <v>#N/A</v>
      </c>
    </row>
    <row r="1051" spans="1:12" ht="15" x14ac:dyDescent="0.25">
      <c r="A1051">
        <v>299609</v>
      </c>
      <c r="B1051" t="e">
        <f t="shared" si="38"/>
        <v>#N/A</v>
      </c>
      <c r="C1051" s="198" t="e">
        <f t="shared" si="39"/>
        <v>#N/A</v>
      </c>
      <c r="D1051" s="526" t="e">
        <v>#N/A</v>
      </c>
      <c r="E1051" s="526" t="e">
        <v>#N/A</v>
      </c>
      <c r="F1051" s="526" t="e">
        <v>#N/A</v>
      </c>
      <c r="G1051" s="526" t="e">
        <v>#N/A</v>
      </c>
      <c r="H1051" s="412" t="e">
        <v>#N/A</v>
      </c>
      <c r="I1051" s="411" t="e">
        <v>#N/A</v>
      </c>
      <c r="J1051" s="411" t="e">
        <v>#N/A</v>
      </c>
      <c r="K1051" s="411" t="e">
        <v>#N/A</v>
      </c>
      <c r="L1051" s="526" t="e">
        <v>#N/A</v>
      </c>
    </row>
    <row r="1052" spans="1:12" ht="15" x14ac:dyDescent="0.25">
      <c r="A1052">
        <v>347156</v>
      </c>
      <c r="B1052" t="e">
        <f t="shared" si="38"/>
        <v>#N/A</v>
      </c>
      <c r="C1052" s="198" t="e">
        <f t="shared" si="39"/>
        <v>#N/A</v>
      </c>
      <c r="D1052" s="526" t="e">
        <v>#N/A</v>
      </c>
      <c r="E1052" s="526" t="e">
        <v>#N/A</v>
      </c>
      <c r="F1052" s="526" t="e">
        <v>#N/A</v>
      </c>
      <c r="G1052" s="526" t="e">
        <v>#N/A</v>
      </c>
      <c r="H1052" s="412" t="e">
        <v>#N/A</v>
      </c>
      <c r="I1052" s="411" t="e">
        <v>#N/A</v>
      </c>
      <c r="J1052" s="411" t="e">
        <v>#N/A</v>
      </c>
      <c r="K1052" s="411" t="e">
        <v>#N/A</v>
      </c>
      <c r="L1052" s="526" t="e">
        <v>#N/A</v>
      </c>
    </row>
    <row r="1053" spans="1:12" ht="15" x14ac:dyDescent="0.25">
      <c r="A1053">
        <v>347159</v>
      </c>
      <c r="B1053" t="e">
        <f t="shared" si="38"/>
        <v>#N/A</v>
      </c>
      <c r="C1053" s="198" t="e">
        <f t="shared" si="39"/>
        <v>#N/A</v>
      </c>
      <c r="D1053" s="526" t="e">
        <v>#N/A</v>
      </c>
      <c r="E1053" s="526" t="e">
        <v>#N/A</v>
      </c>
      <c r="F1053" s="526" t="e">
        <v>#N/A</v>
      </c>
      <c r="G1053" s="526" t="e">
        <v>#N/A</v>
      </c>
      <c r="H1053" s="412" t="e">
        <v>#N/A</v>
      </c>
      <c r="I1053" s="411" t="e">
        <v>#N/A</v>
      </c>
      <c r="J1053" s="411" t="e">
        <v>#N/A</v>
      </c>
      <c r="K1053" s="411" t="e">
        <v>#N/A</v>
      </c>
      <c r="L1053" s="526" t="e">
        <v>#N/A</v>
      </c>
    </row>
    <row r="1054" spans="1:12" ht="15" x14ac:dyDescent="0.25">
      <c r="A1054">
        <v>347160</v>
      </c>
      <c r="B1054" t="e">
        <f t="shared" si="38"/>
        <v>#N/A</v>
      </c>
      <c r="C1054" s="198" t="e">
        <f t="shared" si="39"/>
        <v>#N/A</v>
      </c>
      <c r="D1054" s="526" t="e">
        <v>#N/A</v>
      </c>
      <c r="E1054" s="526" t="e">
        <v>#N/A</v>
      </c>
      <c r="F1054" s="526" t="e">
        <v>#N/A</v>
      </c>
      <c r="G1054" s="526" t="e">
        <v>#N/A</v>
      </c>
      <c r="H1054" s="412" t="e">
        <v>#N/A</v>
      </c>
      <c r="I1054" s="411" t="e">
        <v>#N/A</v>
      </c>
      <c r="J1054" s="411" t="e">
        <v>#N/A</v>
      </c>
      <c r="K1054" s="411" t="e">
        <v>#N/A</v>
      </c>
      <c r="L1054" s="526" t="e">
        <v>#N/A</v>
      </c>
    </row>
    <row r="1055" spans="1:12" ht="15" x14ac:dyDescent="0.25">
      <c r="A1055">
        <v>347161</v>
      </c>
      <c r="B1055" t="e">
        <f t="shared" si="38"/>
        <v>#N/A</v>
      </c>
      <c r="C1055" s="198" t="e">
        <f t="shared" si="39"/>
        <v>#N/A</v>
      </c>
      <c r="D1055" s="526" t="e">
        <v>#N/A</v>
      </c>
      <c r="E1055" s="526" t="e">
        <v>#N/A</v>
      </c>
      <c r="F1055" s="526" t="e">
        <v>#N/A</v>
      </c>
      <c r="G1055" s="526" t="e">
        <v>#N/A</v>
      </c>
      <c r="H1055" s="412" t="e">
        <v>#N/A</v>
      </c>
      <c r="I1055" s="411" t="e">
        <v>#N/A</v>
      </c>
      <c r="J1055" s="411" t="e">
        <v>#N/A</v>
      </c>
      <c r="K1055" s="411" t="e">
        <v>#N/A</v>
      </c>
      <c r="L1055" s="526" t="e">
        <v>#N/A</v>
      </c>
    </row>
    <row r="1056" spans="1:12" ht="15" x14ac:dyDescent="0.25">
      <c r="A1056">
        <v>347163</v>
      </c>
      <c r="B1056" t="e">
        <f t="shared" si="38"/>
        <v>#N/A</v>
      </c>
      <c r="C1056" s="198" t="e">
        <f t="shared" si="39"/>
        <v>#N/A</v>
      </c>
      <c r="D1056" s="526" t="e">
        <v>#N/A</v>
      </c>
      <c r="E1056" s="526" t="e">
        <v>#N/A</v>
      </c>
      <c r="F1056" s="526" t="e">
        <v>#N/A</v>
      </c>
      <c r="G1056" s="526" t="e">
        <v>#N/A</v>
      </c>
      <c r="H1056" s="412" t="e">
        <v>#N/A</v>
      </c>
      <c r="I1056" s="411" t="e">
        <v>#N/A</v>
      </c>
      <c r="J1056" s="411" t="e">
        <v>#N/A</v>
      </c>
      <c r="K1056" s="411" t="e">
        <v>#N/A</v>
      </c>
      <c r="L1056" s="526" t="e">
        <v>#N/A</v>
      </c>
    </row>
    <row r="1057" spans="1:12" ht="15" x14ac:dyDescent="0.25">
      <c r="A1057">
        <v>367470</v>
      </c>
      <c r="B1057" t="e">
        <f t="shared" si="38"/>
        <v>#N/A</v>
      </c>
      <c r="C1057" s="198" t="e">
        <f t="shared" si="39"/>
        <v>#N/A</v>
      </c>
      <c r="D1057" s="526" t="e">
        <v>#N/A</v>
      </c>
      <c r="E1057" s="526" t="e">
        <v>#N/A</v>
      </c>
      <c r="F1057" s="526" t="e">
        <v>#N/A</v>
      </c>
      <c r="G1057" s="526" t="e">
        <v>#N/A</v>
      </c>
      <c r="H1057" s="412" t="e">
        <v>#N/A</v>
      </c>
      <c r="I1057" s="411" t="e">
        <v>#N/A</v>
      </c>
      <c r="J1057" s="411" t="e">
        <v>#N/A</v>
      </c>
      <c r="K1057" s="411" t="e">
        <v>#N/A</v>
      </c>
      <c r="L1057" s="526" t="e">
        <v>#N/A</v>
      </c>
    </row>
    <row r="1058" spans="1:12" ht="15" x14ac:dyDescent="0.25">
      <c r="A1058">
        <v>367472</v>
      </c>
      <c r="B1058" t="e">
        <f t="shared" si="38"/>
        <v>#N/A</v>
      </c>
      <c r="C1058" s="198" t="e">
        <f t="shared" si="39"/>
        <v>#N/A</v>
      </c>
      <c r="D1058" s="526" t="e">
        <v>#N/A</v>
      </c>
      <c r="E1058" s="526" t="e">
        <v>#N/A</v>
      </c>
      <c r="F1058" s="526" t="e">
        <v>#N/A</v>
      </c>
      <c r="G1058" s="526" t="e">
        <v>#N/A</v>
      </c>
      <c r="H1058" s="412" t="e">
        <v>#N/A</v>
      </c>
      <c r="I1058" s="411" t="e">
        <v>#N/A</v>
      </c>
      <c r="J1058" s="411" t="e">
        <v>#N/A</v>
      </c>
      <c r="K1058" s="411" t="e">
        <v>#N/A</v>
      </c>
      <c r="L1058" s="526" t="e">
        <v>#N/A</v>
      </c>
    </row>
    <row r="1059" spans="1:12" ht="15" x14ac:dyDescent="0.25">
      <c r="A1059">
        <v>367474</v>
      </c>
      <c r="B1059" t="e">
        <f t="shared" si="38"/>
        <v>#N/A</v>
      </c>
      <c r="C1059" s="198" t="e">
        <f t="shared" si="39"/>
        <v>#N/A</v>
      </c>
      <c r="D1059" s="526" t="e">
        <v>#N/A</v>
      </c>
      <c r="E1059" s="526" t="e">
        <v>#N/A</v>
      </c>
      <c r="F1059" s="526" t="e">
        <v>#N/A</v>
      </c>
      <c r="G1059" s="526" t="e">
        <v>#N/A</v>
      </c>
      <c r="H1059" s="412" t="e">
        <v>#N/A</v>
      </c>
      <c r="I1059" s="411" t="e">
        <v>#N/A</v>
      </c>
      <c r="J1059" s="411" t="e">
        <v>#N/A</v>
      </c>
      <c r="K1059" s="411" t="e">
        <v>#N/A</v>
      </c>
      <c r="L1059" s="526" t="e">
        <v>#N/A</v>
      </c>
    </row>
    <row r="1060" spans="1:12" ht="15" x14ac:dyDescent="0.25">
      <c r="A1060">
        <v>367475</v>
      </c>
      <c r="B1060" t="e">
        <f t="shared" si="38"/>
        <v>#N/A</v>
      </c>
      <c r="C1060" s="198" t="e">
        <f t="shared" si="39"/>
        <v>#N/A</v>
      </c>
      <c r="D1060" s="526" t="e">
        <v>#N/A</v>
      </c>
      <c r="E1060" s="526" t="e">
        <v>#N/A</v>
      </c>
      <c r="F1060" s="526" t="e">
        <v>#N/A</v>
      </c>
      <c r="G1060" s="526" t="e">
        <v>#N/A</v>
      </c>
      <c r="H1060" s="412" t="e">
        <v>#N/A</v>
      </c>
      <c r="I1060" s="411" t="e">
        <v>#N/A</v>
      </c>
      <c r="J1060" s="411" t="e">
        <v>#N/A</v>
      </c>
      <c r="K1060" s="411" t="e">
        <v>#N/A</v>
      </c>
      <c r="L1060" s="526" t="e">
        <v>#N/A</v>
      </c>
    </row>
    <row r="1061" spans="1:12" ht="15" x14ac:dyDescent="0.25">
      <c r="A1061">
        <v>367537</v>
      </c>
      <c r="B1061" t="str">
        <f t="shared" si="38"/>
        <v>SEVROLL 02385 Oxford úchytová lišta 2,7m strieborná</v>
      </c>
      <c r="C1061" s="198">
        <f t="shared" si="39"/>
        <v>24.590260000000001</v>
      </c>
      <c r="D1061" s="526" t="s">
        <v>1320</v>
      </c>
      <c r="E1061" s="526" t="s">
        <v>1773</v>
      </c>
      <c r="F1061" s="526" t="s">
        <v>5788</v>
      </c>
      <c r="G1061" s="526" t="s">
        <v>2353</v>
      </c>
      <c r="H1061" s="412">
        <v>680.88037999999995</v>
      </c>
      <c r="I1061" s="411">
        <v>24.590260000000001</v>
      </c>
      <c r="J1061" s="411">
        <v>94.757999999999996</v>
      </c>
      <c r="K1061" s="411">
        <v>9360.8804700000001</v>
      </c>
      <c r="L1061" s="526" t="s">
        <v>554</v>
      </c>
    </row>
    <row r="1062" spans="1:12" ht="15" x14ac:dyDescent="0.25">
      <c r="A1062">
        <v>367887</v>
      </c>
      <c r="B1062" t="e">
        <f t="shared" si="38"/>
        <v>#N/A</v>
      </c>
      <c r="C1062" s="198" t="e">
        <f t="shared" si="39"/>
        <v>#N/A</v>
      </c>
      <c r="D1062" s="526" t="e">
        <v>#N/A</v>
      </c>
      <c r="E1062" s="526" t="e">
        <v>#N/A</v>
      </c>
      <c r="F1062" s="526" t="e">
        <v>#N/A</v>
      </c>
      <c r="G1062" s="526" t="e">
        <v>#N/A</v>
      </c>
      <c r="H1062" s="412" t="e">
        <v>#N/A</v>
      </c>
      <c r="I1062" s="411" t="e">
        <v>#N/A</v>
      </c>
      <c r="J1062" s="411" t="e">
        <v>#N/A</v>
      </c>
      <c r="K1062" s="411" t="e">
        <v>#N/A</v>
      </c>
      <c r="L1062" s="526" t="e">
        <v>#N/A</v>
      </c>
    </row>
    <row r="1063" spans="1:12" ht="15" x14ac:dyDescent="0.25">
      <c r="A1063">
        <v>367888</v>
      </c>
      <c r="B1063" t="e">
        <f t="shared" si="38"/>
        <v>#N/A</v>
      </c>
      <c r="C1063" s="198" t="e">
        <f t="shared" si="39"/>
        <v>#N/A</v>
      </c>
      <c r="D1063" s="526" t="e">
        <v>#N/A</v>
      </c>
      <c r="E1063" s="526" t="e">
        <v>#N/A</v>
      </c>
      <c r="F1063" s="526" t="e">
        <v>#N/A</v>
      </c>
      <c r="G1063" s="526" t="e">
        <v>#N/A</v>
      </c>
      <c r="H1063" s="412" t="e">
        <v>#N/A</v>
      </c>
      <c r="I1063" s="411" t="e">
        <v>#N/A</v>
      </c>
      <c r="J1063" s="411" t="e">
        <v>#N/A</v>
      </c>
      <c r="K1063" s="411" t="e">
        <v>#N/A</v>
      </c>
      <c r="L1063" s="526" t="e">
        <v>#N/A</v>
      </c>
    </row>
    <row r="1064" spans="1:12" ht="15" x14ac:dyDescent="0.25">
      <c r="A1064">
        <v>367889</v>
      </c>
      <c r="B1064" t="e">
        <f t="shared" si="38"/>
        <v>#N/A</v>
      </c>
      <c r="C1064" s="198" t="e">
        <f t="shared" si="39"/>
        <v>#N/A</v>
      </c>
      <c r="D1064" s="526" t="e">
        <v>#N/A</v>
      </c>
      <c r="E1064" s="526" t="e">
        <v>#N/A</v>
      </c>
      <c r="F1064" s="526" t="e">
        <v>#N/A</v>
      </c>
      <c r="G1064" s="526" t="e">
        <v>#N/A</v>
      </c>
      <c r="H1064" s="412" t="e">
        <v>#N/A</v>
      </c>
      <c r="I1064" s="411" t="e">
        <v>#N/A</v>
      </c>
      <c r="J1064" s="411" t="e">
        <v>#N/A</v>
      </c>
      <c r="K1064" s="411" t="e">
        <v>#N/A</v>
      </c>
      <c r="L1064" s="526" t="e">
        <v>#N/A</v>
      </c>
    </row>
    <row r="1065" spans="1:12" ht="15" x14ac:dyDescent="0.25">
      <c r="A1065">
        <v>367890</v>
      </c>
      <c r="B1065" t="e">
        <f t="shared" si="38"/>
        <v>#N/A</v>
      </c>
      <c r="C1065" s="198" t="e">
        <f t="shared" si="39"/>
        <v>#N/A</v>
      </c>
      <c r="D1065" s="526" t="e">
        <v>#N/A</v>
      </c>
      <c r="E1065" s="526" t="e">
        <v>#N/A</v>
      </c>
      <c r="F1065" s="526" t="e">
        <v>#N/A</v>
      </c>
      <c r="G1065" s="526" t="e">
        <v>#N/A</v>
      </c>
      <c r="H1065" s="412" t="e">
        <v>#N/A</v>
      </c>
      <c r="I1065" s="411" t="e">
        <v>#N/A</v>
      </c>
      <c r="J1065" s="411" t="e">
        <v>#N/A</v>
      </c>
      <c r="K1065" s="411" t="e">
        <v>#N/A</v>
      </c>
      <c r="L1065" s="526" t="e">
        <v>#N/A</v>
      </c>
    </row>
    <row r="1066" spans="1:12" ht="15" x14ac:dyDescent="0.25">
      <c r="A1066">
        <v>367929</v>
      </c>
      <c r="B1066" t="e">
        <f t="shared" si="38"/>
        <v>#N/A</v>
      </c>
      <c r="C1066" s="198" t="e">
        <f t="shared" si="39"/>
        <v>#N/A</v>
      </c>
      <c r="D1066" s="526" t="e">
        <v>#N/A</v>
      </c>
      <c r="E1066" s="526" t="e">
        <v>#N/A</v>
      </c>
      <c r="F1066" s="526" t="e">
        <v>#N/A</v>
      </c>
      <c r="G1066" s="526" t="e">
        <v>#N/A</v>
      </c>
      <c r="H1066" s="412" t="e">
        <v>#N/A</v>
      </c>
      <c r="I1066" s="411" t="e">
        <v>#N/A</v>
      </c>
      <c r="J1066" s="411" t="e">
        <v>#N/A</v>
      </c>
      <c r="K1066" s="411" t="e">
        <v>#N/A</v>
      </c>
      <c r="L1066" s="526" t="e">
        <v>#N/A</v>
      </c>
    </row>
    <row r="1067" spans="1:12" ht="15" x14ac:dyDescent="0.25">
      <c r="A1067">
        <v>368066</v>
      </c>
      <c r="B1067" t="str">
        <f t="shared" si="38"/>
        <v>SEVROLL 02552 Ekonomik úchytová lišta 2,7m strieborná</v>
      </c>
      <c r="C1067" s="198">
        <f t="shared" si="39"/>
        <v>12.30803</v>
      </c>
      <c r="D1067" s="526" t="s">
        <v>1321</v>
      </c>
      <c r="E1067" s="526" t="s">
        <v>1774</v>
      </c>
      <c r="F1067" s="526" t="s">
        <v>5789</v>
      </c>
      <c r="G1067" s="526" t="s">
        <v>2354</v>
      </c>
      <c r="H1067" s="412">
        <v>340.79741999999999</v>
      </c>
      <c r="I1067" s="411">
        <v>12.30803</v>
      </c>
      <c r="J1067" s="411">
        <v>41.581099999999999</v>
      </c>
      <c r="K1067" s="411">
        <v>4685.3517300000003</v>
      </c>
      <c r="L1067" s="526" t="s">
        <v>554</v>
      </c>
    </row>
    <row r="1068" spans="1:12" ht="15" x14ac:dyDescent="0.25">
      <c r="A1068">
        <v>368068</v>
      </c>
      <c r="B1068" t="str">
        <f t="shared" si="38"/>
        <v>SEVROLL 02553 Ekonomik horné vedenie 2m strieborná</v>
      </c>
      <c r="C1068" s="198">
        <f t="shared" si="39"/>
        <v>16.900970000000001</v>
      </c>
      <c r="D1068" s="526" t="s">
        <v>1322</v>
      </c>
      <c r="E1068" s="526" t="s">
        <v>1775</v>
      </c>
      <c r="F1068" s="526" t="s">
        <v>5790</v>
      </c>
      <c r="G1068" s="526" t="s">
        <v>2355</v>
      </c>
      <c r="H1068" s="412">
        <v>467.97129999999999</v>
      </c>
      <c r="I1068" s="411">
        <v>16.900970000000001</v>
      </c>
      <c r="J1068" s="411">
        <v>59.374200000000002</v>
      </c>
      <c r="K1068" s="411">
        <v>6433.7637000000004</v>
      </c>
      <c r="L1068" s="526" t="s">
        <v>554</v>
      </c>
    </row>
    <row r="1069" spans="1:12" ht="15" x14ac:dyDescent="0.25">
      <c r="A1069">
        <v>368069</v>
      </c>
      <c r="B1069" t="str">
        <f t="shared" si="38"/>
        <v>SEVROLL 02554 Ekonomik horné vedenie 3m strieborná</v>
      </c>
      <c r="C1069" s="198">
        <f t="shared" si="39"/>
        <v>25.312740000000002</v>
      </c>
      <c r="D1069" s="526" t="s">
        <v>1323</v>
      </c>
      <c r="E1069" s="526" t="s">
        <v>1776</v>
      </c>
      <c r="F1069" s="526" t="s">
        <v>5791</v>
      </c>
      <c r="G1069" s="526" t="s">
        <v>2356</v>
      </c>
      <c r="H1069" s="412">
        <v>700.88526000000002</v>
      </c>
      <c r="I1069" s="411">
        <v>25.312740000000002</v>
      </c>
      <c r="J1069" s="411">
        <v>89.086799999999997</v>
      </c>
      <c r="K1069" s="411">
        <v>9635.9118099999996</v>
      </c>
      <c r="L1069" s="526" t="s">
        <v>554</v>
      </c>
    </row>
    <row r="1070" spans="1:12" ht="15" x14ac:dyDescent="0.25">
      <c r="A1070">
        <v>368070</v>
      </c>
      <c r="B1070" t="str">
        <f t="shared" si="38"/>
        <v>SEVROLL 02894 Ekonomik horné vedenie 6m strieborná</v>
      </c>
      <c r="C1070" s="198">
        <f t="shared" si="39"/>
        <v>50.625489999999999</v>
      </c>
      <c r="D1070" s="526" t="s">
        <v>1324</v>
      </c>
      <c r="E1070" s="526" t="s">
        <v>1777</v>
      </c>
      <c r="F1070" s="526" t="s">
        <v>5792</v>
      </c>
      <c r="G1070" s="526" t="s">
        <v>2357</v>
      </c>
      <c r="H1070" s="412">
        <v>1401.77052</v>
      </c>
      <c r="I1070" s="411">
        <v>50.625489999999999</v>
      </c>
      <c r="J1070" s="411">
        <v>178.143</v>
      </c>
      <c r="K1070" s="411">
        <v>19271.823629999999</v>
      </c>
      <c r="L1070" s="526" t="s">
        <v>554</v>
      </c>
    </row>
    <row r="1071" spans="1:12" ht="15" x14ac:dyDescent="0.25">
      <c r="A1071">
        <v>368071</v>
      </c>
      <c r="B1071" t="str">
        <f t="shared" si="38"/>
        <v>SEVROLL 02555 Ekonomik spodné vedenie 2m strieborná</v>
      </c>
      <c r="C1071" s="198">
        <f t="shared" si="39"/>
        <v>9.26328</v>
      </c>
      <c r="D1071" s="526" t="s">
        <v>1325</v>
      </c>
      <c r="E1071" s="526" t="s">
        <v>1778</v>
      </c>
      <c r="F1071" s="526" t="s">
        <v>5793</v>
      </c>
      <c r="G1071" s="526" t="s">
        <v>2358</v>
      </c>
      <c r="H1071" s="412">
        <v>256.49113999999997</v>
      </c>
      <c r="I1071" s="411">
        <v>9.26328</v>
      </c>
      <c r="J1071" s="411">
        <v>32.823599999999999</v>
      </c>
      <c r="K1071" s="411">
        <v>3526.2917900000002</v>
      </c>
      <c r="L1071" s="526" t="s">
        <v>554</v>
      </c>
    </row>
    <row r="1072" spans="1:12" ht="15" x14ac:dyDescent="0.25">
      <c r="A1072">
        <v>368072</v>
      </c>
      <c r="B1072" t="str">
        <f t="shared" si="38"/>
        <v>SEVROLL 02556 Ekonomik spodné vedenie 3m strieborná</v>
      </c>
      <c r="C1072" s="198">
        <f t="shared" si="39"/>
        <v>13.98523</v>
      </c>
      <c r="D1072" s="526" t="s">
        <v>1326</v>
      </c>
      <c r="E1072" s="526" t="s">
        <v>1779</v>
      </c>
      <c r="F1072" s="526" t="s">
        <v>5794</v>
      </c>
      <c r="G1072" s="526" t="s">
        <v>2359</v>
      </c>
      <c r="H1072" s="412">
        <v>387.23732000000001</v>
      </c>
      <c r="I1072" s="411">
        <v>13.98523</v>
      </c>
      <c r="J1072" s="411">
        <v>49.225200000000001</v>
      </c>
      <c r="K1072" s="411">
        <v>5323.8168299999998</v>
      </c>
      <c r="L1072" s="526" t="s">
        <v>554</v>
      </c>
    </row>
    <row r="1073" spans="1:12" ht="15" x14ac:dyDescent="0.25">
      <c r="A1073">
        <v>368073</v>
      </c>
      <c r="B1073" t="str">
        <f t="shared" si="38"/>
        <v>SEVROLL 02895 Ekonomik spodné vedenie 6m strieborná</v>
      </c>
      <c r="C1073" s="198">
        <f t="shared" si="39"/>
        <v>27.893039999999999</v>
      </c>
      <c r="D1073" s="526" t="s">
        <v>1327</v>
      </c>
      <c r="E1073" s="526" t="s">
        <v>1780</v>
      </c>
      <c r="F1073" s="526" t="s">
        <v>5795</v>
      </c>
      <c r="G1073" s="526" t="s">
        <v>2360</v>
      </c>
      <c r="H1073" s="412" t="e">
        <v>#N/A</v>
      </c>
      <c r="I1073" s="411">
        <v>27.893039999999999</v>
      </c>
      <c r="J1073" s="411">
        <v>98.470799999999997</v>
      </c>
      <c r="K1073" s="411">
        <v>10618.16581</v>
      </c>
      <c r="L1073" s="526" t="e">
        <v>#N/A</v>
      </c>
    </row>
    <row r="1074" spans="1:12" ht="15" x14ac:dyDescent="0.25">
      <c r="A1074">
        <v>368074</v>
      </c>
      <c r="B1074" t="e">
        <f t="shared" si="38"/>
        <v>#N/A</v>
      </c>
      <c r="C1074" s="198" t="e">
        <f t="shared" si="39"/>
        <v>#N/A</v>
      </c>
      <c r="D1074" s="526" t="e">
        <v>#N/A</v>
      </c>
      <c r="E1074" s="526" t="e">
        <v>#N/A</v>
      </c>
      <c r="F1074" s="526" t="e">
        <v>#N/A</v>
      </c>
      <c r="G1074" s="526" t="e">
        <v>#N/A</v>
      </c>
      <c r="H1074" s="412" t="e">
        <v>#N/A</v>
      </c>
      <c r="I1074" s="411" t="e">
        <v>#N/A</v>
      </c>
      <c r="J1074" s="411" t="e">
        <v>#N/A</v>
      </c>
      <c r="K1074" s="411" t="e">
        <v>#N/A</v>
      </c>
      <c r="L1074" s="526" t="e">
        <v>#N/A</v>
      </c>
    </row>
    <row r="1075" spans="1:12" ht="15" x14ac:dyDescent="0.25">
      <c r="A1075">
        <v>368077</v>
      </c>
      <c r="B1075" t="str">
        <f t="shared" si="38"/>
        <v>SEVROLL 10101-SV horný vozík Ekonomik Duo</v>
      </c>
      <c r="C1075" s="198">
        <f t="shared" si="39"/>
        <v>2.0100500000000001</v>
      </c>
      <c r="D1075" s="526" t="s">
        <v>1328</v>
      </c>
      <c r="E1075" s="526" t="s">
        <v>1781</v>
      </c>
      <c r="F1075" s="526" t="s">
        <v>5796</v>
      </c>
      <c r="G1075" s="526" t="s">
        <v>2361</v>
      </c>
      <c r="H1075" s="412">
        <v>59.1357</v>
      </c>
      <c r="I1075" s="411">
        <v>2.0100500000000001</v>
      </c>
      <c r="J1075" s="411">
        <v>6.8120000000000003</v>
      </c>
      <c r="K1075" s="411">
        <v>780.79155000000003</v>
      </c>
      <c r="L1075" s="526" t="s">
        <v>554</v>
      </c>
    </row>
    <row r="1076" spans="1:12" ht="15" x14ac:dyDescent="0.25">
      <c r="A1076">
        <v>368078</v>
      </c>
      <c r="B1076" t="str">
        <f t="shared" si="38"/>
        <v>SEVROLL 10099-SV spodný vozík Ekonomik WD10V</v>
      </c>
      <c r="C1076" s="198">
        <f t="shared" si="39"/>
        <v>3.4060000000000001</v>
      </c>
      <c r="D1076" s="526" t="s">
        <v>1329</v>
      </c>
      <c r="E1076" s="526" t="s">
        <v>1782</v>
      </c>
      <c r="F1076" s="526" t="s">
        <v>5797</v>
      </c>
      <c r="G1076" s="526" t="s">
        <v>2362</v>
      </c>
      <c r="H1076" s="412">
        <v>100.0758</v>
      </c>
      <c r="I1076" s="411">
        <v>3.4060000000000001</v>
      </c>
      <c r="J1076" s="411">
        <v>11.543100000000001</v>
      </c>
      <c r="K1076" s="411">
        <v>1323.0361499999999</v>
      </c>
      <c r="L1076" s="526" t="s">
        <v>554</v>
      </c>
    </row>
    <row r="1077" spans="1:12" ht="15" x14ac:dyDescent="0.25">
      <c r="A1077">
        <v>368089</v>
      </c>
      <c r="B1077" t="str">
        <f t="shared" si="38"/>
        <v>SEVROLL 20160 skrutka 2,9x6,5 Ekonomik (100 ks)</v>
      </c>
      <c r="C1077" s="198">
        <f t="shared" si="39"/>
        <v>2.2190599999999998</v>
      </c>
      <c r="D1077" s="526" t="s">
        <v>1330</v>
      </c>
      <c r="E1077" s="526" t="s">
        <v>1783</v>
      </c>
      <c r="F1077" s="526" t="s">
        <v>5798</v>
      </c>
      <c r="G1077" s="526" t="s">
        <v>2363</v>
      </c>
      <c r="H1077" s="412">
        <v>65.200900000000004</v>
      </c>
      <c r="I1077" s="411">
        <v>2.2190599999999998</v>
      </c>
      <c r="J1077" s="411">
        <v>8.67</v>
      </c>
      <c r="K1077" s="411">
        <v>861.97807999999998</v>
      </c>
      <c r="L1077" s="526" t="s">
        <v>554</v>
      </c>
    </row>
    <row r="1078" spans="1:12" ht="15" x14ac:dyDescent="0.25">
      <c r="A1078">
        <v>368096</v>
      </c>
      <c r="B1078" t="str">
        <f t="shared" si="38"/>
        <v>SEVROLL 10105 Ekonomik sada kovania pre 2 dvere</v>
      </c>
      <c r="C1078" s="198">
        <f t="shared" si="39"/>
        <v>0</v>
      </c>
      <c r="D1078" s="526" t="s">
        <v>1331</v>
      </c>
      <c r="E1078" s="526" t="s">
        <v>1784</v>
      </c>
      <c r="F1078" s="526" t="s">
        <v>5799</v>
      </c>
      <c r="G1078" s="526" t="s">
        <v>2364</v>
      </c>
      <c r="H1078" s="412">
        <v>0</v>
      </c>
      <c r="I1078" s="411">
        <v>0</v>
      </c>
      <c r="J1078" s="411">
        <v>0</v>
      </c>
      <c r="K1078" s="411">
        <v>0</v>
      </c>
      <c r="L1078" s="526" t="s">
        <v>555</v>
      </c>
    </row>
    <row r="1079" spans="1:12" ht="15" x14ac:dyDescent="0.25">
      <c r="A1079">
        <v>368090</v>
      </c>
      <c r="B1079" t="str">
        <f t="shared" si="38"/>
        <v>SEVROLL 20153 vrut Unix 3x10 zápustná hlava (1000 ks)</v>
      </c>
      <c r="C1079" s="198">
        <f t="shared" si="39"/>
        <v>12.978910000000001</v>
      </c>
      <c r="D1079" s="526" t="s">
        <v>1332</v>
      </c>
      <c r="E1079" s="526" t="s">
        <v>1785</v>
      </c>
      <c r="F1079" s="526" t="s">
        <v>1332</v>
      </c>
      <c r="G1079" s="526" t="s">
        <v>2365</v>
      </c>
      <c r="H1079" s="412">
        <v>381.34944999999999</v>
      </c>
      <c r="I1079" s="411">
        <v>12.978910000000001</v>
      </c>
      <c r="J1079" s="411">
        <v>43.774999999999999</v>
      </c>
      <c r="K1079" s="411">
        <v>5041.5688499999997</v>
      </c>
      <c r="L1079" s="526" t="s">
        <v>554</v>
      </c>
    </row>
    <row r="1080" spans="1:12" ht="15" x14ac:dyDescent="0.25">
      <c r="A1080">
        <v>368091</v>
      </c>
      <c r="B1080" t="str">
        <f t="shared" si="38"/>
        <v>SEVROLL 20165 vrut Unix 3x16mm zápustná hlava (100 ks)</v>
      </c>
      <c r="C1080" s="198">
        <f t="shared" si="39"/>
        <v>1.2643500000000001</v>
      </c>
      <c r="D1080" s="526" t="s">
        <v>1333</v>
      </c>
      <c r="E1080" s="526" t="s">
        <v>1786</v>
      </c>
      <c r="F1080" s="526" t="s">
        <v>1333</v>
      </c>
      <c r="G1080" s="526" t="s">
        <v>2366</v>
      </c>
      <c r="H1080" s="412">
        <v>37.149349999999998</v>
      </c>
      <c r="I1080" s="411">
        <v>1.2643500000000001</v>
      </c>
      <c r="J1080" s="411">
        <v>4.3362999999999996</v>
      </c>
      <c r="K1080" s="411">
        <v>491.12693000000002</v>
      </c>
      <c r="L1080" s="526" t="s">
        <v>554</v>
      </c>
    </row>
    <row r="1081" spans="1:12" ht="15" x14ac:dyDescent="0.25">
      <c r="A1081">
        <v>368092</v>
      </c>
      <c r="B1081" t="str">
        <f t="shared" si="38"/>
        <v>SEVROLL 20166 podložka Vejárová 3x6mm (100 ks)</v>
      </c>
      <c r="C1081" s="198">
        <f t="shared" si="39"/>
        <v>5.1089900000000004</v>
      </c>
      <c r="D1081" s="526" t="s">
        <v>1334</v>
      </c>
      <c r="E1081" s="526" t="s">
        <v>1787</v>
      </c>
      <c r="F1081" s="526" t="s">
        <v>5800</v>
      </c>
      <c r="G1081" s="526" t="s">
        <v>2367</v>
      </c>
      <c r="H1081" s="412">
        <v>141.46307999999999</v>
      </c>
      <c r="I1081" s="411">
        <v>5.1089900000000004</v>
      </c>
      <c r="J1081" s="411">
        <v>17.352799999999998</v>
      </c>
      <c r="K1081" s="411">
        <v>1944.86277</v>
      </c>
      <c r="L1081" s="526" t="s">
        <v>554</v>
      </c>
    </row>
    <row r="1082" spans="1:12" ht="15" x14ac:dyDescent="0.25">
      <c r="A1082">
        <v>368097</v>
      </c>
      <c r="B1082" t="str">
        <f t="shared" si="38"/>
        <v>SEVROLL 10106 Ekonomik sada kovania pre 3 dvere</v>
      </c>
      <c r="C1082" s="198" t="e">
        <f t="shared" si="39"/>
        <v>#N/A</v>
      </c>
      <c r="D1082" s="526" t="s">
        <v>1335</v>
      </c>
      <c r="E1082" s="526" t="s">
        <v>1788</v>
      </c>
      <c r="F1082" s="526" t="s">
        <v>5801</v>
      </c>
      <c r="G1082" s="526" t="s">
        <v>2368</v>
      </c>
      <c r="H1082" s="412" t="e">
        <v>#N/A</v>
      </c>
      <c r="I1082" s="411" t="e">
        <v>#N/A</v>
      </c>
      <c r="J1082" s="411" t="e">
        <v>#N/A</v>
      </c>
      <c r="K1082" s="411" t="e">
        <v>#N/A</v>
      </c>
      <c r="L1082" s="526" t="e">
        <v>#N/A</v>
      </c>
    </row>
    <row r="1083" spans="1:12" ht="15" x14ac:dyDescent="0.25">
      <c r="A1083">
        <v>368443</v>
      </c>
      <c r="B1083" t="str">
        <f t="shared" si="38"/>
        <v>SEVROLL 214-377 Herkules plus horné vedenie 3m alu</v>
      </c>
      <c r="C1083" s="198" t="e">
        <f t="shared" si="39"/>
        <v>#N/A</v>
      </c>
      <c r="D1083" s="526" t="s">
        <v>1336</v>
      </c>
      <c r="E1083" s="526" t="s">
        <v>1789</v>
      </c>
      <c r="F1083" s="526" t="s">
        <v>5802</v>
      </c>
      <c r="G1083" s="526" t="s">
        <v>2369</v>
      </c>
      <c r="H1083" s="412" t="e">
        <v>#N/A</v>
      </c>
      <c r="I1083" s="411" t="e">
        <v>#N/A</v>
      </c>
      <c r="J1083" s="411" t="e">
        <v>#N/A</v>
      </c>
      <c r="K1083" s="411" t="e">
        <v>#N/A</v>
      </c>
      <c r="L1083" s="526" t="e">
        <v>#N/A</v>
      </c>
    </row>
    <row r="1084" spans="1:12" ht="15" x14ac:dyDescent="0.25">
      <c r="A1084">
        <v>313412</v>
      </c>
      <c r="B1084" t="e">
        <f t="shared" ref="B1084:B1118" si="40">IF($A$2=1,D1084,IF($A$2=2,F1084,IF($A$2=3,G1084,IF($A$2=4,E1084,"zadat jazyk"))))</f>
        <v>#N/A</v>
      </c>
      <c r="C1084" s="198" t="e">
        <f t="shared" ref="C1084:C1118" si="41">IF($A$2=1,H1084,IF($A$2=2,I1084,IF($A$2=3,J1084,IF($A$2=4,K1084,"zadat jazyk"))))</f>
        <v>#N/A</v>
      </c>
      <c r="D1084" s="526" t="e">
        <v>#N/A</v>
      </c>
      <c r="E1084" s="526" t="e">
        <v>#N/A</v>
      </c>
      <c r="F1084" s="526" t="e">
        <v>#N/A</v>
      </c>
      <c r="G1084" s="526" t="e">
        <v>#N/A</v>
      </c>
      <c r="H1084" s="412" t="e">
        <v>#N/A</v>
      </c>
      <c r="I1084" s="411" t="e">
        <v>#N/A</v>
      </c>
      <c r="J1084" s="411" t="e">
        <v>#N/A</v>
      </c>
      <c r="K1084" s="411" t="e">
        <v>#N/A</v>
      </c>
      <c r="L1084" s="526" t="e">
        <v>#N/A</v>
      </c>
    </row>
    <row r="1085" spans="1:12" ht="15" x14ac:dyDescent="0.25">
      <c r="A1085">
        <v>313416</v>
      </c>
      <c r="B1085" t="e">
        <f t="shared" si="40"/>
        <v>#N/A</v>
      </c>
      <c r="C1085" s="198" t="e">
        <f t="shared" si="41"/>
        <v>#N/A</v>
      </c>
      <c r="D1085" s="526" t="e">
        <v>#N/A</v>
      </c>
      <c r="E1085" s="526" t="e">
        <v>#N/A</v>
      </c>
      <c r="F1085" s="526" t="e">
        <v>#N/A</v>
      </c>
      <c r="G1085" s="526" t="e">
        <v>#N/A</v>
      </c>
      <c r="H1085" s="412" t="e">
        <v>#N/A</v>
      </c>
      <c r="I1085" s="411" t="e">
        <v>#N/A</v>
      </c>
      <c r="J1085" s="411" t="e">
        <v>#N/A</v>
      </c>
      <c r="K1085" s="411" t="e">
        <v>#N/A</v>
      </c>
      <c r="L1085" s="526" t="e">
        <v>#N/A</v>
      </c>
    </row>
    <row r="1086" spans="1:12" ht="15" x14ac:dyDescent="0.25">
      <c r="A1086">
        <v>313417</v>
      </c>
      <c r="B1086" t="e">
        <f t="shared" si="40"/>
        <v>#N/A</v>
      </c>
      <c r="C1086" s="198" t="e">
        <f t="shared" si="41"/>
        <v>#N/A</v>
      </c>
      <c r="D1086" s="526" t="e">
        <v>#N/A</v>
      </c>
      <c r="E1086" s="526" t="e">
        <v>#N/A</v>
      </c>
      <c r="F1086" s="526" t="e">
        <v>#N/A</v>
      </c>
      <c r="G1086" s="526" t="e">
        <v>#N/A</v>
      </c>
      <c r="H1086" s="412" t="e">
        <v>#N/A</v>
      </c>
      <c r="I1086" s="411" t="e">
        <v>#N/A</v>
      </c>
      <c r="J1086" s="411" t="e">
        <v>#N/A</v>
      </c>
      <c r="K1086" s="411" t="e">
        <v>#N/A</v>
      </c>
      <c r="L1086" s="526" t="e">
        <v>#N/A</v>
      </c>
    </row>
    <row r="1087" spans="1:12" ht="15" x14ac:dyDescent="0.25">
      <c r="A1087">
        <v>313418</v>
      </c>
      <c r="B1087" t="e">
        <f t="shared" si="40"/>
        <v>#N/A</v>
      </c>
      <c r="C1087" s="198" t="e">
        <f t="shared" si="41"/>
        <v>#N/A</v>
      </c>
      <c r="D1087" s="526" t="e">
        <v>#N/A</v>
      </c>
      <c r="E1087" s="526" t="e">
        <v>#N/A</v>
      </c>
      <c r="F1087" s="526" t="e">
        <v>#N/A</v>
      </c>
      <c r="G1087" s="526" t="e">
        <v>#N/A</v>
      </c>
      <c r="H1087" s="412" t="e">
        <v>#N/A</v>
      </c>
      <c r="I1087" s="411" t="e">
        <v>#N/A</v>
      </c>
      <c r="J1087" s="411" t="e">
        <v>#N/A</v>
      </c>
      <c r="K1087" s="411" t="e">
        <v>#N/A</v>
      </c>
      <c r="L1087" s="526" t="e">
        <v>#N/A</v>
      </c>
    </row>
    <row r="1088" spans="1:12" ht="15" x14ac:dyDescent="0.25">
      <c r="A1088">
        <v>313436</v>
      </c>
      <c r="B1088" t="e">
        <f t="shared" si="40"/>
        <v>#N/A</v>
      </c>
      <c r="C1088" s="198" t="e">
        <f t="shared" si="41"/>
        <v>#N/A</v>
      </c>
      <c r="D1088" s="526" t="e">
        <v>#N/A</v>
      </c>
      <c r="E1088" s="526" t="e">
        <v>#N/A</v>
      </c>
      <c r="F1088" s="526" t="e">
        <v>#N/A</v>
      </c>
      <c r="G1088" s="526" t="e">
        <v>#N/A</v>
      </c>
      <c r="H1088" s="412" t="e">
        <v>#N/A</v>
      </c>
      <c r="I1088" s="411" t="e">
        <v>#N/A</v>
      </c>
      <c r="J1088" s="411" t="e">
        <v>#N/A</v>
      </c>
      <c r="K1088" s="411" t="e">
        <v>#N/A</v>
      </c>
      <c r="L1088" s="526" t="e">
        <v>#N/A</v>
      </c>
    </row>
    <row r="1089" spans="1:12" ht="15" x14ac:dyDescent="0.25">
      <c r="A1089">
        <v>313437</v>
      </c>
      <c r="B1089" t="e">
        <f t="shared" si="40"/>
        <v>#N/A</v>
      </c>
      <c r="C1089" s="198" t="e">
        <f t="shared" si="41"/>
        <v>#N/A</v>
      </c>
      <c r="D1089" s="526" t="e">
        <v>#N/A</v>
      </c>
      <c r="E1089" s="526" t="e">
        <v>#N/A</v>
      </c>
      <c r="F1089" s="526" t="e">
        <v>#N/A</v>
      </c>
      <c r="G1089" s="526" t="e">
        <v>#N/A</v>
      </c>
      <c r="H1089" s="412" t="e">
        <v>#N/A</v>
      </c>
      <c r="I1089" s="411" t="e">
        <v>#N/A</v>
      </c>
      <c r="J1089" s="411" t="e">
        <v>#N/A</v>
      </c>
      <c r="K1089" s="411" t="e">
        <v>#N/A</v>
      </c>
      <c r="L1089" s="526" t="e">
        <v>#N/A</v>
      </c>
    </row>
    <row r="1090" spans="1:12" ht="15" x14ac:dyDescent="0.25">
      <c r="A1090">
        <v>456332</v>
      </c>
      <c r="B1090" t="str">
        <f t="shared" si="40"/>
        <v>SEVROLL 05325 Pax úchytová lišta 2,7m čierna mat</v>
      </c>
      <c r="C1090" s="198">
        <f t="shared" si="41"/>
        <v>26.667400000000001</v>
      </c>
      <c r="D1090" s="526" t="s">
        <v>1337</v>
      </c>
      <c r="E1090" s="526" t="s">
        <v>1790</v>
      </c>
      <c r="F1090" s="526" t="s">
        <v>5803</v>
      </c>
      <c r="G1090" s="526" t="s">
        <v>2370</v>
      </c>
      <c r="H1090" s="412">
        <v>738.75163999999995</v>
      </c>
      <c r="I1090" s="411">
        <v>26.667400000000001</v>
      </c>
      <c r="J1090" s="411">
        <v>102.67319999999999</v>
      </c>
      <c r="K1090" s="411">
        <v>10151.59497</v>
      </c>
      <c r="L1090" s="526" t="s">
        <v>554</v>
      </c>
    </row>
    <row r="1091" spans="1:12" ht="15" x14ac:dyDescent="0.25">
      <c r="A1091">
        <v>456333</v>
      </c>
      <c r="B1091" t="str">
        <f t="shared" si="40"/>
        <v>SEVROLL 05326 Pax úchytová lišta 3m čierna mat</v>
      </c>
      <c r="C1091" s="198">
        <f t="shared" si="41"/>
        <v>29.652819999999998</v>
      </c>
      <c r="D1091" s="526" t="s">
        <v>1338</v>
      </c>
      <c r="E1091" s="526" t="s">
        <v>1791</v>
      </c>
      <c r="F1091" s="526" t="s">
        <v>5804</v>
      </c>
      <c r="G1091" s="526" t="s">
        <v>2371</v>
      </c>
      <c r="H1091" s="412">
        <v>820.91453999999999</v>
      </c>
      <c r="I1091" s="411">
        <v>29.652819999999998</v>
      </c>
      <c r="J1091" s="411">
        <v>114.07680000000001</v>
      </c>
      <c r="K1091" s="411">
        <v>11288.06292</v>
      </c>
      <c r="L1091" s="526" t="s">
        <v>554</v>
      </c>
    </row>
    <row r="1092" spans="1:12" ht="15" x14ac:dyDescent="0.25">
      <c r="A1092">
        <v>405993</v>
      </c>
      <c r="B1092" t="e">
        <f t="shared" si="40"/>
        <v>#N/A</v>
      </c>
      <c r="C1092" s="198" t="e">
        <f t="shared" si="41"/>
        <v>#N/A</v>
      </c>
      <c r="D1092" s="526" t="e">
        <v>#N/A</v>
      </c>
      <c r="E1092" s="526" t="e">
        <v>#N/A</v>
      </c>
      <c r="F1092" s="526" t="e">
        <v>#N/A</v>
      </c>
      <c r="G1092" s="526" t="e">
        <v>#N/A</v>
      </c>
      <c r="H1092" s="412" t="e">
        <v>#N/A</v>
      </c>
      <c r="I1092" s="411" t="e">
        <v>#N/A</v>
      </c>
      <c r="J1092" s="411" t="e">
        <v>#N/A</v>
      </c>
      <c r="K1092" s="411" t="e">
        <v>#N/A</v>
      </c>
      <c r="L1092" s="526" t="e">
        <v>#N/A</v>
      </c>
    </row>
    <row r="1093" spans="1:12" ht="15" x14ac:dyDescent="0.25">
      <c r="A1093">
        <v>406342</v>
      </c>
      <c r="B1093" t="str">
        <f t="shared" si="40"/>
        <v>SEVROLL Porto úchytová lišta 3m strieborn</v>
      </c>
      <c r="C1093" s="198" t="e">
        <f t="shared" si="41"/>
        <v>#N/A</v>
      </c>
      <c r="D1093" s="526" t="s">
        <v>1339</v>
      </c>
      <c r="E1093" s="526" t="s">
        <v>1792</v>
      </c>
      <c r="F1093" s="526" t="s">
        <v>2175</v>
      </c>
      <c r="G1093" s="526" t="s">
        <v>2372</v>
      </c>
      <c r="H1093" s="412" t="e">
        <v>#N/A</v>
      </c>
      <c r="I1093" s="411" t="e">
        <v>#N/A</v>
      </c>
      <c r="J1093" s="411" t="e">
        <v>#N/A</v>
      </c>
      <c r="K1093" s="411" t="e">
        <v>#N/A</v>
      </c>
      <c r="L1093" s="526" t="e">
        <v>#N/A</v>
      </c>
    </row>
    <row r="1094" spans="1:12" ht="15" x14ac:dyDescent="0.25">
      <c r="A1094">
        <v>406343</v>
      </c>
      <c r="B1094" t="str">
        <f t="shared" si="40"/>
        <v>SEVROLL Porto úchytová lišta 3m oliva</v>
      </c>
      <c r="C1094" s="198" t="e">
        <f t="shared" si="41"/>
        <v>#N/A</v>
      </c>
      <c r="D1094" s="526" t="s">
        <v>1340</v>
      </c>
      <c r="E1094" s="526" t="s">
        <v>1793</v>
      </c>
      <c r="F1094" s="526" t="s">
        <v>2176</v>
      </c>
      <c r="G1094" s="526" t="s">
        <v>2373</v>
      </c>
      <c r="H1094" s="412" t="e">
        <v>#N/A</v>
      </c>
      <c r="I1094" s="411" t="e">
        <v>#N/A</v>
      </c>
      <c r="J1094" s="411" t="e">
        <v>#N/A</v>
      </c>
      <c r="K1094" s="411" t="e">
        <v>#N/A</v>
      </c>
      <c r="L1094" s="526" t="e">
        <v>#N/A</v>
      </c>
    </row>
    <row r="1095" spans="1:12" ht="15" x14ac:dyDescent="0.25">
      <c r="A1095">
        <v>406344</v>
      </c>
      <c r="B1095" t="str">
        <f t="shared" si="40"/>
        <v>SEVROLL Maxim horné vedenie 1,8m oliva</v>
      </c>
      <c r="C1095" s="198" t="e">
        <f t="shared" si="41"/>
        <v>#N/A</v>
      </c>
      <c r="D1095" s="526" t="s">
        <v>1341</v>
      </c>
      <c r="E1095" s="526" t="s">
        <v>1794</v>
      </c>
      <c r="F1095" s="526" t="s">
        <v>2177</v>
      </c>
      <c r="G1095" s="526" t="s">
        <v>2374</v>
      </c>
      <c r="H1095" s="412" t="e">
        <v>#N/A</v>
      </c>
      <c r="I1095" s="411" t="e">
        <v>#N/A</v>
      </c>
      <c r="J1095" s="411" t="e">
        <v>#N/A</v>
      </c>
      <c r="K1095" s="411" t="e">
        <v>#N/A</v>
      </c>
      <c r="L1095" s="526" t="e">
        <v>#N/A</v>
      </c>
    </row>
    <row r="1096" spans="1:12" ht="15" x14ac:dyDescent="0.25">
      <c r="A1096">
        <v>406463</v>
      </c>
      <c r="B1096" t="str">
        <f t="shared" si="40"/>
        <v>SEVROLL 05293 spojovacia lišta H18 3m biela mat</v>
      </c>
      <c r="C1096" s="198">
        <f t="shared" si="41"/>
        <v>15.456</v>
      </c>
      <c r="D1096" s="526" t="s">
        <v>1342</v>
      </c>
      <c r="E1096" s="526" t="s">
        <v>1795</v>
      </c>
      <c r="F1096" s="526" t="s">
        <v>5805</v>
      </c>
      <c r="G1096" s="526" t="s">
        <v>2375</v>
      </c>
      <c r="H1096" s="412">
        <v>427.96154000000001</v>
      </c>
      <c r="I1096" s="411">
        <v>15.456</v>
      </c>
      <c r="J1096" s="411">
        <v>62.464799999999997</v>
      </c>
      <c r="K1096" s="411">
        <v>5883.7013900000002</v>
      </c>
      <c r="L1096" s="526" t="s">
        <v>553</v>
      </c>
    </row>
    <row r="1097" spans="1:12" ht="15" x14ac:dyDescent="0.25">
      <c r="A1097">
        <v>406464</v>
      </c>
      <c r="B1097" t="str">
        <f t="shared" si="40"/>
        <v>SEVROLL 05291 profil "U" pre lamino 18mm 3m biela mat</v>
      </c>
      <c r="C1097" s="198">
        <f t="shared" si="41"/>
        <v>6.1411100000000003</v>
      </c>
      <c r="D1097" s="526" t="s">
        <v>1343</v>
      </c>
      <c r="E1097" s="526" t="s">
        <v>1796</v>
      </c>
      <c r="F1097" s="526" t="s">
        <v>5806</v>
      </c>
      <c r="G1097" s="526" t="s">
        <v>2376</v>
      </c>
      <c r="H1097" s="412">
        <v>170.04148000000001</v>
      </c>
      <c r="I1097" s="411">
        <v>6.1411100000000003</v>
      </c>
      <c r="J1097" s="411">
        <v>27.009599999999999</v>
      </c>
      <c r="K1097" s="411">
        <v>2337.7643699999999</v>
      </c>
      <c r="L1097" s="526" t="s">
        <v>554</v>
      </c>
    </row>
    <row r="1098" spans="1:12" ht="15" x14ac:dyDescent="0.25">
      <c r="A1098">
        <v>296081</v>
      </c>
      <c r="B1098" t="e">
        <f t="shared" si="40"/>
        <v>#N/A</v>
      </c>
      <c r="C1098" s="198" t="e">
        <f t="shared" si="41"/>
        <v>#N/A</v>
      </c>
      <c r="D1098" s="526" t="e">
        <v>#N/A</v>
      </c>
      <c r="E1098" s="526" t="e">
        <v>#N/A</v>
      </c>
      <c r="F1098" s="526" t="e">
        <v>#N/A</v>
      </c>
      <c r="G1098" s="526" t="e">
        <v>#N/A</v>
      </c>
      <c r="H1098" s="412" t="e">
        <v>#N/A</v>
      </c>
      <c r="I1098" s="411" t="e">
        <v>#N/A</v>
      </c>
      <c r="J1098" s="411" t="e">
        <v>#N/A</v>
      </c>
      <c r="K1098" s="411" t="e">
        <v>#N/A</v>
      </c>
      <c r="L1098" s="526" t="e">
        <v>#N/A</v>
      </c>
    </row>
    <row r="1099" spans="1:12" ht="15" x14ac:dyDescent="0.25">
      <c r="A1099">
        <v>296087</v>
      </c>
      <c r="B1099" t="e">
        <f t="shared" si="40"/>
        <v>#N/A</v>
      </c>
      <c r="C1099" s="198" t="e">
        <f t="shared" si="41"/>
        <v>#N/A</v>
      </c>
      <c r="D1099" s="526" t="e">
        <v>#N/A</v>
      </c>
      <c r="E1099" s="526" t="e">
        <v>#N/A</v>
      </c>
      <c r="F1099" s="526" t="e">
        <v>#N/A</v>
      </c>
      <c r="G1099" s="526" t="e">
        <v>#N/A</v>
      </c>
      <c r="H1099" s="412" t="e">
        <v>#N/A</v>
      </c>
      <c r="I1099" s="411" t="e">
        <v>#N/A</v>
      </c>
      <c r="J1099" s="411" t="e">
        <v>#N/A</v>
      </c>
      <c r="K1099" s="411" t="e">
        <v>#N/A</v>
      </c>
      <c r="L1099" s="526" t="e">
        <v>#N/A</v>
      </c>
    </row>
    <row r="1100" spans="1:12" ht="15" x14ac:dyDescent="0.25">
      <c r="A1100">
        <v>296182</v>
      </c>
      <c r="B1100" t="e">
        <f t="shared" si="40"/>
        <v>#N/A</v>
      </c>
      <c r="C1100" s="198" t="e">
        <f t="shared" si="41"/>
        <v>#N/A</v>
      </c>
      <c r="D1100" s="526" t="e">
        <v>#N/A</v>
      </c>
      <c r="E1100" s="526" t="e">
        <v>#N/A</v>
      </c>
      <c r="F1100" s="526" t="e">
        <v>#N/A</v>
      </c>
      <c r="G1100" s="526" t="e">
        <v>#N/A</v>
      </c>
      <c r="H1100" s="412" t="e">
        <v>#N/A</v>
      </c>
      <c r="I1100" s="411" t="e">
        <v>#N/A</v>
      </c>
      <c r="J1100" s="411" t="e">
        <v>#N/A</v>
      </c>
      <c r="K1100" s="411" t="e">
        <v>#N/A</v>
      </c>
      <c r="L1100" s="526" t="e">
        <v>#N/A</v>
      </c>
    </row>
    <row r="1101" spans="1:12" ht="15" x14ac:dyDescent="0.25">
      <c r="A1101">
        <v>296183</v>
      </c>
      <c r="B1101" t="e">
        <f t="shared" si="40"/>
        <v>#N/A</v>
      </c>
      <c r="C1101" s="198" t="e">
        <f t="shared" si="41"/>
        <v>#N/A</v>
      </c>
      <c r="D1101" s="526" t="e">
        <v>#N/A</v>
      </c>
      <c r="E1101" s="526" t="e">
        <v>#N/A</v>
      </c>
      <c r="F1101" s="526" t="e">
        <v>#N/A</v>
      </c>
      <c r="G1101" s="526" t="e">
        <v>#N/A</v>
      </c>
      <c r="H1101" s="412" t="e">
        <v>#N/A</v>
      </c>
      <c r="I1101" s="411" t="e">
        <v>#N/A</v>
      </c>
      <c r="J1101" s="411" t="e">
        <v>#N/A</v>
      </c>
      <c r="K1101" s="411" t="e">
        <v>#N/A</v>
      </c>
      <c r="L1101" s="526" t="e">
        <v>#N/A</v>
      </c>
    </row>
    <row r="1102" spans="1:12" ht="15" x14ac:dyDescent="0.25">
      <c r="A1102">
        <v>296186</v>
      </c>
      <c r="B1102" t="e">
        <f t="shared" si="40"/>
        <v>#N/A</v>
      </c>
      <c r="C1102" s="198" t="e">
        <f t="shared" si="41"/>
        <v>#N/A</v>
      </c>
      <c r="D1102" s="526" t="e">
        <v>#N/A</v>
      </c>
      <c r="E1102" s="526" t="e">
        <v>#N/A</v>
      </c>
      <c r="F1102" s="526" t="e">
        <v>#N/A</v>
      </c>
      <c r="G1102" s="526" t="e">
        <v>#N/A</v>
      </c>
      <c r="H1102" s="412" t="e">
        <v>#N/A</v>
      </c>
      <c r="I1102" s="411" t="e">
        <v>#N/A</v>
      </c>
      <c r="J1102" s="411" t="e">
        <v>#N/A</v>
      </c>
      <c r="K1102" s="411" t="e">
        <v>#N/A</v>
      </c>
      <c r="L1102" s="526" t="e">
        <v>#N/A</v>
      </c>
    </row>
    <row r="1103" spans="1:12" ht="15" x14ac:dyDescent="0.25">
      <c r="A1103">
        <v>296187</v>
      </c>
      <c r="B1103" t="e">
        <f t="shared" si="40"/>
        <v>#N/A</v>
      </c>
      <c r="C1103" s="198" t="e">
        <f t="shared" si="41"/>
        <v>#N/A</v>
      </c>
      <c r="D1103" s="526" t="e">
        <v>#N/A</v>
      </c>
      <c r="E1103" s="526" t="e">
        <v>#N/A</v>
      </c>
      <c r="F1103" s="526" t="e">
        <v>#N/A</v>
      </c>
      <c r="G1103" s="526" t="e">
        <v>#N/A</v>
      </c>
      <c r="H1103" s="412" t="e">
        <v>#N/A</v>
      </c>
      <c r="I1103" s="411" t="e">
        <v>#N/A</v>
      </c>
      <c r="J1103" s="411" t="e">
        <v>#N/A</v>
      </c>
      <c r="K1103" s="411" t="e">
        <v>#N/A</v>
      </c>
      <c r="L1103" s="526" t="e">
        <v>#N/A</v>
      </c>
    </row>
    <row r="1104" spans="1:12" ht="15" x14ac:dyDescent="0.25">
      <c r="A1104">
        <v>296188</v>
      </c>
      <c r="B1104" t="e">
        <f t="shared" si="40"/>
        <v>#N/A</v>
      </c>
      <c r="C1104" s="198" t="e">
        <f t="shared" si="41"/>
        <v>#N/A</v>
      </c>
      <c r="D1104" s="526" t="e">
        <v>#N/A</v>
      </c>
      <c r="E1104" s="526" t="e">
        <v>#N/A</v>
      </c>
      <c r="F1104" s="526" t="e">
        <v>#N/A</v>
      </c>
      <c r="G1104" s="526" t="e">
        <v>#N/A</v>
      </c>
      <c r="H1104" s="412" t="e">
        <v>#N/A</v>
      </c>
      <c r="I1104" s="411" t="e">
        <v>#N/A</v>
      </c>
      <c r="J1104" s="411" t="e">
        <v>#N/A</v>
      </c>
      <c r="K1104" s="411" t="e">
        <v>#N/A</v>
      </c>
      <c r="L1104" s="526" t="e">
        <v>#N/A</v>
      </c>
    </row>
    <row r="1105" spans="1:12" ht="15" x14ac:dyDescent="0.25">
      <c r="A1105">
        <v>296433</v>
      </c>
      <c r="B1105" t="e">
        <f t="shared" si="40"/>
        <v>#N/A</v>
      </c>
      <c r="C1105" s="198" t="e">
        <f t="shared" si="41"/>
        <v>#N/A</v>
      </c>
      <c r="D1105" s="526" t="e">
        <v>#N/A</v>
      </c>
      <c r="E1105" s="526" t="e">
        <v>#N/A</v>
      </c>
      <c r="F1105" s="526" t="e">
        <v>#N/A</v>
      </c>
      <c r="G1105" s="526" t="e">
        <v>#N/A</v>
      </c>
      <c r="H1105" s="412" t="e">
        <v>#N/A</v>
      </c>
      <c r="I1105" s="411" t="e">
        <v>#N/A</v>
      </c>
      <c r="J1105" s="411" t="e">
        <v>#N/A</v>
      </c>
      <c r="K1105" s="411" t="e">
        <v>#N/A</v>
      </c>
      <c r="L1105" s="526" t="e">
        <v>#N/A</v>
      </c>
    </row>
    <row r="1106" spans="1:12" ht="15" x14ac:dyDescent="0.25">
      <c r="A1106">
        <v>312097</v>
      </c>
      <c r="B1106" t="str">
        <f t="shared" si="40"/>
        <v/>
      </c>
      <c r="C1106" s="198">
        <f t="shared" si="41"/>
        <v>0</v>
      </c>
      <c r="D1106" s="526" t="s">
        <v>1344</v>
      </c>
      <c r="E1106" s="526" t="s">
        <v>5807</v>
      </c>
      <c r="F1106" s="526" t="s">
        <v>71</v>
      </c>
      <c r="G1106" s="526" t="s">
        <v>5808</v>
      </c>
      <c r="H1106" s="412" t="e">
        <v>#N/A</v>
      </c>
      <c r="I1106" s="411">
        <v>0</v>
      </c>
      <c r="J1106" s="411">
        <v>0</v>
      </c>
      <c r="K1106" s="411">
        <v>4889.2752499999997</v>
      </c>
      <c r="L1106" s="526" t="e">
        <v>#N/A</v>
      </c>
    </row>
    <row r="1107" spans="1:12" ht="15" x14ac:dyDescent="0.25">
      <c r="A1107">
        <v>312224</v>
      </c>
      <c r="B1107" t="e">
        <f t="shared" si="40"/>
        <v>#N/A</v>
      </c>
      <c r="C1107" s="198" t="e">
        <f t="shared" si="41"/>
        <v>#N/A</v>
      </c>
      <c r="D1107" s="526" t="e">
        <v>#N/A</v>
      </c>
      <c r="E1107" s="526" t="e">
        <v>#N/A</v>
      </c>
      <c r="F1107" s="526" t="e">
        <v>#N/A</v>
      </c>
      <c r="G1107" s="526" t="e">
        <v>#N/A</v>
      </c>
      <c r="H1107" s="412" t="e">
        <v>#N/A</v>
      </c>
      <c r="I1107" s="411" t="e">
        <v>#N/A</v>
      </c>
      <c r="J1107" s="411" t="e">
        <v>#N/A</v>
      </c>
      <c r="K1107" s="411" t="e">
        <v>#N/A</v>
      </c>
      <c r="L1107" s="526" t="e">
        <v>#N/A</v>
      </c>
    </row>
    <row r="1108" spans="1:12" ht="15" x14ac:dyDescent="0.25">
      <c r="A1108">
        <v>355030</v>
      </c>
      <c r="B1108" t="e">
        <f t="shared" si="40"/>
        <v>#N/A</v>
      </c>
      <c r="C1108" s="198" t="e">
        <f t="shared" si="41"/>
        <v>#N/A</v>
      </c>
      <c r="D1108" s="526" t="e">
        <v>#N/A</v>
      </c>
      <c r="E1108" s="526" t="e">
        <v>#N/A</v>
      </c>
      <c r="F1108" s="526" t="e">
        <v>#N/A</v>
      </c>
      <c r="G1108" s="526" t="e">
        <v>#N/A</v>
      </c>
      <c r="H1108" s="412" t="e">
        <v>#N/A</v>
      </c>
      <c r="I1108" s="411" t="e">
        <v>#N/A</v>
      </c>
      <c r="J1108" s="411" t="e">
        <v>#N/A</v>
      </c>
      <c r="K1108" s="411" t="e">
        <v>#N/A</v>
      </c>
      <c r="L1108" s="526" t="e">
        <v>#N/A</v>
      </c>
    </row>
    <row r="1109" spans="1:12" ht="15" x14ac:dyDescent="0.25">
      <c r="A1109">
        <v>245219</v>
      </c>
      <c r="B1109" t="e">
        <f t="shared" si="40"/>
        <v>#N/A</v>
      </c>
      <c r="C1109" s="198" t="e">
        <f t="shared" si="41"/>
        <v>#N/A</v>
      </c>
      <c r="D1109" s="526" t="e">
        <v>#N/A</v>
      </c>
      <c r="E1109" s="526" t="e">
        <v>#N/A</v>
      </c>
      <c r="F1109" s="526" t="e">
        <v>#N/A</v>
      </c>
      <c r="G1109" s="526" t="e">
        <v>#N/A</v>
      </c>
      <c r="H1109" s="412" t="e">
        <v>#N/A</v>
      </c>
      <c r="I1109" s="411" t="e">
        <v>#N/A</v>
      </c>
      <c r="J1109" s="411" t="e">
        <v>#N/A</v>
      </c>
      <c r="K1109" s="411" t="e">
        <v>#N/A</v>
      </c>
      <c r="L1109" s="526" t="e">
        <v>#N/A</v>
      </c>
    </row>
    <row r="1110" spans="1:12" ht="15" x14ac:dyDescent="0.25">
      <c r="A1110">
        <v>245465</v>
      </c>
      <c r="B1110" t="e">
        <f t="shared" si="40"/>
        <v>#N/A</v>
      </c>
      <c r="C1110" s="198" t="e">
        <f t="shared" si="41"/>
        <v>#N/A</v>
      </c>
      <c r="D1110" s="526" t="e">
        <v>#N/A</v>
      </c>
      <c r="E1110" s="526" t="e">
        <v>#N/A</v>
      </c>
      <c r="F1110" s="526" t="e">
        <v>#N/A</v>
      </c>
      <c r="G1110" s="526" t="e">
        <v>#N/A</v>
      </c>
      <c r="H1110" s="412" t="e">
        <v>#N/A</v>
      </c>
      <c r="I1110" s="411" t="e">
        <v>#N/A</v>
      </c>
      <c r="J1110" s="411" t="e">
        <v>#N/A</v>
      </c>
      <c r="K1110" s="411" t="e">
        <v>#N/A</v>
      </c>
      <c r="L1110" s="526" t="e">
        <v>#N/A</v>
      </c>
    </row>
    <row r="1111" spans="1:12" ht="15" x14ac:dyDescent="0.25">
      <c r="A1111">
        <v>245666</v>
      </c>
      <c r="B1111" t="str">
        <f t="shared" si="40"/>
        <v>SEVROLL spojovacia lišta Simple/Blue H25 3m</v>
      </c>
      <c r="C1111" s="198" t="e">
        <f t="shared" si="41"/>
        <v>#N/A</v>
      </c>
      <c r="D1111" s="526" t="s">
        <v>1345</v>
      </c>
      <c r="E1111" s="526" t="s">
        <v>1797</v>
      </c>
      <c r="F1111" s="526" t="s">
        <v>2178</v>
      </c>
      <c r="G1111" s="526" t="s">
        <v>5809</v>
      </c>
      <c r="H1111" s="412" t="e">
        <v>#N/A</v>
      </c>
      <c r="I1111" s="411" t="e">
        <v>#N/A</v>
      </c>
      <c r="J1111" s="411" t="e">
        <v>#N/A</v>
      </c>
      <c r="K1111" s="411" t="e">
        <v>#N/A</v>
      </c>
      <c r="L1111" s="526" t="e">
        <v>#N/A</v>
      </c>
    </row>
    <row r="1112" spans="1:12" ht="15" x14ac:dyDescent="0.25">
      <c r="A1112">
        <v>245667</v>
      </c>
      <c r="B1112" t="str">
        <f t="shared" si="40"/>
        <v>SEVROLL spojovacia lišta Simple/Blue H25 3m</v>
      </c>
      <c r="C1112" s="198">
        <f t="shared" si="41"/>
        <v>0</v>
      </c>
      <c r="D1112" s="526" t="s">
        <v>1346</v>
      </c>
      <c r="E1112" s="526" t="s">
        <v>1797</v>
      </c>
      <c r="F1112" s="526" t="s">
        <v>2178</v>
      </c>
      <c r="G1112" s="526" t="s">
        <v>5810</v>
      </c>
      <c r="H1112" s="412">
        <v>0</v>
      </c>
      <c r="I1112" s="411">
        <v>0</v>
      </c>
      <c r="J1112" s="411">
        <v>44.507080000000002</v>
      </c>
      <c r="K1112" s="411">
        <v>0</v>
      </c>
      <c r="L1112" s="526" t="s">
        <v>554</v>
      </c>
    </row>
    <row r="1113" spans="1:12" ht="15" x14ac:dyDescent="0.25">
      <c r="A1113">
        <v>246803</v>
      </c>
      <c r="B1113" t="e">
        <f t="shared" si="40"/>
        <v>#N/A</v>
      </c>
      <c r="C1113" s="198" t="e">
        <f t="shared" si="41"/>
        <v>#N/A</v>
      </c>
      <c r="D1113" s="526" t="e">
        <v>#N/A</v>
      </c>
      <c r="E1113" s="526" t="e">
        <v>#N/A</v>
      </c>
      <c r="F1113" s="526" t="e">
        <v>#N/A</v>
      </c>
      <c r="G1113" s="526" t="e">
        <v>#N/A</v>
      </c>
      <c r="H1113" s="412" t="e">
        <v>#N/A</v>
      </c>
      <c r="I1113" s="411" t="e">
        <v>#N/A</v>
      </c>
      <c r="J1113" s="411" t="e">
        <v>#N/A</v>
      </c>
      <c r="K1113" s="411" t="e">
        <v>#N/A</v>
      </c>
      <c r="L1113" s="526" t="e">
        <v>#N/A</v>
      </c>
    </row>
    <row r="1114" spans="1:12" ht="15" x14ac:dyDescent="0.25">
      <c r="A1114">
        <v>277766</v>
      </c>
      <c r="B1114" t="e">
        <f t="shared" si="40"/>
        <v>#N/A</v>
      </c>
      <c r="C1114" s="198" t="e">
        <f t="shared" si="41"/>
        <v>#N/A</v>
      </c>
      <c r="D1114" s="526" t="e">
        <v>#N/A</v>
      </c>
      <c r="E1114" s="526" t="e">
        <v>#N/A</v>
      </c>
      <c r="F1114" s="526" t="e">
        <v>#N/A</v>
      </c>
      <c r="G1114" s="526" t="e">
        <v>#N/A</v>
      </c>
      <c r="H1114" s="412" t="e">
        <v>#N/A</v>
      </c>
      <c r="I1114" s="411" t="e">
        <v>#N/A</v>
      </c>
      <c r="J1114" s="411" t="e">
        <v>#N/A</v>
      </c>
      <c r="K1114" s="411" t="e">
        <v>#N/A</v>
      </c>
      <c r="L1114" s="526" t="e">
        <v>#N/A</v>
      </c>
    </row>
    <row r="1115" spans="1:12" ht="15" x14ac:dyDescent="0.25">
      <c r="A1115">
        <v>277767</v>
      </c>
      <c r="B1115" t="e">
        <f t="shared" si="40"/>
        <v>#N/A</v>
      </c>
      <c r="C1115" s="198" t="e">
        <f t="shared" si="41"/>
        <v>#N/A</v>
      </c>
      <c r="D1115" s="526" t="e">
        <v>#N/A</v>
      </c>
      <c r="E1115" s="526" t="e">
        <v>#N/A</v>
      </c>
      <c r="F1115" s="526" t="e">
        <v>#N/A</v>
      </c>
      <c r="G1115" s="526" t="e">
        <v>#N/A</v>
      </c>
      <c r="H1115" s="412" t="e">
        <v>#N/A</v>
      </c>
      <c r="I1115" s="411" t="e">
        <v>#N/A</v>
      </c>
      <c r="J1115" s="411" t="e">
        <v>#N/A</v>
      </c>
      <c r="K1115" s="411" t="e">
        <v>#N/A</v>
      </c>
      <c r="L1115" s="526" t="e">
        <v>#N/A</v>
      </c>
    </row>
    <row r="1116" spans="1:12" ht="15" x14ac:dyDescent="0.25">
      <c r="A1116">
        <v>278164</v>
      </c>
      <c r="B1116" t="str">
        <f t="shared" si="40"/>
        <v>SEVROLL 03607 Gemini úchytová lišta 2,7m čierna mat</v>
      </c>
      <c r="C1116" s="198">
        <f t="shared" si="41"/>
        <v>24.35286</v>
      </c>
      <c r="D1116" s="526" t="s">
        <v>1347</v>
      </c>
      <c r="E1116" s="526" t="s">
        <v>1798</v>
      </c>
      <c r="F1116" s="526" t="s">
        <v>5811</v>
      </c>
      <c r="G1116" s="526" t="s">
        <v>2377</v>
      </c>
      <c r="H1116" s="412">
        <v>674.30735000000004</v>
      </c>
      <c r="I1116" s="411">
        <v>24.35286</v>
      </c>
      <c r="J1116" s="411">
        <v>102.67319999999999</v>
      </c>
      <c r="K1116" s="411">
        <v>9270.5131500000007</v>
      </c>
      <c r="L1116" s="526" t="s">
        <v>554</v>
      </c>
    </row>
    <row r="1117" spans="1:12" ht="15" x14ac:dyDescent="0.25">
      <c r="A1117">
        <v>278168</v>
      </c>
      <c r="B1117" t="e">
        <f t="shared" si="40"/>
        <v>#N/A</v>
      </c>
      <c r="C1117" s="198" t="e">
        <f t="shared" si="41"/>
        <v>#N/A</v>
      </c>
      <c r="D1117" s="526" t="e">
        <v>#N/A</v>
      </c>
      <c r="E1117" s="526" t="e">
        <v>#N/A</v>
      </c>
      <c r="F1117" s="526" t="e">
        <v>#N/A</v>
      </c>
      <c r="G1117" s="526" t="e">
        <v>#N/A</v>
      </c>
      <c r="H1117" s="412" t="e">
        <v>#N/A</v>
      </c>
      <c r="I1117" s="411" t="e">
        <v>#N/A</v>
      </c>
      <c r="J1117" s="411" t="e">
        <v>#N/A</v>
      </c>
      <c r="K1117" s="411" t="e">
        <v>#N/A</v>
      </c>
      <c r="L1117" s="526" t="e">
        <v>#N/A</v>
      </c>
    </row>
    <row r="1118" spans="1:12" ht="15" x14ac:dyDescent="0.25">
      <c r="A1118">
        <v>278180</v>
      </c>
      <c r="B1118" t="e">
        <f t="shared" si="40"/>
        <v>#N/A</v>
      </c>
      <c r="C1118" s="198" t="e">
        <f t="shared" si="41"/>
        <v>#N/A</v>
      </c>
      <c r="D1118" s="526" t="e">
        <v>#N/A</v>
      </c>
      <c r="E1118" s="526" t="e">
        <v>#N/A</v>
      </c>
      <c r="F1118" s="526" t="e">
        <v>#N/A</v>
      </c>
      <c r="G1118" s="526" t="e">
        <v>#N/A</v>
      </c>
      <c r="H1118" s="412" t="e">
        <v>#N/A</v>
      </c>
      <c r="I1118" s="411" t="e">
        <v>#N/A</v>
      </c>
      <c r="J1118" s="411" t="e">
        <v>#N/A</v>
      </c>
      <c r="K1118" s="411" t="e">
        <v>#N/A</v>
      </c>
      <c r="L1118" s="526" t="e">
        <v>#N/A</v>
      </c>
    </row>
    <row r="1119" spans="1:12" ht="15" x14ac:dyDescent="0.25">
      <c r="A1119">
        <v>278182</v>
      </c>
      <c r="B1119" t="e">
        <f t="shared" ref="B1119:B1154" si="42">IF($A$2=1,D1119,IF($A$2=2,F1119,IF($A$2=3,G1119,IF($A$2=4,E1119,"zadat jazyk"))))</f>
        <v>#N/A</v>
      </c>
      <c r="C1119" s="198" t="e">
        <f t="shared" ref="C1119:C1154" si="43">IF($A$2=1,H1119,IF($A$2=2,I1119,IF($A$2=3,J1119,IF($A$2=4,K1119,"zadat jazyk"))))</f>
        <v>#N/A</v>
      </c>
      <c r="D1119" s="526" t="e">
        <v>#N/A</v>
      </c>
      <c r="E1119" s="526" t="e">
        <v>#N/A</v>
      </c>
      <c r="F1119" s="526" t="e">
        <v>#N/A</v>
      </c>
      <c r="G1119" s="526" t="e">
        <v>#N/A</v>
      </c>
      <c r="H1119" s="412" t="e">
        <v>#N/A</v>
      </c>
      <c r="I1119" s="411" t="e">
        <v>#N/A</v>
      </c>
      <c r="J1119" s="411" t="e">
        <v>#N/A</v>
      </c>
      <c r="K1119" s="411" t="e">
        <v>#N/A</v>
      </c>
      <c r="L1119" s="526" t="e">
        <v>#N/A</v>
      </c>
    </row>
    <row r="1120" spans="1:12" ht="15" x14ac:dyDescent="0.25">
      <c r="A1120">
        <v>405105</v>
      </c>
      <c r="B1120" t="e">
        <f t="shared" si="42"/>
        <v>#N/A</v>
      </c>
      <c r="C1120" s="198" t="e">
        <f t="shared" si="43"/>
        <v>#N/A</v>
      </c>
      <c r="D1120" s="526" t="e">
        <v>#N/A</v>
      </c>
      <c r="E1120" s="526" t="e">
        <v>#N/A</v>
      </c>
      <c r="F1120" s="526" t="e">
        <v>#N/A</v>
      </c>
      <c r="G1120" s="526" t="e">
        <v>#N/A</v>
      </c>
      <c r="H1120" s="412" t="e">
        <v>#N/A</v>
      </c>
      <c r="I1120" s="411" t="e">
        <v>#N/A</v>
      </c>
      <c r="J1120" s="411" t="e">
        <v>#N/A</v>
      </c>
      <c r="K1120" s="411" t="e">
        <v>#N/A</v>
      </c>
      <c r="L1120" s="526" t="e">
        <v>#N/A</v>
      </c>
    </row>
    <row r="1121" spans="1:12" ht="15" x14ac:dyDescent="0.25">
      <c r="A1121">
        <v>405106</v>
      </c>
      <c r="B1121" t="e">
        <f t="shared" si="42"/>
        <v>#N/A</v>
      </c>
      <c r="C1121" s="198" t="e">
        <f t="shared" si="43"/>
        <v>#N/A</v>
      </c>
      <c r="D1121" s="526" t="e">
        <v>#N/A</v>
      </c>
      <c r="E1121" s="526" t="e">
        <v>#N/A</v>
      </c>
      <c r="F1121" s="526" t="e">
        <v>#N/A</v>
      </c>
      <c r="G1121" s="526" t="e">
        <v>#N/A</v>
      </c>
      <c r="H1121" s="412" t="e">
        <v>#N/A</v>
      </c>
      <c r="I1121" s="411" t="e">
        <v>#N/A</v>
      </c>
      <c r="J1121" s="411" t="e">
        <v>#N/A</v>
      </c>
      <c r="K1121" s="411" t="e">
        <v>#N/A</v>
      </c>
      <c r="L1121" s="526" t="e">
        <v>#N/A</v>
      </c>
    </row>
    <row r="1122" spans="1:12" ht="15" x14ac:dyDescent="0.25">
      <c r="A1122">
        <v>405108</v>
      </c>
      <c r="B1122" t="e">
        <f t="shared" si="42"/>
        <v>#N/A</v>
      </c>
      <c r="C1122" s="198" t="e">
        <f t="shared" si="43"/>
        <v>#N/A</v>
      </c>
      <c r="D1122" s="526" t="e">
        <v>#N/A</v>
      </c>
      <c r="E1122" s="526" t="e">
        <v>#N/A</v>
      </c>
      <c r="F1122" s="526" t="e">
        <v>#N/A</v>
      </c>
      <c r="G1122" s="526" t="e">
        <v>#N/A</v>
      </c>
      <c r="H1122" s="412" t="e">
        <v>#N/A</v>
      </c>
      <c r="I1122" s="411" t="e">
        <v>#N/A</v>
      </c>
      <c r="J1122" s="411" t="e">
        <v>#N/A</v>
      </c>
      <c r="K1122" s="411" t="e">
        <v>#N/A</v>
      </c>
      <c r="L1122" s="526" t="e">
        <v>#N/A</v>
      </c>
    </row>
    <row r="1123" spans="1:12" ht="15" x14ac:dyDescent="0.25">
      <c r="A1123">
        <v>405111</v>
      </c>
      <c r="B1123" t="e">
        <f t="shared" si="42"/>
        <v>#N/A</v>
      </c>
      <c r="C1123" s="198" t="e">
        <f t="shared" si="43"/>
        <v>#N/A</v>
      </c>
      <c r="D1123" s="526" t="e">
        <v>#N/A</v>
      </c>
      <c r="E1123" s="526" t="e">
        <v>#N/A</v>
      </c>
      <c r="F1123" s="526" t="e">
        <v>#N/A</v>
      </c>
      <c r="G1123" s="526" t="e">
        <v>#N/A</v>
      </c>
      <c r="H1123" s="412" t="e">
        <v>#N/A</v>
      </c>
      <c r="I1123" s="411" t="e">
        <v>#N/A</v>
      </c>
      <c r="J1123" s="411" t="e">
        <v>#N/A</v>
      </c>
      <c r="K1123" s="411" t="e">
        <v>#N/A</v>
      </c>
      <c r="L1123" s="526" t="e">
        <v>#N/A</v>
      </c>
    </row>
    <row r="1124" spans="1:12" ht="15" x14ac:dyDescent="0.25">
      <c r="A1124">
        <v>405112</v>
      </c>
      <c r="B1124" t="e">
        <f t="shared" si="42"/>
        <v>#N/A</v>
      </c>
      <c r="C1124" s="198" t="e">
        <f t="shared" si="43"/>
        <v>#N/A</v>
      </c>
      <c r="D1124" s="526" t="e">
        <v>#N/A</v>
      </c>
      <c r="E1124" s="526" t="e">
        <v>#N/A</v>
      </c>
      <c r="F1124" s="526" t="e">
        <v>#N/A</v>
      </c>
      <c r="G1124" s="526" t="e">
        <v>#N/A</v>
      </c>
      <c r="H1124" s="412" t="e">
        <v>#N/A</v>
      </c>
      <c r="I1124" s="411" t="e">
        <v>#N/A</v>
      </c>
      <c r="J1124" s="411" t="e">
        <v>#N/A</v>
      </c>
      <c r="K1124" s="411" t="e">
        <v>#N/A</v>
      </c>
      <c r="L1124" s="526" t="e">
        <v>#N/A</v>
      </c>
    </row>
    <row r="1125" spans="1:12" ht="15" x14ac:dyDescent="0.25">
      <c r="A1125">
        <v>405114</v>
      </c>
      <c r="B1125" t="e">
        <f t="shared" si="42"/>
        <v>#N/A</v>
      </c>
      <c r="C1125" s="198" t="e">
        <f t="shared" si="43"/>
        <v>#N/A</v>
      </c>
      <c r="D1125" s="526" t="e">
        <v>#N/A</v>
      </c>
      <c r="E1125" s="526" t="e">
        <v>#N/A</v>
      </c>
      <c r="F1125" s="526" t="e">
        <v>#N/A</v>
      </c>
      <c r="G1125" s="526" t="e">
        <v>#N/A</v>
      </c>
      <c r="H1125" s="412" t="e">
        <v>#N/A</v>
      </c>
      <c r="I1125" s="411" t="e">
        <v>#N/A</v>
      </c>
      <c r="J1125" s="411" t="e">
        <v>#N/A</v>
      </c>
      <c r="K1125" s="411" t="e">
        <v>#N/A</v>
      </c>
      <c r="L1125" s="526" t="e">
        <v>#N/A</v>
      </c>
    </row>
    <row r="1126" spans="1:12" ht="15" x14ac:dyDescent="0.25">
      <c r="A1126">
        <v>405115</v>
      </c>
      <c r="B1126" t="e">
        <f t="shared" si="42"/>
        <v>#N/A</v>
      </c>
      <c r="C1126" s="198" t="e">
        <f t="shared" si="43"/>
        <v>#N/A</v>
      </c>
      <c r="D1126" s="526" t="e">
        <v>#N/A</v>
      </c>
      <c r="E1126" s="526" t="e">
        <v>#N/A</v>
      </c>
      <c r="F1126" s="526" t="e">
        <v>#N/A</v>
      </c>
      <c r="G1126" s="526" t="e">
        <v>#N/A</v>
      </c>
      <c r="H1126" s="412" t="e">
        <v>#N/A</v>
      </c>
      <c r="I1126" s="411" t="e">
        <v>#N/A</v>
      </c>
      <c r="J1126" s="411" t="e">
        <v>#N/A</v>
      </c>
      <c r="K1126" s="411" t="e">
        <v>#N/A</v>
      </c>
      <c r="L1126" s="526" t="e">
        <v>#N/A</v>
      </c>
    </row>
    <row r="1127" spans="1:12" ht="15" x14ac:dyDescent="0.25">
      <c r="A1127">
        <v>405116</v>
      </c>
      <c r="B1127" t="e">
        <f t="shared" si="42"/>
        <v>#N/A</v>
      </c>
      <c r="C1127" s="198" t="e">
        <f t="shared" si="43"/>
        <v>#N/A</v>
      </c>
      <c r="D1127" s="526" t="e">
        <v>#N/A</v>
      </c>
      <c r="E1127" s="526" t="e">
        <v>#N/A</v>
      </c>
      <c r="F1127" s="526" t="e">
        <v>#N/A</v>
      </c>
      <c r="G1127" s="526" t="e">
        <v>#N/A</v>
      </c>
      <c r="H1127" s="412" t="e">
        <v>#N/A</v>
      </c>
      <c r="I1127" s="411" t="e">
        <v>#N/A</v>
      </c>
      <c r="J1127" s="411" t="e">
        <v>#N/A</v>
      </c>
      <c r="K1127" s="411" t="e">
        <v>#N/A</v>
      </c>
      <c r="L1127" s="526" t="e">
        <v>#N/A</v>
      </c>
    </row>
    <row r="1128" spans="1:12" ht="15" x14ac:dyDescent="0.25">
      <c r="A1128">
        <v>405221</v>
      </c>
      <c r="B1128" t="e">
        <f t="shared" si="42"/>
        <v>#N/A</v>
      </c>
      <c r="C1128" s="198" t="e">
        <f t="shared" si="43"/>
        <v>#N/A</v>
      </c>
      <c r="D1128" s="526" t="e">
        <v>#N/A</v>
      </c>
      <c r="E1128" s="526" t="e">
        <v>#N/A</v>
      </c>
      <c r="F1128" s="526" t="e">
        <v>#N/A</v>
      </c>
      <c r="G1128" s="526" t="e">
        <v>#N/A</v>
      </c>
      <c r="H1128" s="412" t="e">
        <v>#N/A</v>
      </c>
      <c r="I1128" s="411" t="e">
        <v>#N/A</v>
      </c>
      <c r="J1128" s="411" t="e">
        <v>#N/A</v>
      </c>
      <c r="K1128" s="411" t="e">
        <v>#N/A</v>
      </c>
      <c r="L1128" s="526" t="e">
        <v>#N/A</v>
      </c>
    </row>
    <row r="1129" spans="1:12" ht="15" x14ac:dyDescent="0.25">
      <c r="A1129">
        <v>381292</v>
      </c>
      <c r="B1129" t="e">
        <f t="shared" si="42"/>
        <v>#N/A</v>
      </c>
      <c r="C1129" s="198" t="e">
        <f t="shared" si="43"/>
        <v>#N/A</v>
      </c>
      <c r="D1129" s="526" t="e">
        <v>#N/A</v>
      </c>
      <c r="E1129" s="526" t="e">
        <v>#N/A</v>
      </c>
      <c r="F1129" s="526" t="e">
        <v>#N/A</v>
      </c>
      <c r="G1129" s="526" t="e">
        <v>#N/A</v>
      </c>
      <c r="H1129" s="412" t="e">
        <v>#N/A</v>
      </c>
      <c r="I1129" s="411" t="e">
        <v>#N/A</v>
      </c>
      <c r="J1129" s="411" t="e">
        <v>#N/A</v>
      </c>
      <c r="K1129" s="411" t="e">
        <v>#N/A</v>
      </c>
      <c r="L1129" s="526" t="e">
        <v>#N/A</v>
      </c>
    </row>
    <row r="1130" spans="1:12" ht="15" x14ac:dyDescent="0.25">
      <c r="A1130">
        <v>382056</v>
      </c>
      <c r="B1130" t="e">
        <f t="shared" si="42"/>
        <v>#N/A</v>
      </c>
      <c r="C1130" s="198" t="e">
        <f t="shared" si="43"/>
        <v>#N/A</v>
      </c>
      <c r="D1130" s="526" t="e">
        <v>#N/A</v>
      </c>
      <c r="E1130" s="526" t="e">
        <v>#N/A</v>
      </c>
      <c r="F1130" s="526" t="e">
        <v>#N/A</v>
      </c>
      <c r="G1130" s="526" t="e">
        <v>#N/A</v>
      </c>
      <c r="H1130" s="412" t="e">
        <v>#N/A</v>
      </c>
      <c r="I1130" s="411" t="e">
        <v>#N/A</v>
      </c>
      <c r="J1130" s="411" t="e">
        <v>#N/A</v>
      </c>
      <c r="K1130" s="411" t="e">
        <v>#N/A</v>
      </c>
      <c r="L1130" s="526" t="e">
        <v>#N/A</v>
      </c>
    </row>
    <row r="1131" spans="1:12" ht="15" x14ac:dyDescent="0.25">
      <c r="A1131">
        <v>382058</v>
      </c>
      <c r="B1131" t="e">
        <f t="shared" si="42"/>
        <v>#N/A</v>
      </c>
      <c r="C1131" s="198" t="e">
        <f t="shared" si="43"/>
        <v>#N/A</v>
      </c>
      <c r="D1131" s="526" t="e">
        <v>#N/A</v>
      </c>
      <c r="E1131" s="526" t="e">
        <v>#N/A</v>
      </c>
      <c r="F1131" s="526" t="e">
        <v>#N/A</v>
      </c>
      <c r="G1131" s="526" t="e">
        <v>#N/A</v>
      </c>
      <c r="H1131" s="412" t="e">
        <v>#N/A</v>
      </c>
      <c r="I1131" s="411" t="e">
        <v>#N/A</v>
      </c>
      <c r="J1131" s="411" t="e">
        <v>#N/A</v>
      </c>
      <c r="K1131" s="411" t="e">
        <v>#N/A</v>
      </c>
      <c r="L1131" s="526" t="e">
        <v>#N/A</v>
      </c>
    </row>
    <row r="1132" spans="1:12" ht="15" x14ac:dyDescent="0.25">
      <c r="A1132">
        <v>382059</v>
      </c>
      <c r="B1132" t="e">
        <f t="shared" si="42"/>
        <v>#N/A</v>
      </c>
      <c r="C1132" s="198" t="e">
        <f t="shared" si="43"/>
        <v>#N/A</v>
      </c>
      <c r="D1132" s="526" t="e">
        <v>#N/A</v>
      </c>
      <c r="E1132" s="526" t="e">
        <v>#N/A</v>
      </c>
      <c r="F1132" s="526" t="e">
        <v>#N/A</v>
      </c>
      <c r="G1132" s="526" t="e">
        <v>#N/A</v>
      </c>
      <c r="H1132" s="412" t="e">
        <v>#N/A</v>
      </c>
      <c r="I1132" s="411" t="e">
        <v>#N/A</v>
      </c>
      <c r="J1132" s="411" t="e">
        <v>#N/A</v>
      </c>
      <c r="K1132" s="411" t="e">
        <v>#N/A</v>
      </c>
      <c r="L1132" s="526" t="e">
        <v>#N/A</v>
      </c>
    </row>
    <row r="1133" spans="1:12" ht="15" x14ac:dyDescent="0.25">
      <c r="A1133">
        <v>382212</v>
      </c>
      <c r="B1133" t="e">
        <f t="shared" si="42"/>
        <v>#N/A</v>
      </c>
      <c r="C1133" s="198" t="e">
        <f t="shared" si="43"/>
        <v>#N/A</v>
      </c>
      <c r="D1133" s="526" t="e">
        <v>#N/A</v>
      </c>
      <c r="E1133" s="526" t="e">
        <v>#N/A</v>
      </c>
      <c r="F1133" s="526" t="e">
        <v>#N/A</v>
      </c>
      <c r="G1133" s="526" t="e">
        <v>#N/A</v>
      </c>
      <c r="H1133" s="412" t="e">
        <v>#N/A</v>
      </c>
      <c r="I1133" s="411" t="e">
        <v>#N/A</v>
      </c>
      <c r="J1133" s="411" t="e">
        <v>#N/A</v>
      </c>
      <c r="K1133" s="411" t="e">
        <v>#N/A</v>
      </c>
      <c r="L1133" s="526" t="e">
        <v>#N/A</v>
      </c>
    </row>
    <row r="1134" spans="1:12" ht="15" x14ac:dyDescent="0.25">
      <c r="A1134">
        <v>382210</v>
      </c>
      <c r="B1134" t="e">
        <f t="shared" si="42"/>
        <v>#N/A</v>
      </c>
      <c r="C1134" s="198" t="e">
        <f t="shared" si="43"/>
        <v>#N/A</v>
      </c>
      <c r="D1134" s="526" t="e">
        <v>#N/A</v>
      </c>
      <c r="E1134" s="526" t="e">
        <v>#N/A</v>
      </c>
      <c r="F1134" s="526" t="e">
        <v>#N/A</v>
      </c>
      <c r="G1134" s="526" t="e">
        <v>#N/A</v>
      </c>
      <c r="H1134" s="412" t="e">
        <v>#N/A</v>
      </c>
      <c r="I1134" s="411" t="e">
        <v>#N/A</v>
      </c>
      <c r="J1134" s="411" t="e">
        <v>#N/A</v>
      </c>
      <c r="K1134" s="411" t="e">
        <v>#N/A</v>
      </c>
      <c r="L1134" s="526" t="e">
        <v>#N/A</v>
      </c>
    </row>
    <row r="1135" spans="1:12" ht="15" x14ac:dyDescent="0.25">
      <c r="A1135">
        <v>382213</v>
      </c>
      <c r="B1135" t="e">
        <f t="shared" si="42"/>
        <v>#N/A</v>
      </c>
      <c r="C1135" s="198" t="e">
        <f t="shared" si="43"/>
        <v>#N/A</v>
      </c>
      <c r="D1135" s="526" t="e">
        <v>#N/A</v>
      </c>
      <c r="E1135" s="526" t="e">
        <v>#N/A</v>
      </c>
      <c r="F1135" s="526" t="e">
        <v>#N/A</v>
      </c>
      <c r="G1135" s="526" t="e">
        <v>#N/A</v>
      </c>
      <c r="H1135" s="412" t="e">
        <v>#N/A</v>
      </c>
      <c r="I1135" s="411" t="e">
        <v>#N/A</v>
      </c>
      <c r="J1135" s="411" t="e">
        <v>#N/A</v>
      </c>
      <c r="K1135" s="411" t="e">
        <v>#N/A</v>
      </c>
      <c r="L1135" s="526" t="e">
        <v>#N/A</v>
      </c>
    </row>
    <row r="1136" spans="1:12" ht="15" x14ac:dyDescent="0.25">
      <c r="A1136">
        <v>382214</v>
      </c>
      <c r="B1136" t="e">
        <f t="shared" si="42"/>
        <v>#N/A</v>
      </c>
      <c r="C1136" s="198" t="e">
        <f t="shared" si="43"/>
        <v>#N/A</v>
      </c>
      <c r="D1136" s="526" t="e">
        <v>#N/A</v>
      </c>
      <c r="E1136" s="526" t="e">
        <v>#N/A</v>
      </c>
      <c r="F1136" s="526" t="e">
        <v>#N/A</v>
      </c>
      <c r="G1136" s="526" t="e">
        <v>#N/A</v>
      </c>
      <c r="H1136" s="412" t="e">
        <v>#N/A</v>
      </c>
      <c r="I1136" s="411" t="e">
        <v>#N/A</v>
      </c>
      <c r="J1136" s="411" t="e">
        <v>#N/A</v>
      </c>
      <c r="K1136" s="411" t="e">
        <v>#N/A</v>
      </c>
      <c r="L1136" s="526" t="e">
        <v>#N/A</v>
      </c>
    </row>
    <row r="1137" spans="1:12" ht="15" x14ac:dyDescent="0.25">
      <c r="A1137">
        <v>382216</v>
      </c>
      <c r="B1137" t="e">
        <f t="shared" si="42"/>
        <v>#N/A</v>
      </c>
      <c r="C1137" s="198" t="e">
        <f t="shared" si="43"/>
        <v>#N/A</v>
      </c>
      <c r="D1137" s="526" t="e">
        <v>#N/A</v>
      </c>
      <c r="E1137" s="526" t="e">
        <v>#N/A</v>
      </c>
      <c r="F1137" s="526" t="e">
        <v>#N/A</v>
      </c>
      <c r="G1137" s="526" t="e">
        <v>#N/A</v>
      </c>
      <c r="H1137" s="412" t="e">
        <v>#N/A</v>
      </c>
      <c r="I1137" s="411" t="e">
        <v>#N/A</v>
      </c>
      <c r="J1137" s="411" t="e">
        <v>#N/A</v>
      </c>
      <c r="K1137" s="411" t="e">
        <v>#N/A</v>
      </c>
      <c r="L1137" s="526" t="e">
        <v>#N/A</v>
      </c>
    </row>
    <row r="1138" spans="1:12" ht="15" x14ac:dyDescent="0.25">
      <c r="A1138">
        <v>382220</v>
      </c>
      <c r="B1138" t="e">
        <f t="shared" si="42"/>
        <v>#N/A</v>
      </c>
      <c r="C1138" s="198" t="e">
        <f t="shared" si="43"/>
        <v>#N/A</v>
      </c>
      <c r="D1138" s="526" t="e">
        <v>#N/A</v>
      </c>
      <c r="E1138" s="526" t="e">
        <v>#N/A</v>
      </c>
      <c r="F1138" s="526" t="e">
        <v>#N/A</v>
      </c>
      <c r="G1138" s="526" t="e">
        <v>#N/A</v>
      </c>
      <c r="H1138" s="412" t="e">
        <v>#N/A</v>
      </c>
      <c r="I1138" s="411" t="e">
        <v>#N/A</v>
      </c>
      <c r="J1138" s="411" t="e">
        <v>#N/A</v>
      </c>
      <c r="K1138" s="411" t="e">
        <v>#N/A</v>
      </c>
      <c r="L1138" s="526" t="e">
        <v>#N/A</v>
      </c>
    </row>
    <row r="1139" spans="1:12" ht="15" x14ac:dyDescent="0.25">
      <c r="A1139">
        <v>455042</v>
      </c>
      <c r="B1139" t="e">
        <f t="shared" si="42"/>
        <v>#N/A</v>
      </c>
      <c r="C1139" s="198" t="e">
        <f t="shared" si="43"/>
        <v>#N/A</v>
      </c>
      <c r="D1139" s="526" t="e">
        <v>#N/A</v>
      </c>
      <c r="E1139" s="526" t="e">
        <v>#N/A</v>
      </c>
      <c r="F1139" s="526" t="e">
        <v>#N/A</v>
      </c>
      <c r="G1139" s="526" t="e">
        <v>#N/A</v>
      </c>
      <c r="H1139" s="412" t="e">
        <v>#N/A</v>
      </c>
      <c r="I1139" s="411" t="e">
        <v>#N/A</v>
      </c>
      <c r="J1139" s="411" t="e">
        <v>#N/A</v>
      </c>
      <c r="K1139" s="411" t="e">
        <v>#N/A</v>
      </c>
      <c r="L1139" s="526" t="e">
        <v>#N/A</v>
      </c>
    </row>
    <row r="1140" spans="1:12" ht="15" x14ac:dyDescent="0.25">
      <c r="A1140">
        <v>363467</v>
      </c>
      <c r="B1140" t="e">
        <f t="shared" si="42"/>
        <v>#N/A</v>
      </c>
      <c r="C1140" s="198" t="e">
        <f t="shared" si="43"/>
        <v>#N/A</v>
      </c>
      <c r="D1140" s="526" t="e">
        <v>#N/A</v>
      </c>
      <c r="E1140" s="526" t="e">
        <v>#N/A</v>
      </c>
      <c r="F1140" s="526" t="e">
        <v>#N/A</v>
      </c>
      <c r="G1140" s="526" t="e">
        <v>#N/A</v>
      </c>
      <c r="H1140" s="412" t="e">
        <v>#N/A</v>
      </c>
      <c r="I1140" s="411" t="e">
        <v>#N/A</v>
      </c>
      <c r="J1140" s="411" t="e">
        <v>#N/A</v>
      </c>
      <c r="K1140" s="411" t="e">
        <v>#N/A</v>
      </c>
      <c r="L1140" s="526" t="e">
        <v>#N/A</v>
      </c>
    </row>
    <row r="1141" spans="1:12" ht="15" x14ac:dyDescent="0.25">
      <c r="A1141">
        <v>364013</v>
      </c>
      <c r="B1141" t="e">
        <f t="shared" si="42"/>
        <v>#N/A</v>
      </c>
      <c r="C1141" s="198" t="e">
        <f t="shared" si="43"/>
        <v>#N/A</v>
      </c>
      <c r="D1141" s="526" t="e">
        <v>#N/A</v>
      </c>
      <c r="E1141" s="526" t="e">
        <v>#N/A</v>
      </c>
      <c r="F1141" s="526" t="e">
        <v>#N/A</v>
      </c>
      <c r="G1141" s="526" t="e">
        <v>#N/A</v>
      </c>
      <c r="H1141" s="412" t="e">
        <v>#N/A</v>
      </c>
      <c r="I1141" s="411" t="e">
        <v>#N/A</v>
      </c>
      <c r="J1141" s="411" t="e">
        <v>#N/A</v>
      </c>
      <c r="K1141" s="411" t="e">
        <v>#N/A</v>
      </c>
      <c r="L1141" s="526" t="e">
        <v>#N/A</v>
      </c>
    </row>
    <row r="1142" spans="1:12" ht="15" x14ac:dyDescent="0.25">
      <c r="A1142">
        <v>160267</v>
      </c>
      <c r="B1142" t="e">
        <f t="shared" si="42"/>
        <v>#N/A</v>
      </c>
      <c r="C1142" s="198" t="e">
        <f t="shared" si="43"/>
        <v>#N/A</v>
      </c>
      <c r="D1142" s="526" t="e">
        <v>#N/A</v>
      </c>
      <c r="E1142" s="526" t="e">
        <v>#N/A</v>
      </c>
      <c r="F1142" s="526" t="e">
        <v>#N/A</v>
      </c>
      <c r="G1142" s="526" t="e">
        <v>#N/A</v>
      </c>
      <c r="H1142" s="412" t="e">
        <v>#N/A</v>
      </c>
      <c r="I1142" s="411" t="e">
        <v>#N/A</v>
      </c>
      <c r="J1142" s="411" t="e">
        <v>#N/A</v>
      </c>
      <c r="K1142" s="411" t="e">
        <v>#N/A</v>
      </c>
      <c r="L1142" s="526" t="e">
        <v>#N/A</v>
      </c>
    </row>
    <row r="1143" spans="1:12" ht="15" x14ac:dyDescent="0.25">
      <c r="A1143">
        <v>160268</v>
      </c>
      <c r="B1143" t="e">
        <f t="shared" si="42"/>
        <v>#N/A</v>
      </c>
      <c r="C1143" s="198" t="e">
        <f t="shared" si="43"/>
        <v>#N/A</v>
      </c>
      <c r="D1143" s="526" t="e">
        <v>#N/A</v>
      </c>
      <c r="E1143" s="526" t="e">
        <v>#N/A</v>
      </c>
      <c r="F1143" s="526" t="e">
        <v>#N/A</v>
      </c>
      <c r="G1143" s="526" t="e">
        <v>#N/A</v>
      </c>
      <c r="H1143" s="412" t="e">
        <v>#N/A</v>
      </c>
      <c r="I1143" s="411" t="e">
        <v>#N/A</v>
      </c>
      <c r="J1143" s="411" t="e">
        <v>#N/A</v>
      </c>
      <c r="K1143" s="411" t="e">
        <v>#N/A</v>
      </c>
      <c r="L1143" s="526" t="e">
        <v>#N/A</v>
      </c>
    </row>
    <row r="1144" spans="1:12" ht="15" x14ac:dyDescent="0.25">
      <c r="A1144">
        <v>160269</v>
      </c>
      <c r="B1144" t="e">
        <f t="shared" si="42"/>
        <v>#N/A</v>
      </c>
      <c r="C1144" s="198" t="e">
        <f t="shared" si="43"/>
        <v>#N/A</v>
      </c>
      <c r="D1144" s="526" t="e">
        <v>#N/A</v>
      </c>
      <c r="E1144" s="526" t="e">
        <v>#N/A</v>
      </c>
      <c r="F1144" s="526" t="e">
        <v>#N/A</v>
      </c>
      <c r="G1144" s="526" t="e">
        <v>#N/A</v>
      </c>
      <c r="H1144" s="412" t="e">
        <v>#N/A</v>
      </c>
      <c r="I1144" s="411" t="e">
        <v>#N/A</v>
      </c>
      <c r="J1144" s="411" t="e">
        <v>#N/A</v>
      </c>
      <c r="K1144" s="411" t="e">
        <v>#N/A</v>
      </c>
      <c r="L1144" s="526" t="e">
        <v>#N/A</v>
      </c>
    </row>
    <row r="1145" spans="1:12" ht="15" x14ac:dyDescent="0.25">
      <c r="A1145">
        <v>160270</v>
      </c>
      <c r="B1145" t="e">
        <f t="shared" si="42"/>
        <v>#N/A</v>
      </c>
      <c r="C1145" s="198" t="e">
        <f t="shared" si="43"/>
        <v>#N/A</v>
      </c>
      <c r="D1145" s="526" t="e">
        <v>#N/A</v>
      </c>
      <c r="E1145" s="526" t="e">
        <v>#N/A</v>
      </c>
      <c r="F1145" s="526" t="e">
        <v>#N/A</v>
      </c>
      <c r="G1145" s="526" t="e">
        <v>#N/A</v>
      </c>
      <c r="H1145" s="412" t="e">
        <v>#N/A</v>
      </c>
      <c r="I1145" s="411" t="e">
        <v>#N/A</v>
      </c>
      <c r="J1145" s="411" t="e">
        <v>#N/A</v>
      </c>
      <c r="K1145" s="411" t="e">
        <v>#N/A</v>
      </c>
      <c r="L1145" s="526" t="e">
        <v>#N/A</v>
      </c>
    </row>
    <row r="1146" spans="1:12" ht="15" x14ac:dyDescent="0.25">
      <c r="A1146">
        <v>160271</v>
      </c>
      <c r="B1146" t="e">
        <f t="shared" si="42"/>
        <v>#N/A</v>
      </c>
      <c r="C1146" s="198" t="e">
        <f t="shared" si="43"/>
        <v>#N/A</v>
      </c>
      <c r="D1146" s="526" t="e">
        <v>#N/A</v>
      </c>
      <c r="E1146" s="526" t="e">
        <v>#N/A</v>
      </c>
      <c r="F1146" s="526" t="e">
        <v>#N/A</v>
      </c>
      <c r="G1146" s="526" t="e">
        <v>#N/A</v>
      </c>
      <c r="H1146" s="412" t="e">
        <v>#N/A</v>
      </c>
      <c r="I1146" s="411" t="e">
        <v>#N/A</v>
      </c>
      <c r="J1146" s="411" t="e">
        <v>#N/A</v>
      </c>
      <c r="K1146" s="411" t="e">
        <v>#N/A</v>
      </c>
      <c r="L1146" s="526" t="e">
        <v>#N/A</v>
      </c>
    </row>
    <row r="1147" spans="1:12" ht="15" x14ac:dyDescent="0.25">
      <c r="A1147">
        <v>160272</v>
      </c>
      <c r="B1147" t="e">
        <f t="shared" si="42"/>
        <v>#N/A</v>
      </c>
      <c r="C1147" s="198" t="e">
        <f t="shared" si="43"/>
        <v>#N/A</v>
      </c>
      <c r="D1147" s="526" t="e">
        <v>#N/A</v>
      </c>
      <c r="E1147" s="526" t="e">
        <v>#N/A</v>
      </c>
      <c r="F1147" s="526" t="e">
        <v>#N/A</v>
      </c>
      <c r="G1147" s="526" t="e">
        <v>#N/A</v>
      </c>
      <c r="H1147" s="412" t="e">
        <v>#N/A</v>
      </c>
      <c r="I1147" s="411" t="e">
        <v>#N/A</v>
      </c>
      <c r="J1147" s="411" t="e">
        <v>#N/A</v>
      </c>
      <c r="K1147" s="411" t="e">
        <v>#N/A</v>
      </c>
      <c r="L1147" s="526" t="e">
        <v>#N/A</v>
      </c>
    </row>
    <row r="1148" spans="1:12" ht="15" x14ac:dyDescent="0.25">
      <c r="A1148">
        <v>162050</v>
      </c>
      <c r="B1148" t="e">
        <f t="shared" si="42"/>
        <v>#N/A</v>
      </c>
      <c r="C1148" s="198" t="e">
        <f t="shared" si="43"/>
        <v>#N/A</v>
      </c>
      <c r="D1148" s="526" t="e">
        <v>#N/A</v>
      </c>
      <c r="E1148" s="526" t="e">
        <v>#N/A</v>
      </c>
      <c r="F1148" s="526" t="e">
        <v>#N/A</v>
      </c>
      <c r="G1148" s="526" t="e">
        <v>#N/A</v>
      </c>
      <c r="H1148" s="412" t="e">
        <v>#N/A</v>
      </c>
      <c r="I1148" s="411" t="e">
        <v>#N/A</v>
      </c>
      <c r="J1148" s="411" t="e">
        <v>#N/A</v>
      </c>
      <c r="K1148" s="411" t="e">
        <v>#N/A</v>
      </c>
      <c r="L1148" s="526" t="e">
        <v>#N/A</v>
      </c>
    </row>
    <row r="1149" spans="1:12" ht="15" x14ac:dyDescent="0.25">
      <c r="A1149">
        <v>169986</v>
      </c>
      <c r="B1149" t="e">
        <f t="shared" si="42"/>
        <v>#N/A</v>
      </c>
      <c r="C1149" s="198" t="e">
        <f t="shared" si="43"/>
        <v>#N/A</v>
      </c>
      <c r="D1149" s="526" t="e">
        <v>#N/A</v>
      </c>
      <c r="E1149" s="526" t="e">
        <v>#N/A</v>
      </c>
      <c r="F1149" s="526" t="e">
        <v>#N/A</v>
      </c>
      <c r="G1149" s="526" t="e">
        <v>#N/A</v>
      </c>
      <c r="H1149" s="412" t="e">
        <v>#N/A</v>
      </c>
      <c r="I1149" s="411" t="e">
        <v>#N/A</v>
      </c>
      <c r="J1149" s="411" t="e">
        <v>#N/A</v>
      </c>
      <c r="K1149" s="411" t="e">
        <v>#N/A</v>
      </c>
      <c r="L1149" s="526" t="e">
        <v>#N/A</v>
      </c>
    </row>
    <row r="1150" spans="1:12" ht="15" x14ac:dyDescent="0.25">
      <c r="A1150">
        <v>169987</v>
      </c>
      <c r="B1150" t="e">
        <f t="shared" si="42"/>
        <v>#N/A</v>
      </c>
      <c r="C1150" s="198" t="e">
        <f t="shared" si="43"/>
        <v>#N/A</v>
      </c>
      <c r="D1150" s="526" t="e">
        <v>#N/A</v>
      </c>
      <c r="E1150" s="526" t="e">
        <v>#N/A</v>
      </c>
      <c r="F1150" s="526" t="e">
        <v>#N/A</v>
      </c>
      <c r="G1150" s="526" t="e">
        <v>#N/A</v>
      </c>
      <c r="H1150" s="412" t="e">
        <v>#N/A</v>
      </c>
      <c r="I1150" s="411" t="e">
        <v>#N/A</v>
      </c>
      <c r="J1150" s="411" t="e">
        <v>#N/A</v>
      </c>
      <c r="K1150" s="411" t="e">
        <v>#N/A</v>
      </c>
      <c r="L1150" s="526" t="e">
        <v>#N/A</v>
      </c>
    </row>
    <row r="1151" spans="1:12" ht="15" x14ac:dyDescent="0.25">
      <c r="A1151">
        <v>362284</v>
      </c>
      <c r="B1151" t="e">
        <f t="shared" si="42"/>
        <v>#N/A</v>
      </c>
      <c r="C1151" s="198" t="e">
        <f t="shared" si="43"/>
        <v>#N/A</v>
      </c>
      <c r="D1151" s="526" t="e">
        <v>#N/A</v>
      </c>
      <c r="E1151" s="526" t="e">
        <v>#N/A</v>
      </c>
      <c r="F1151" s="526" t="e">
        <v>#N/A</v>
      </c>
      <c r="G1151" s="526" t="e">
        <v>#N/A</v>
      </c>
      <c r="H1151" s="412" t="e">
        <v>#N/A</v>
      </c>
      <c r="I1151" s="411" t="e">
        <v>#N/A</v>
      </c>
      <c r="J1151" s="411" t="e">
        <v>#N/A</v>
      </c>
      <c r="K1151" s="411" t="e">
        <v>#N/A</v>
      </c>
      <c r="L1151" s="526" t="e">
        <v>#N/A</v>
      </c>
    </row>
    <row r="1152" spans="1:12" ht="15" x14ac:dyDescent="0.25">
      <c r="A1152">
        <v>362325</v>
      </c>
      <c r="B1152" t="e">
        <f t="shared" si="42"/>
        <v>#N/A</v>
      </c>
      <c r="C1152" s="198" t="e">
        <f t="shared" si="43"/>
        <v>#N/A</v>
      </c>
      <c r="D1152" s="526" t="e">
        <v>#N/A</v>
      </c>
      <c r="E1152" s="526" t="e">
        <v>#N/A</v>
      </c>
      <c r="F1152" s="526" t="e">
        <v>#N/A</v>
      </c>
      <c r="G1152" s="526" t="e">
        <v>#N/A</v>
      </c>
      <c r="H1152" s="412" t="e">
        <v>#N/A</v>
      </c>
      <c r="I1152" s="411" t="e">
        <v>#N/A</v>
      </c>
      <c r="J1152" s="411" t="e">
        <v>#N/A</v>
      </c>
      <c r="K1152" s="411" t="e">
        <v>#N/A</v>
      </c>
      <c r="L1152" s="526" t="e">
        <v>#N/A</v>
      </c>
    </row>
    <row r="1153" spans="1:12" ht="15" x14ac:dyDescent="0.25">
      <c r="A1153">
        <v>362326</v>
      </c>
      <c r="B1153" t="e">
        <f t="shared" si="42"/>
        <v>#N/A</v>
      </c>
      <c r="C1153" s="198" t="e">
        <f t="shared" si="43"/>
        <v>#N/A</v>
      </c>
      <c r="D1153" s="526" t="e">
        <v>#N/A</v>
      </c>
      <c r="E1153" s="526" t="e">
        <v>#N/A</v>
      </c>
      <c r="F1153" s="526" t="e">
        <v>#N/A</v>
      </c>
      <c r="G1153" s="526" t="e">
        <v>#N/A</v>
      </c>
      <c r="H1153" s="412" t="e">
        <v>#N/A</v>
      </c>
      <c r="I1153" s="411" t="e">
        <v>#N/A</v>
      </c>
      <c r="J1153" s="411" t="e">
        <v>#N/A</v>
      </c>
      <c r="K1153" s="411" t="e">
        <v>#N/A</v>
      </c>
      <c r="L1153" s="526" t="e">
        <v>#N/A</v>
      </c>
    </row>
    <row r="1154" spans="1:12" ht="15" x14ac:dyDescent="0.25">
      <c r="A1154">
        <v>362328</v>
      </c>
      <c r="B1154" t="e">
        <f t="shared" si="42"/>
        <v>#N/A</v>
      </c>
      <c r="C1154" s="198" t="e">
        <f t="shared" si="43"/>
        <v>#N/A</v>
      </c>
      <c r="D1154" s="526" t="e">
        <v>#N/A</v>
      </c>
      <c r="E1154" s="526" t="e">
        <v>#N/A</v>
      </c>
      <c r="F1154" s="526" t="e">
        <v>#N/A</v>
      </c>
      <c r="G1154" s="526" t="e">
        <v>#N/A</v>
      </c>
      <c r="H1154" s="412" t="e">
        <v>#N/A</v>
      </c>
      <c r="I1154" s="411" t="e">
        <v>#N/A</v>
      </c>
      <c r="J1154" s="411" t="e">
        <v>#N/A</v>
      </c>
      <c r="K1154" s="411" t="e">
        <v>#N/A</v>
      </c>
      <c r="L1154" s="526" t="e">
        <v>#N/A</v>
      </c>
    </row>
    <row r="1155" spans="1:12" ht="15" x14ac:dyDescent="0.25">
      <c r="A1155">
        <v>362354</v>
      </c>
      <c r="B1155" t="str">
        <f t="shared" ref="B1155:B1195" si="44">IF($A$2=1,D1155,IF($A$2=2,F1155,IF($A$2=3,G1155,IF($A$2=4,E1155,"zadat jazyk"))))</f>
        <v>SEVROLL reklamné dvierko Blue 10 (8ks)</v>
      </c>
      <c r="C1155" s="198" t="e">
        <f t="shared" ref="C1155:C1195" si="45">IF($A$2=1,H1155,IF($A$2=2,I1155,IF($A$2=3,J1155,IF($A$2=4,K1155,"zadat jazyk"))))</f>
        <v>#N/A</v>
      </c>
      <c r="D1155" s="526" t="s">
        <v>1348</v>
      </c>
      <c r="E1155" s="526" t="s">
        <v>1799</v>
      </c>
      <c r="F1155" s="526" t="s">
        <v>2179</v>
      </c>
      <c r="G1155" s="526" t="s">
        <v>2378</v>
      </c>
      <c r="H1155" s="412" t="e">
        <v>#N/A</v>
      </c>
      <c r="I1155" s="411" t="e">
        <v>#N/A</v>
      </c>
      <c r="J1155" s="411" t="e">
        <v>#N/A</v>
      </c>
      <c r="K1155" s="411" t="e">
        <v>#N/A</v>
      </c>
      <c r="L1155" s="526" t="e">
        <v>#N/A</v>
      </c>
    </row>
    <row r="1156" spans="1:12" ht="15" x14ac:dyDescent="0.25">
      <c r="A1156">
        <v>362441</v>
      </c>
      <c r="B1156" t="e">
        <f t="shared" si="44"/>
        <v>#N/A</v>
      </c>
      <c r="C1156" s="198" t="e">
        <f t="shared" si="45"/>
        <v>#N/A</v>
      </c>
      <c r="D1156" s="526" t="e">
        <v>#N/A</v>
      </c>
      <c r="E1156" s="526" t="e">
        <v>#N/A</v>
      </c>
      <c r="F1156" s="526" t="e">
        <v>#N/A</v>
      </c>
      <c r="G1156" s="526" t="e">
        <v>#N/A</v>
      </c>
      <c r="H1156" s="412" t="e">
        <v>#N/A</v>
      </c>
      <c r="I1156" s="411" t="e">
        <v>#N/A</v>
      </c>
      <c r="J1156" s="411" t="e">
        <v>#N/A</v>
      </c>
      <c r="K1156" s="411" t="e">
        <v>#N/A</v>
      </c>
      <c r="L1156" s="526" t="e">
        <v>#N/A</v>
      </c>
    </row>
    <row r="1157" spans="1:12" ht="15" x14ac:dyDescent="0.25">
      <c r="A1157">
        <v>362443</v>
      </c>
      <c r="B1157" t="e">
        <f t="shared" si="44"/>
        <v>#N/A</v>
      </c>
      <c r="C1157" s="198" t="e">
        <f t="shared" si="45"/>
        <v>#N/A</v>
      </c>
      <c r="D1157" s="526" t="e">
        <v>#N/A</v>
      </c>
      <c r="E1157" s="526" t="e">
        <v>#N/A</v>
      </c>
      <c r="F1157" s="526" t="e">
        <v>#N/A</v>
      </c>
      <c r="G1157" s="526" t="e">
        <v>#N/A</v>
      </c>
      <c r="H1157" s="412" t="e">
        <v>#N/A</v>
      </c>
      <c r="I1157" s="411" t="e">
        <v>#N/A</v>
      </c>
      <c r="J1157" s="411" t="e">
        <v>#N/A</v>
      </c>
      <c r="K1157" s="411" t="e">
        <v>#N/A</v>
      </c>
      <c r="L1157" s="526" t="e">
        <v>#N/A</v>
      </c>
    </row>
    <row r="1158" spans="1:12" ht="15" x14ac:dyDescent="0.25">
      <c r="A1158">
        <v>362451</v>
      </c>
      <c r="B1158" t="e">
        <f t="shared" si="44"/>
        <v>#N/A</v>
      </c>
      <c r="C1158" s="198" t="e">
        <f t="shared" si="45"/>
        <v>#N/A</v>
      </c>
      <c r="D1158" s="526" t="e">
        <v>#N/A</v>
      </c>
      <c r="E1158" s="526" t="e">
        <v>#N/A</v>
      </c>
      <c r="F1158" s="526" t="e">
        <v>#N/A</v>
      </c>
      <c r="G1158" s="526" t="e">
        <v>#N/A</v>
      </c>
      <c r="H1158" s="412" t="e">
        <v>#N/A</v>
      </c>
      <c r="I1158" s="411" t="e">
        <v>#N/A</v>
      </c>
      <c r="J1158" s="411" t="e">
        <v>#N/A</v>
      </c>
      <c r="K1158" s="411" t="e">
        <v>#N/A</v>
      </c>
      <c r="L1158" s="526" t="e">
        <v>#N/A</v>
      </c>
    </row>
    <row r="1159" spans="1:12" ht="15" x14ac:dyDescent="0.25">
      <c r="A1159">
        <v>362913</v>
      </c>
      <c r="B1159" t="str">
        <f t="shared" si="44"/>
        <v>SEVROLL 04416 Pax XL úchytová lišta 2,7m biela lesk</v>
      </c>
      <c r="C1159" s="198">
        <f t="shared" si="45"/>
        <v>30.223040000000001</v>
      </c>
      <c r="D1159" s="526" t="s">
        <v>1349</v>
      </c>
      <c r="E1159" s="526" t="s">
        <v>1800</v>
      </c>
      <c r="F1159" s="526" t="s">
        <v>5812</v>
      </c>
      <c r="G1159" s="526" t="s">
        <v>2379</v>
      </c>
      <c r="H1159" s="412">
        <v>836.63265999999999</v>
      </c>
      <c r="I1159" s="411">
        <v>30.223040000000001</v>
      </c>
      <c r="J1159" s="411">
        <v>116.8716</v>
      </c>
      <c r="K1159" s="411">
        <v>11505.1412</v>
      </c>
      <c r="L1159" s="526" t="s">
        <v>554</v>
      </c>
    </row>
    <row r="1160" spans="1:12" ht="15" x14ac:dyDescent="0.25">
      <c r="A1160">
        <v>294380</v>
      </c>
      <c r="B1160" t="e">
        <f t="shared" si="44"/>
        <v>#N/A</v>
      </c>
      <c r="C1160" s="198" t="e">
        <f t="shared" si="45"/>
        <v>#N/A</v>
      </c>
      <c r="D1160" s="526" t="e">
        <v>#N/A</v>
      </c>
      <c r="E1160" s="526" t="e">
        <v>#N/A</v>
      </c>
      <c r="F1160" s="526" t="e">
        <v>#N/A</v>
      </c>
      <c r="G1160" s="526" t="e">
        <v>#N/A</v>
      </c>
      <c r="H1160" s="412" t="e">
        <v>#N/A</v>
      </c>
      <c r="I1160" s="411" t="e">
        <v>#N/A</v>
      </c>
      <c r="J1160" s="411" t="e">
        <v>#N/A</v>
      </c>
      <c r="K1160" s="411" t="e">
        <v>#N/A</v>
      </c>
      <c r="L1160" s="526" t="e">
        <v>#N/A</v>
      </c>
    </row>
    <row r="1161" spans="1:12" ht="15" x14ac:dyDescent="0.25">
      <c r="A1161">
        <v>294384</v>
      </c>
      <c r="B1161" t="e">
        <f t="shared" si="44"/>
        <v>#N/A</v>
      </c>
      <c r="C1161" s="198" t="e">
        <f t="shared" si="45"/>
        <v>#N/A</v>
      </c>
      <c r="D1161" s="526" t="e">
        <v>#N/A</v>
      </c>
      <c r="E1161" s="526" t="e">
        <v>#N/A</v>
      </c>
      <c r="F1161" s="526" t="e">
        <v>#N/A</v>
      </c>
      <c r="G1161" s="526" t="e">
        <v>#N/A</v>
      </c>
      <c r="H1161" s="412" t="e">
        <v>#N/A</v>
      </c>
      <c r="I1161" s="411" t="e">
        <v>#N/A</v>
      </c>
      <c r="J1161" s="411" t="e">
        <v>#N/A</v>
      </c>
      <c r="K1161" s="411" t="e">
        <v>#N/A</v>
      </c>
      <c r="L1161" s="526" t="e">
        <v>#N/A</v>
      </c>
    </row>
    <row r="1162" spans="1:12" ht="15" x14ac:dyDescent="0.25">
      <c r="A1162">
        <v>294431</v>
      </c>
      <c r="B1162" t="e">
        <f t="shared" si="44"/>
        <v>#N/A</v>
      </c>
      <c r="C1162" s="198" t="e">
        <f t="shared" si="45"/>
        <v>#N/A</v>
      </c>
      <c r="D1162" s="526" t="e">
        <v>#N/A</v>
      </c>
      <c r="E1162" s="526" t="e">
        <v>#N/A</v>
      </c>
      <c r="F1162" s="526" t="e">
        <v>#N/A</v>
      </c>
      <c r="G1162" s="526" t="e">
        <v>#N/A</v>
      </c>
      <c r="H1162" s="412" t="e">
        <v>#N/A</v>
      </c>
      <c r="I1162" s="411" t="e">
        <v>#N/A</v>
      </c>
      <c r="J1162" s="411" t="e">
        <v>#N/A</v>
      </c>
      <c r="K1162" s="411" t="e">
        <v>#N/A</v>
      </c>
      <c r="L1162" s="526" t="e">
        <v>#N/A</v>
      </c>
    </row>
    <row r="1163" spans="1:12" ht="15" x14ac:dyDescent="0.25">
      <c r="A1163">
        <v>294476</v>
      </c>
      <c r="B1163" t="e">
        <f t="shared" si="44"/>
        <v>#N/A</v>
      </c>
      <c r="C1163" s="198" t="e">
        <f t="shared" si="45"/>
        <v>#N/A</v>
      </c>
      <c r="D1163" s="526" t="e">
        <v>#N/A</v>
      </c>
      <c r="E1163" s="526" t="e">
        <v>#N/A</v>
      </c>
      <c r="F1163" s="526" t="e">
        <v>#N/A</v>
      </c>
      <c r="G1163" s="526" t="e">
        <v>#N/A</v>
      </c>
      <c r="H1163" s="412" t="e">
        <v>#N/A</v>
      </c>
      <c r="I1163" s="411" t="e">
        <v>#N/A</v>
      </c>
      <c r="J1163" s="411" t="e">
        <v>#N/A</v>
      </c>
      <c r="K1163" s="411" t="e">
        <v>#N/A</v>
      </c>
      <c r="L1163" s="526" t="e">
        <v>#N/A</v>
      </c>
    </row>
    <row r="1164" spans="1:12" ht="15" x14ac:dyDescent="0.25">
      <c r="A1164">
        <v>294482</v>
      </c>
      <c r="B1164" t="e">
        <f t="shared" si="44"/>
        <v>#N/A</v>
      </c>
      <c r="C1164" s="198" t="e">
        <f t="shared" si="45"/>
        <v>#N/A</v>
      </c>
      <c r="D1164" s="526" t="e">
        <v>#N/A</v>
      </c>
      <c r="E1164" s="526" t="e">
        <v>#N/A</v>
      </c>
      <c r="F1164" s="526" t="e">
        <v>#N/A</v>
      </c>
      <c r="G1164" s="526" t="e">
        <v>#N/A</v>
      </c>
      <c r="H1164" s="412" t="e">
        <v>#N/A</v>
      </c>
      <c r="I1164" s="411" t="e">
        <v>#N/A</v>
      </c>
      <c r="J1164" s="411" t="e">
        <v>#N/A</v>
      </c>
      <c r="K1164" s="411" t="e">
        <v>#N/A</v>
      </c>
      <c r="L1164" s="526" t="e">
        <v>#N/A</v>
      </c>
    </row>
    <row r="1165" spans="1:12" ht="15" x14ac:dyDescent="0.25">
      <c r="A1165">
        <v>294483</v>
      </c>
      <c r="B1165" t="e">
        <f t="shared" si="44"/>
        <v>#N/A</v>
      </c>
      <c r="C1165" s="198" t="e">
        <f t="shared" si="45"/>
        <v>#N/A</v>
      </c>
      <c r="D1165" s="526" t="e">
        <v>#N/A</v>
      </c>
      <c r="E1165" s="526" t="e">
        <v>#N/A</v>
      </c>
      <c r="F1165" s="526" t="e">
        <v>#N/A</v>
      </c>
      <c r="G1165" s="526" t="e">
        <v>#N/A</v>
      </c>
      <c r="H1165" s="412" t="e">
        <v>#N/A</v>
      </c>
      <c r="I1165" s="411" t="e">
        <v>#N/A</v>
      </c>
      <c r="J1165" s="411" t="e">
        <v>#N/A</v>
      </c>
      <c r="K1165" s="411" t="e">
        <v>#N/A</v>
      </c>
      <c r="L1165" s="526" t="e">
        <v>#N/A</v>
      </c>
    </row>
    <row r="1166" spans="1:12" ht="15" x14ac:dyDescent="0.25">
      <c r="A1166">
        <v>294484</v>
      </c>
      <c r="B1166" t="e">
        <f t="shared" si="44"/>
        <v>#N/A</v>
      </c>
      <c r="C1166" s="198" t="e">
        <f t="shared" si="45"/>
        <v>#N/A</v>
      </c>
      <c r="D1166" s="526" t="e">
        <v>#N/A</v>
      </c>
      <c r="E1166" s="526" t="e">
        <v>#N/A</v>
      </c>
      <c r="F1166" s="526" t="e">
        <v>#N/A</v>
      </c>
      <c r="G1166" s="526" t="e">
        <v>#N/A</v>
      </c>
      <c r="H1166" s="412" t="e">
        <v>#N/A</v>
      </c>
      <c r="I1166" s="411" t="e">
        <v>#N/A</v>
      </c>
      <c r="J1166" s="411" t="e">
        <v>#N/A</v>
      </c>
      <c r="K1166" s="411" t="e">
        <v>#N/A</v>
      </c>
      <c r="L1166" s="526" t="e">
        <v>#N/A</v>
      </c>
    </row>
    <row r="1167" spans="1:12" ht="15" x14ac:dyDescent="0.25">
      <c r="A1167">
        <v>294485</v>
      </c>
      <c r="B1167" t="e">
        <f t="shared" si="44"/>
        <v>#N/A</v>
      </c>
      <c r="C1167" s="198" t="e">
        <f t="shared" si="45"/>
        <v>#N/A</v>
      </c>
      <c r="D1167" s="526" t="e">
        <v>#N/A</v>
      </c>
      <c r="E1167" s="526" t="e">
        <v>#N/A</v>
      </c>
      <c r="F1167" s="526" t="e">
        <v>#N/A</v>
      </c>
      <c r="G1167" s="526" t="e">
        <v>#N/A</v>
      </c>
      <c r="H1167" s="412" t="e">
        <v>#N/A</v>
      </c>
      <c r="I1167" s="411" t="e">
        <v>#N/A</v>
      </c>
      <c r="J1167" s="411" t="e">
        <v>#N/A</v>
      </c>
      <c r="K1167" s="411" t="e">
        <v>#N/A</v>
      </c>
      <c r="L1167" s="526" t="e">
        <v>#N/A</v>
      </c>
    </row>
    <row r="1168" spans="1:12" ht="15" x14ac:dyDescent="0.25">
      <c r="A1168">
        <v>294486</v>
      </c>
      <c r="B1168" t="e">
        <f t="shared" si="44"/>
        <v>#N/A</v>
      </c>
      <c r="C1168" s="198" t="e">
        <f t="shared" si="45"/>
        <v>#N/A</v>
      </c>
      <c r="D1168" s="526" t="e">
        <v>#N/A</v>
      </c>
      <c r="E1168" s="526" t="e">
        <v>#N/A</v>
      </c>
      <c r="F1168" s="526" t="e">
        <v>#N/A</v>
      </c>
      <c r="G1168" s="526" t="e">
        <v>#N/A</v>
      </c>
      <c r="H1168" s="412" t="e">
        <v>#N/A</v>
      </c>
      <c r="I1168" s="411" t="e">
        <v>#N/A</v>
      </c>
      <c r="J1168" s="411" t="e">
        <v>#N/A</v>
      </c>
      <c r="K1168" s="411" t="e">
        <v>#N/A</v>
      </c>
      <c r="L1168" s="526" t="e">
        <v>#N/A</v>
      </c>
    </row>
    <row r="1169" spans="1:12" ht="15" x14ac:dyDescent="0.25">
      <c r="A1169">
        <v>394802</v>
      </c>
      <c r="B1169" t="str">
        <f t="shared" si="44"/>
        <v>SEVROLL 05082 Gemini horné vedenie 1,7m biely mat</v>
      </c>
      <c r="C1169" s="198">
        <f t="shared" si="45"/>
        <v>18.247890000000002</v>
      </c>
      <c r="D1169" s="526" t="s">
        <v>1350</v>
      </c>
      <c r="E1169" s="526" t="s">
        <v>1801</v>
      </c>
      <c r="F1169" s="526" t="s">
        <v>5813</v>
      </c>
      <c r="G1169" s="526" t="s">
        <v>5814</v>
      </c>
      <c r="H1169" s="412">
        <v>505.12322</v>
      </c>
      <c r="I1169" s="411">
        <v>18.247890000000002</v>
      </c>
      <c r="J1169" s="411">
        <v>74.653800000000004</v>
      </c>
      <c r="K1169" s="411">
        <v>6946.5004600000002</v>
      </c>
      <c r="L1169" s="526" t="s">
        <v>553</v>
      </c>
    </row>
    <row r="1170" spans="1:12" ht="15" x14ac:dyDescent="0.25">
      <c r="A1170">
        <v>394813</v>
      </c>
      <c r="B1170" t="str">
        <f t="shared" si="44"/>
        <v>SEVROLL 05172 Gemini horné vedenie 2,35m biela mat</v>
      </c>
      <c r="C1170" s="198">
        <f t="shared" si="45"/>
        <v>25.225020000000001</v>
      </c>
      <c r="D1170" s="526" t="s">
        <v>1351</v>
      </c>
      <c r="E1170" s="526" t="s">
        <v>1802</v>
      </c>
      <c r="F1170" s="526" t="s">
        <v>5815</v>
      </c>
      <c r="G1170" s="526" t="s">
        <v>5816</v>
      </c>
      <c r="H1170" s="412">
        <v>698.74188000000004</v>
      </c>
      <c r="I1170" s="411">
        <v>25.225020000000001</v>
      </c>
      <c r="J1170" s="411">
        <v>103.20359999999999</v>
      </c>
      <c r="K1170" s="411">
        <v>9602.5149299999994</v>
      </c>
      <c r="L1170" s="526" t="s">
        <v>553</v>
      </c>
    </row>
    <row r="1171" spans="1:12" ht="15" x14ac:dyDescent="0.25">
      <c r="A1171">
        <v>394815</v>
      </c>
      <c r="B1171" t="str">
        <f t="shared" si="44"/>
        <v>SEVROLL 05173 Gemini horné vedenie 4,05m biela mat</v>
      </c>
      <c r="C1171" s="198">
        <f t="shared" si="45"/>
        <v>43.47289</v>
      </c>
      <c r="D1171" s="526" t="s">
        <v>1352</v>
      </c>
      <c r="E1171" s="526" t="s">
        <v>1803</v>
      </c>
      <c r="F1171" s="526" t="s">
        <v>5817</v>
      </c>
      <c r="G1171" s="526" t="s">
        <v>5818</v>
      </c>
      <c r="H1171" s="412">
        <v>1132.4191000000001</v>
      </c>
      <c r="I1171" s="411">
        <v>43.47289</v>
      </c>
      <c r="J1171" s="411">
        <v>177.9186</v>
      </c>
      <c r="K1171" s="411">
        <v>16549.015370000001</v>
      </c>
      <c r="L1171" s="526" t="s">
        <v>553</v>
      </c>
    </row>
    <row r="1172" spans="1:12" ht="15" x14ac:dyDescent="0.25">
      <c r="A1172">
        <v>394824</v>
      </c>
      <c r="B1172" t="str">
        <f t="shared" si="44"/>
        <v>SEVROLL 05174 Gemini horné vedenie 6m biela mat</v>
      </c>
      <c r="C1172" s="198">
        <f t="shared" si="45"/>
        <v>64.404290000000003</v>
      </c>
      <c r="D1172" s="526" t="s">
        <v>1353</v>
      </c>
      <c r="E1172" s="526" t="s">
        <v>1804</v>
      </c>
      <c r="F1172" s="526" t="s">
        <v>5819</v>
      </c>
      <c r="G1172" s="526" t="s">
        <v>2380</v>
      </c>
      <c r="H1172" s="412">
        <v>1783.29216</v>
      </c>
      <c r="I1172" s="411">
        <v>64.404290000000003</v>
      </c>
      <c r="J1172" s="411">
        <v>263.56799999999998</v>
      </c>
      <c r="K1172" s="411">
        <v>24517.05991</v>
      </c>
      <c r="L1172" s="526" t="s">
        <v>554</v>
      </c>
    </row>
    <row r="1173" spans="1:12" ht="15" x14ac:dyDescent="0.25">
      <c r="A1173">
        <v>394825</v>
      </c>
      <c r="B1173" t="str">
        <f t="shared" si="44"/>
        <v>SEVROLL 05136 uholník Mini 17x11mm 1,7m biely mat</v>
      </c>
      <c r="C1173" s="198">
        <f t="shared" si="45"/>
        <v>3.1479699999999999</v>
      </c>
      <c r="D1173" s="526" t="s">
        <v>5820</v>
      </c>
      <c r="E1173" s="526" t="s">
        <v>5821</v>
      </c>
      <c r="F1173" s="526" t="s">
        <v>5822</v>
      </c>
      <c r="G1173" s="526" t="s">
        <v>5823</v>
      </c>
      <c r="H1173" s="412">
        <v>87.164119999999997</v>
      </c>
      <c r="I1173" s="411">
        <v>3.1479699999999999</v>
      </c>
      <c r="J1173" s="411">
        <v>12.2094</v>
      </c>
      <c r="K1173" s="411">
        <v>1198.3500300000001</v>
      </c>
      <c r="L1173" s="526" t="s">
        <v>553</v>
      </c>
    </row>
    <row r="1174" spans="1:12" ht="15" x14ac:dyDescent="0.25">
      <c r="A1174">
        <v>394826</v>
      </c>
      <c r="B1174" t="str">
        <f t="shared" si="44"/>
        <v>SEVROLL 05137 uholník Mini 17x11mm 2,35m biely mat</v>
      </c>
      <c r="C1174" s="198">
        <f t="shared" si="45"/>
        <v>4.3607100000000001</v>
      </c>
      <c r="D1174" s="526" t="s">
        <v>5824</v>
      </c>
      <c r="E1174" s="526" t="s">
        <v>5825</v>
      </c>
      <c r="F1174" s="526" t="s">
        <v>5826</v>
      </c>
      <c r="G1174" s="526" t="s">
        <v>5827</v>
      </c>
      <c r="H1174" s="412">
        <v>120.74374</v>
      </c>
      <c r="I1174" s="411">
        <v>4.3607100000000001</v>
      </c>
      <c r="J1174" s="411">
        <v>16.901399999999999</v>
      </c>
      <c r="K1174" s="411">
        <v>1660.00919</v>
      </c>
      <c r="L1174" s="526" t="s">
        <v>553</v>
      </c>
    </row>
    <row r="1175" spans="1:12" ht="15" x14ac:dyDescent="0.25">
      <c r="A1175">
        <v>394831</v>
      </c>
      <c r="B1175" t="str">
        <f t="shared" si="44"/>
        <v>SEVROLL 05166 maska Elegant II 6m biela mat</v>
      </c>
      <c r="C1175" s="198">
        <f t="shared" si="45"/>
        <v>11.67327</v>
      </c>
      <c r="D1175" s="526" t="s">
        <v>1354</v>
      </c>
      <c r="E1175" s="526" t="s">
        <v>1805</v>
      </c>
      <c r="F1175" s="526" t="s">
        <v>5828</v>
      </c>
      <c r="G1175" s="526" t="s">
        <v>5829</v>
      </c>
      <c r="H1175" s="412">
        <v>322.93592000000001</v>
      </c>
      <c r="I1175" s="411">
        <v>11.67327</v>
      </c>
      <c r="J1175" s="411">
        <v>43.084800000000001</v>
      </c>
      <c r="K1175" s="411">
        <v>4443.7172700000001</v>
      </c>
      <c r="L1175" s="526" t="s">
        <v>554</v>
      </c>
    </row>
    <row r="1176" spans="1:12" ht="15" x14ac:dyDescent="0.25">
      <c r="A1176">
        <v>394848</v>
      </c>
      <c r="B1176" t="str">
        <f t="shared" si="44"/>
        <v>SEVROLL 05163 maska Elegant II 1,7m biely mat</v>
      </c>
      <c r="C1176" s="198">
        <f t="shared" si="45"/>
        <v>3.3074400000000002</v>
      </c>
      <c r="D1176" s="526" t="s">
        <v>1355</v>
      </c>
      <c r="E1176" s="526" t="s">
        <v>1806</v>
      </c>
      <c r="F1176" s="526" t="s">
        <v>5830</v>
      </c>
      <c r="G1176" s="526" t="s">
        <v>2381</v>
      </c>
      <c r="H1176" s="412">
        <v>91.450879999999998</v>
      </c>
      <c r="I1176" s="411">
        <v>3.3074400000000002</v>
      </c>
      <c r="J1176" s="411">
        <v>12.199199999999999</v>
      </c>
      <c r="K1176" s="411">
        <v>1259.0531100000001</v>
      </c>
      <c r="L1176" s="526" t="s">
        <v>553</v>
      </c>
    </row>
    <row r="1177" spans="1:12" ht="15" x14ac:dyDescent="0.25">
      <c r="A1177">
        <v>395015</v>
      </c>
      <c r="B1177" t="e">
        <f t="shared" si="44"/>
        <v>#N/A</v>
      </c>
      <c r="C1177" s="198" t="e">
        <f t="shared" si="45"/>
        <v>#N/A</v>
      </c>
      <c r="D1177" s="526" t="e">
        <v>#N/A</v>
      </c>
      <c r="E1177" s="526" t="e">
        <v>#N/A</v>
      </c>
      <c r="F1177" s="526" t="e">
        <v>#N/A</v>
      </c>
      <c r="G1177" s="526" t="e">
        <v>#N/A</v>
      </c>
      <c r="H1177" s="412" t="e">
        <v>#N/A</v>
      </c>
      <c r="I1177" s="411" t="e">
        <v>#N/A</v>
      </c>
      <c r="J1177" s="411" t="e">
        <v>#N/A</v>
      </c>
      <c r="K1177" s="411" t="e">
        <v>#N/A</v>
      </c>
      <c r="L1177" s="526" t="e">
        <v>#N/A</v>
      </c>
    </row>
    <row r="1178" spans="1:12" ht="15" x14ac:dyDescent="0.25">
      <c r="A1178">
        <v>395025</v>
      </c>
      <c r="B1178" t="str">
        <f t="shared" si="44"/>
        <v>SEVROLL Eden hornej vedenie 2,35 m strieborná</v>
      </c>
      <c r="C1178" s="198">
        <f t="shared" si="45"/>
        <v>17.735250000000001</v>
      </c>
      <c r="D1178" s="526" t="s">
        <v>1356</v>
      </c>
      <c r="E1178" s="526" t="s">
        <v>1807</v>
      </c>
      <c r="F1178" s="526" t="s">
        <v>2180</v>
      </c>
      <c r="G1178" s="526" t="s">
        <v>2382</v>
      </c>
      <c r="H1178" s="412" t="e">
        <v>#N/A</v>
      </c>
      <c r="I1178" s="411">
        <v>17.735250000000001</v>
      </c>
      <c r="J1178" s="411">
        <v>67.738630000000001</v>
      </c>
      <c r="K1178" s="411">
        <v>0</v>
      </c>
      <c r="L1178" s="526" t="e">
        <v>#N/A</v>
      </c>
    </row>
    <row r="1179" spans="1:12" ht="15" x14ac:dyDescent="0.25">
      <c r="A1179">
        <v>395027</v>
      </c>
      <c r="B1179" t="str">
        <f t="shared" si="44"/>
        <v>SEVROLL Eden hornej vedenie 2,35 m strieborná</v>
      </c>
      <c r="C1179" s="198">
        <f t="shared" si="45"/>
        <v>28.512319999999999</v>
      </c>
      <c r="D1179" s="526" t="s">
        <v>1357</v>
      </c>
      <c r="E1179" s="526" t="s">
        <v>1808</v>
      </c>
      <c r="F1179" s="526" t="s">
        <v>2180</v>
      </c>
      <c r="G1179" s="526" t="s">
        <v>2382</v>
      </c>
      <c r="H1179" s="412">
        <v>789.47829999999999</v>
      </c>
      <c r="I1179" s="411">
        <v>28.512319999999999</v>
      </c>
      <c r="J1179" s="411">
        <v>120.1152</v>
      </c>
      <c r="K1179" s="411">
        <v>10853.9067</v>
      </c>
      <c r="L1179" s="526" t="s">
        <v>554</v>
      </c>
    </row>
    <row r="1180" spans="1:12" ht="15" x14ac:dyDescent="0.25">
      <c r="A1180">
        <v>395029</v>
      </c>
      <c r="B1180" t="str">
        <f t="shared" si="44"/>
        <v>SEVROLL Eden hornej vedenie 2,35 m strieborná</v>
      </c>
      <c r="C1180" s="198">
        <f t="shared" si="45"/>
        <v>23.30011</v>
      </c>
      <c r="D1180" s="526" t="s">
        <v>1358</v>
      </c>
      <c r="E1180" s="526" t="s">
        <v>1809</v>
      </c>
      <c r="F1180" s="526" t="s">
        <v>2180</v>
      </c>
      <c r="G1180" s="526" t="s">
        <v>2382</v>
      </c>
      <c r="H1180" s="412">
        <v>645.15737999999999</v>
      </c>
      <c r="I1180" s="411">
        <v>23.30011</v>
      </c>
      <c r="J1180" s="411">
        <v>98.032200000000003</v>
      </c>
      <c r="K1180" s="411">
        <v>8869.7534699999997</v>
      </c>
      <c r="L1180" s="526" t="s">
        <v>554</v>
      </c>
    </row>
    <row r="1181" spans="1:12" ht="15" x14ac:dyDescent="0.25">
      <c r="A1181">
        <v>395030</v>
      </c>
      <c r="B1181" t="str">
        <f t="shared" si="44"/>
        <v>SEVROLL Eden sada kovania pre dvoje dvere</v>
      </c>
      <c r="C1181" s="198">
        <f t="shared" si="45"/>
        <v>133.47891999999999</v>
      </c>
      <c r="D1181" s="526" t="s">
        <v>1359</v>
      </c>
      <c r="E1181" s="526" t="s">
        <v>1810</v>
      </c>
      <c r="F1181" s="526" t="s">
        <v>2181</v>
      </c>
      <c r="G1181" s="526" t="s">
        <v>2383</v>
      </c>
      <c r="H1181" s="412">
        <v>3695.9015800000002</v>
      </c>
      <c r="I1181" s="411">
        <v>133.47891999999999</v>
      </c>
      <c r="J1181" s="411">
        <v>558.78660000000002</v>
      </c>
      <c r="K1181" s="411">
        <v>50811.99927</v>
      </c>
      <c r="L1181" s="526" t="s">
        <v>554</v>
      </c>
    </row>
    <row r="1182" spans="1:12" ht="15" x14ac:dyDescent="0.25">
      <c r="A1182">
        <v>395031</v>
      </c>
      <c r="B1182" t="str">
        <f t="shared" si="44"/>
        <v>SEVROLL Eden sada kovania pre dvoje dvere</v>
      </c>
      <c r="C1182" s="198">
        <f t="shared" si="45"/>
        <v>58.237369999999999</v>
      </c>
      <c r="D1182" s="526" t="s">
        <v>1360</v>
      </c>
      <c r="E1182" s="526" t="s">
        <v>1811</v>
      </c>
      <c r="F1182" s="526" t="s">
        <v>2181</v>
      </c>
      <c r="G1182" s="526" t="s">
        <v>2383</v>
      </c>
      <c r="H1182" s="412">
        <v>1612.53622</v>
      </c>
      <c r="I1182" s="411">
        <v>58.237369999999999</v>
      </c>
      <c r="J1182" s="411">
        <v>284.68200000000002</v>
      </c>
      <c r="K1182" s="411">
        <v>22169.47293</v>
      </c>
      <c r="L1182" s="526" t="s">
        <v>554</v>
      </c>
    </row>
    <row r="1183" spans="1:12" ht="15" x14ac:dyDescent="0.25">
      <c r="A1183">
        <v>395039</v>
      </c>
      <c r="B1183" t="str">
        <f t="shared" si="44"/>
        <v>SEVROLL 05164 maska Elegant II 2,35m biela mat</v>
      </c>
      <c r="C1183" s="198">
        <f t="shared" si="45"/>
        <v>4.5720400000000003</v>
      </c>
      <c r="D1183" s="526" t="s">
        <v>1361</v>
      </c>
      <c r="E1183" s="526" t="s">
        <v>1812</v>
      </c>
      <c r="F1183" s="526" t="s">
        <v>5831</v>
      </c>
      <c r="G1183" s="526" t="s">
        <v>2384</v>
      </c>
      <c r="H1183" s="412">
        <v>126.45941999999999</v>
      </c>
      <c r="I1183" s="411">
        <v>4.5720400000000003</v>
      </c>
      <c r="J1183" s="411">
        <v>16.870799999999999</v>
      </c>
      <c r="K1183" s="411">
        <v>1740.45587</v>
      </c>
      <c r="L1183" s="526" t="s">
        <v>553</v>
      </c>
    </row>
    <row r="1184" spans="1:12" ht="15" x14ac:dyDescent="0.25">
      <c r="A1184">
        <v>395041</v>
      </c>
      <c r="B1184" t="str">
        <f t="shared" si="44"/>
        <v>SEVROLL 04438 maska Elegant II 3m biela mat</v>
      </c>
      <c r="C1184" s="198">
        <f t="shared" si="45"/>
        <v>5.8366499999999997</v>
      </c>
      <c r="D1184" s="526" t="s">
        <v>1362</v>
      </c>
      <c r="E1184" s="526" t="s">
        <v>1813</v>
      </c>
      <c r="F1184" s="526" t="s">
        <v>5832</v>
      </c>
      <c r="G1184" s="526" t="s">
        <v>2385</v>
      </c>
      <c r="H1184" s="412">
        <v>161.46796000000001</v>
      </c>
      <c r="I1184" s="411">
        <v>5.8366499999999997</v>
      </c>
      <c r="J1184" s="411">
        <v>21.542400000000001</v>
      </c>
      <c r="K1184" s="411">
        <v>2221.8586500000001</v>
      </c>
      <c r="L1184" s="526" t="s">
        <v>553</v>
      </c>
    </row>
    <row r="1185" spans="1:12" ht="15" x14ac:dyDescent="0.25">
      <c r="A1185">
        <v>395042</v>
      </c>
      <c r="B1185" t="str">
        <f t="shared" si="44"/>
        <v>SEVROLL 05165 maska Elegant II 4,05m biela mat</v>
      </c>
      <c r="C1185" s="198">
        <f t="shared" si="45"/>
        <v>7.8794599999999999</v>
      </c>
      <c r="D1185" s="526" t="s">
        <v>1363</v>
      </c>
      <c r="E1185" s="526" t="s">
        <v>1814</v>
      </c>
      <c r="F1185" s="526" t="s">
        <v>5833</v>
      </c>
      <c r="G1185" s="526" t="s">
        <v>2386</v>
      </c>
      <c r="H1185" s="412">
        <v>217.91030000000001</v>
      </c>
      <c r="I1185" s="411">
        <v>7.8794599999999999</v>
      </c>
      <c r="J1185" s="411">
        <v>29.07</v>
      </c>
      <c r="K1185" s="411">
        <v>2999.5093700000002</v>
      </c>
      <c r="L1185" s="526" t="s">
        <v>553</v>
      </c>
    </row>
    <row r="1186" spans="1:12" ht="15" x14ac:dyDescent="0.25">
      <c r="A1186">
        <v>395495</v>
      </c>
      <c r="B1186" t="str">
        <f t="shared" si="44"/>
        <v>SEVROLL 05152 Alfa II úchytová lišta 18mm 2,7m čierna lesk</v>
      </c>
      <c r="C1186" s="198">
        <f t="shared" si="45"/>
        <v>16.302330000000001</v>
      </c>
      <c r="D1186" s="526" t="s">
        <v>1364</v>
      </c>
      <c r="E1186" s="526" t="s">
        <v>1815</v>
      </c>
      <c r="F1186" s="526" t="s">
        <v>5834</v>
      </c>
      <c r="G1186" s="526" t="s">
        <v>2387</v>
      </c>
      <c r="H1186" s="412">
        <v>451.53872000000001</v>
      </c>
      <c r="I1186" s="411">
        <v>16.302330000000001</v>
      </c>
      <c r="J1186" s="411">
        <v>66.463200000000001</v>
      </c>
      <c r="K1186" s="411">
        <v>6205.8809199999996</v>
      </c>
      <c r="L1186" s="526" t="s">
        <v>553</v>
      </c>
    </row>
    <row r="1187" spans="1:12" ht="15" x14ac:dyDescent="0.25">
      <c r="A1187">
        <v>395506</v>
      </c>
      <c r="B1187" t="str">
        <f t="shared" si="44"/>
        <v>SEVROLL 05154 Fox II úchytová lišta 2,7m čierna lesk</v>
      </c>
      <c r="C1187" s="198">
        <f t="shared" si="45"/>
        <v>21.41649</v>
      </c>
      <c r="D1187" s="526" t="s">
        <v>1365</v>
      </c>
      <c r="E1187" s="526" t="s">
        <v>1816</v>
      </c>
      <c r="F1187" s="526" t="s">
        <v>5835</v>
      </c>
      <c r="G1187" s="526" t="s">
        <v>2388</v>
      </c>
      <c r="H1187" s="412">
        <v>593.0018</v>
      </c>
      <c r="I1187" s="411">
        <v>21.41649</v>
      </c>
      <c r="J1187" s="411">
        <v>80.416799999999995</v>
      </c>
      <c r="K1187" s="411">
        <v>8152.7082</v>
      </c>
      <c r="L1187" s="526" t="s">
        <v>553</v>
      </c>
    </row>
    <row r="1188" spans="1:12" ht="15" x14ac:dyDescent="0.25">
      <c r="A1188">
        <v>395508</v>
      </c>
      <c r="B1188" t="str">
        <f t="shared" si="44"/>
        <v>SEVROLL 05182 spojovacia lišta H10 3m čierna lesk</v>
      </c>
      <c r="C1188" s="198">
        <f t="shared" si="45"/>
        <v>15.688219999999999</v>
      </c>
      <c r="D1188" s="526" t="s">
        <v>1366</v>
      </c>
      <c r="E1188" s="526" t="s">
        <v>1817</v>
      </c>
      <c r="F1188" s="526" t="s">
        <v>5836</v>
      </c>
      <c r="G1188" s="526" t="s">
        <v>2389</v>
      </c>
      <c r="H1188" s="412">
        <v>434.39168000000001</v>
      </c>
      <c r="I1188" s="411">
        <v>15.688219999999999</v>
      </c>
      <c r="J1188" s="411">
        <v>67.289400000000001</v>
      </c>
      <c r="K1188" s="411">
        <v>5972.1041699999996</v>
      </c>
      <c r="L1188" s="526" t="s">
        <v>553</v>
      </c>
    </row>
    <row r="1189" spans="1:12" ht="15" x14ac:dyDescent="0.25">
      <c r="A1189">
        <v>465914</v>
      </c>
      <c r="B1189" t="str">
        <f t="shared" si="44"/>
        <v>SEVROLL 02986 Maxim II spodné vedenie 1,8m oliva</v>
      </c>
      <c r="C1189" s="198" t="e">
        <f t="shared" si="45"/>
        <v>#N/A</v>
      </c>
      <c r="D1189" s="526" t="s">
        <v>1367</v>
      </c>
      <c r="E1189" s="526" t="s">
        <v>1818</v>
      </c>
      <c r="F1189" s="526" t="s">
        <v>2182</v>
      </c>
      <c r="G1189" s="526" t="s">
        <v>2390</v>
      </c>
      <c r="H1189" s="412" t="e">
        <v>#N/A</v>
      </c>
      <c r="I1189" s="411" t="e">
        <v>#N/A</v>
      </c>
      <c r="J1189" s="411" t="e">
        <v>#N/A</v>
      </c>
      <c r="K1189" s="411" t="e">
        <v>#N/A</v>
      </c>
      <c r="L1189" s="526" t="e">
        <v>#N/A</v>
      </c>
    </row>
    <row r="1190" spans="1:12" ht="15" x14ac:dyDescent="0.25">
      <c r="A1190">
        <v>465917</v>
      </c>
      <c r="B1190" t="str">
        <f t="shared" si="44"/>
        <v>SEVROLL 02996 Maxim II maska 1,8m oliva</v>
      </c>
      <c r="C1190" s="198" t="e">
        <f t="shared" si="45"/>
        <v>#N/A</v>
      </c>
      <c r="D1190" s="526" t="s">
        <v>1368</v>
      </c>
      <c r="E1190" s="526" t="s">
        <v>1819</v>
      </c>
      <c r="F1190" s="526" t="s">
        <v>1368</v>
      </c>
      <c r="G1190" s="526" t="s">
        <v>2391</v>
      </c>
      <c r="H1190" s="412" t="e">
        <v>#N/A</v>
      </c>
      <c r="I1190" s="411" t="e">
        <v>#N/A</v>
      </c>
      <c r="J1190" s="411" t="e">
        <v>#N/A</v>
      </c>
      <c r="K1190" s="411" t="e">
        <v>#N/A</v>
      </c>
      <c r="L1190" s="526" t="e">
        <v>#N/A</v>
      </c>
    </row>
    <row r="1191" spans="1:12" ht="15" x14ac:dyDescent="0.25">
      <c r="A1191">
        <v>308472</v>
      </c>
      <c r="B1191" t="e">
        <f t="shared" si="44"/>
        <v>#N/A</v>
      </c>
      <c r="C1191" s="198" t="e">
        <f t="shared" si="45"/>
        <v>#N/A</v>
      </c>
      <c r="D1191" s="526" t="e">
        <v>#N/A</v>
      </c>
      <c r="E1191" s="526" t="e">
        <v>#N/A</v>
      </c>
      <c r="F1191" s="526" t="e">
        <v>#N/A</v>
      </c>
      <c r="G1191" s="526" t="e">
        <v>#N/A</v>
      </c>
      <c r="H1191" s="412" t="e">
        <v>#N/A</v>
      </c>
      <c r="I1191" s="411" t="e">
        <v>#N/A</v>
      </c>
      <c r="J1191" s="411" t="e">
        <v>#N/A</v>
      </c>
      <c r="K1191" s="411" t="e">
        <v>#N/A</v>
      </c>
      <c r="L1191" s="526" t="e">
        <v>#N/A</v>
      </c>
    </row>
    <row r="1192" spans="1:12" ht="15" x14ac:dyDescent="0.25">
      <c r="A1192">
        <v>308522</v>
      </c>
      <c r="B1192" t="e">
        <f t="shared" si="44"/>
        <v>#N/A</v>
      </c>
      <c r="C1192" s="198" t="e">
        <f t="shared" si="45"/>
        <v>#N/A</v>
      </c>
      <c r="D1192" s="526" t="e">
        <v>#N/A</v>
      </c>
      <c r="E1192" s="526" t="e">
        <v>#N/A</v>
      </c>
      <c r="F1192" s="526" t="e">
        <v>#N/A</v>
      </c>
      <c r="G1192" s="526" t="e">
        <v>#N/A</v>
      </c>
      <c r="H1192" s="412" t="e">
        <v>#N/A</v>
      </c>
      <c r="I1192" s="411" t="e">
        <v>#N/A</v>
      </c>
      <c r="J1192" s="411" t="e">
        <v>#N/A</v>
      </c>
      <c r="K1192" s="411" t="e">
        <v>#N/A</v>
      </c>
      <c r="L1192" s="526" t="e">
        <v>#N/A</v>
      </c>
    </row>
    <row r="1193" spans="1:12" ht="15" x14ac:dyDescent="0.25">
      <c r="A1193">
        <v>308524</v>
      </c>
      <c r="B1193" t="e">
        <f t="shared" si="44"/>
        <v>#N/A</v>
      </c>
      <c r="C1193" s="198" t="e">
        <f t="shared" si="45"/>
        <v>#N/A</v>
      </c>
      <c r="D1193" s="526" t="e">
        <v>#N/A</v>
      </c>
      <c r="E1193" s="526" t="e">
        <v>#N/A</v>
      </c>
      <c r="F1193" s="526" t="e">
        <v>#N/A</v>
      </c>
      <c r="G1193" s="526" t="e">
        <v>#N/A</v>
      </c>
      <c r="H1193" s="412" t="e">
        <v>#N/A</v>
      </c>
      <c r="I1193" s="411" t="e">
        <v>#N/A</v>
      </c>
      <c r="J1193" s="411" t="e">
        <v>#N/A</v>
      </c>
      <c r="K1193" s="411" t="e">
        <v>#N/A</v>
      </c>
      <c r="L1193" s="526" t="e">
        <v>#N/A</v>
      </c>
    </row>
    <row r="1194" spans="1:12" ht="15" x14ac:dyDescent="0.25">
      <c r="A1194">
        <v>308626</v>
      </c>
      <c r="B1194" t="e">
        <f t="shared" si="44"/>
        <v>#N/A</v>
      </c>
      <c r="C1194" s="198" t="e">
        <f t="shared" si="45"/>
        <v>#N/A</v>
      </c>
      <c r="D1194" s="526" t="e">
        <v>#N/A</v>
      </c>
      <c r="E1194" s="526" t="e">
        <v>#N/A</v>
      </c>
      <c r="F1194" s="526" t="e">
        <v>#N/A</v>
      </c>
      <c r="G1194" s="526" t="e">
        <v>#N/A</v>
      </c>
      <c r="H1194" s="412" t="e">
        <v>#N/A</v>
      </c>
      <c r="I1194" s="411" t="e">
        <v>#N/A</v>
      </c>
      <c r="J1194" s="411" t="e">
        <v>#N/A</v>
      </c>
      <c r="K1194" s="411" t="e">
        <v>#N/A</v>
      </c>
      <c r="L1194" s="526" t="e">
        <v>#N/A</v>
      </c>
    </row>
    <row r="1195" spans="1:12" ht="15" x14ac:dyDescent="0.25">
      <c r="A1195">
        <v>308681</v>
      </c>
      <c r="B1195" t="str">
        <f t="shared" si="44"/>
        <v>SEVROLL 10182 sada Fold pre 2 krídla ľavá</v>
      </c>
      <c r="C1195" s="198">
        <f t="shared" si="45"/>
        <v>56.428579999999997</v>
      </c>
      <c r="D1195" s="526" t="s">
        <v>1369</v>
      </c>
      <c r="E1195" s="526" t="s">
        <v>1820</v>
      </c>
      <c r="F1195" s="526" t="s">
        <v>5837</v>
      </c>
      <c r="G1195" s="526" t="s">
        <v>2392</v>
      </c>
      <c r="H1195" s="412">
        <v>1562.5240200000001</v>
      </c>
      <c r="I1195" s="411">
        <v>56.428579999999997</v>
      </c>
      <c r="J1195" s="411">
        <v>198.59399999999999</v>
      </c>
      <c r="K1195" s="411">
        <v>21480.91287</v>
      </c>
      <c r="L1195" s="526" t="s">
        <v>554</v>
      </c>
    </row>
    <row r="1196" spans="1:12" ht="15" x14ac:dyDescent="0.25">
      <c r="A1196">
        <v>308682</v>
      </c>
      <c r="B1196" t="str">
        <f t="shared" ref="B1196:B1241" si="46">IF($A$2=1,D1196,IF($A$2=2,F1196,IF($A$2=3,G1196,IF($A$2=4,E1196,"zadat jazyk"))))</f>
        <v>SEVROLL 10181 sada Fold pro 2 krídla pravá</v>
      </c>
      <c r="C1196" s="198">
        <f t="shared" ref="C1196:C1241" si="47">IF($A$2=1,H1196,IF($A$2=2,I1196,IF($A$2=3,J1196,IF($A$2=4,K1196,"zadat jazyk"))))</f>
        <v>56.428579999999997</v>
      </c>
      <c r="D1196" s="526" t="s">
        <v>1370</v>
      </c>
      <c r="E1196" s="526" t="s">
        <v>1821</v>
      </c>
      <c r="F1196" s="526" t="s">
        <v>5838</v>
      </c>
      <c r="G1196" s="526" t="s">
        <v>2393</v>
      </c>
      <c r="H1196" s="412">
        <v>1562.5240200000001</v>
      </c>
      <c r="I1196" s="411">
        <v>56.428579999999997</v>
      </c>
      <c r="J1196" s="411">
        <v>198.59399999999999</v>
      </c>
      <c r="K1196" s="411">
        <v>21480.91287</v>
      </c>
      <c r="L1196" s="526" t="s">
        <v>554</v>
      </c>
    </row>
    <row r="1197" spans="1:12" ht="15" x14ac:dyDescent="0.25">
      <c r="A1197">
        <v>353413</v>
      </c>
      <c r="B1197" t="e">
        <f t="shared" si="46"/>
        <v>#N/A</v>
      </c>
      <c r="C1197" s="198" t="e">
        <f t="shared" si="47"/>
        <v>#N/A</v>
      </c>
      <c r="D1197" s="526" t="e">
        <v>#N/A</v>
      </c>
      <c r="E1197" s="526" t="e">
        <v>#N/A</v>
      </c>
      <c r="F1197" s="526" t="e">
        <v>#N/A</v>
      </c>
      <c r="G1197" s="526" t="e">
        <v>#N/A</v>
      </c>
      <c r="H1197" s="412" t="e">
        <v>#N/A</v>
      </c>
      <c r="I1197" s="411" t="e">
        <v>#N/A</v>
      </c>
      <c r="J1197" s="411" t="e">
        <v>#N/A</v>
      </c>
      <c r="K1197" s="411" t="e">
        <v>#N/A</v>
      </c>
      <c r="L1197" s="526" t="e">
        <v>#N/A</v>
      </c>
    </row>
    <row r="1198" spans="1:12" ht="15" x14ac:dyDescent="0.25">
      <c r="A1198">
        <v>354299</v>
      </c>
      <c r="B1198" t="e">
        <f t="shared" si="46"/>
        <v>#N/A</v>
      </c>
      <c r="C1198" s="198" t="e">
        <f t="shared" si="47"/>
        <v>#N/A</v>
      </c>
      <c r="D1198" s="526" t="e">
        <v>#N/A</v>
      </c>
      <c r="E1198" s="526" t="e">
        <v>#N/A</v>
      </c>
      <c r="F1198" s="526" t="e">
        <v>#N/A</v>
      </c>
      <c r="G1198" s="526" t="e">
        <v>#N/A</v>
      </c>
      <c r="H1198" s="412" t="e">
        <v>#N/A</v>
      </c>
      <c r="I1198" s="411" t="e">
        <v>#N/A</v>
      </c>
      <c r="J1198" s="411" t="e">
        <v>#N/A</v>
      </c>
      <c r="K1198" s="411" t="e">
        <v>#N/A</v>
      </c>
      <c r="L1198" s="526" t="e">
        <v>#N/A</v>
      </c>
    </row>
    <row r="1199" spans="1:12" ht="15" x14ac:dyDescent="0.25">
      <c r="A1199">
        <v>379934</v>
      </c>
      <c r="B1199" t="str">
        <f t="shared" si="46"/>
        <v>SEVROLL 04438 maska Elegant II 3m biela mat</v>
      </c>
      <c r="C1199" s="198">
        <f t="shared" si="47"/>
        <v>5.9599399999999996</v>
      </c>
      <c r="D1199" s="526" t="s">
        <v>1362</v>
      </c>
      <c r="E1199" s="526" t="s">
        <v>1822</v>
      </c>
      <c r="F1199" s="526" t="s">
        <v>5832</v>
      </c>
      <c r="G1199" s="526" t="s">
        <v>5839</v>
      </c>
      <c r="H1199" s="412" t="e">
        <v>#N/A</v>
      </c>
      <c r="I1199" s="411">
        <v>5.9599399999999996</v>
      </c>
      <c r="J1199" s="411">
        <v>25.445820000000001</v>
      </c>
      <c r="K1199" s="411">
        <v>2292.2861499999999</v>
      </c>
      <c r="L1199" s="526" t="e">
        <v>#N/A</v>
      </c>
    </row>
    <row r="1200" spans="1:12" ht="15" x14ac:dyDescent="0.25">
      <c r="A1200">
        <v>379955</v>
      </c>
      <c r="B1200" t="e">
        <f t="shared" si="46"/>
        <v>#N/A</v>
      </c>
      <c r="C1200" s="198" t="e">
        <f t="shared" si="47"/>
        <v>#N/A</v>
      </c>
      <c r="D1200" s="526" t="e">
        <v>#N/A</v>
      </c>
      <c r="E1200" s="526" t="e">
        <v>#N/A</v>
      </c>
      <c r="F1200" s="526" t="e">
        <v>#N/A</v>
      </c>
      <c r="G1200" s="526" t="e">
        <v>#N/A</v>
      </c>
      <c r="H1200" s="412" t="e">
        <v>#N/A</v>
      </c>
      <c r="I1200" s="411" t="e">
        <v>#N/A</v>
      </c>
      <c r="J1200" s="411" t="e">
        <v>#N/A</v>
      </c>
      <c r="K1200" s="411" t="e">
        <v>#N/A</v>
      </c>
      <c r="L1200" s="526" t="e">
        <v>#N/A</v>
      </c>
    </row>
    <row r="1201" spans="1:12" ht="15" x14ac:dyDescent="0.25">
      <c r="A1201">
        <v>379961</v>
      </c>
      <c r="B1201" t="e">
        <f t="shared" si="46"/>
        <v>#N/A</v>
      </c>
      <c r="C1201" s="198" t="e">
        <f t="shared" si="47"/>
        <v>#N/A</v>
      </c>
      <c r="D1201" s="526" t="e">
        <v>#N/A</v>
      </c>
      <c r="E1201" s="526" t="e">
        <v>#N/A</v>
      </c>
      <c r="F1201" s="526" t="e">
        <v>#N/A</v>
      </c>
      <c r="G1201" s="526" t="e">
        <v>#N/A</v>
      </c>
      <c r="H1201" s="412" t="e">
        <v>#N/A</v>
      </c>
      <c r="I1201" s="411" t="e">
        <v>#N/A</v>
      </c>
      <c r="J1201" s="411" t="e">
        <v>#N/A</v>
      </c>
      <c r="K1201" s="411" t="e">
        <v>#N/A</v>
      </c>
      <c r="L1201" s="526" t="e">
        <v>#N/A</v>
      </c>
    </row>
    <row r="1202" spans="1:12" ht="15" x14ac:dyDescent="0.25">
      <c r="A1202">
        <v>274051</v>
      </c>
      <c r="B1202" t="e">
        <f t="shared" si="46"/>
        <v>#N/A</v>
      </c>
      <c r="C1202" s="198" t="e">
        <f t="shared" si="47"/>
        <v>#N/A</v>
      </c>
      <c r="D1202" s="526" t="e">
        <v>#N/A</v>
      </c>
      <c r="E1202" s="526" t="e">
        <v>#N/A</v>
      </c>
      <c r="F1202" s="526" t="e">
        <v>#N/A</v>
      </c>
      <c r="G1202" s="526" t="e">
        <v>#N/A</v>
      </c>
      <c r="H1202" s="412" t="e">
        <v>#N/A</v>
      </c>
      <c r="I1202" s="411" t="e">
        <v>#N/A</v>
      </c>
      <c r="J1202" s="411" t="e">
        <v>#N/A</v>
      </c>
      <c r="K1202" s="411" t="e">
        <v>#N/A</v>
      </c>
      <c r="L1202" s="526" t="e">
        <v>#N/A</v>
      </c>
    </row>
    <row r="1203" spans="1:12" ht="15" x14ac:dyDescent="0.25">
      <c r="A1203">
        <v>274077</v>
      </c>
      <c r="B1203" t="e">
        <f t="shared" si="46"/>
        <v>#N/A</v>
      </c>
      <c r="C1203" s="198" t="e">
        <f t="shared" si="47"/>
        <v>#N/A</v>
      </c>
      <c r="D1203" s="526" t="e">
        <v>#N/A</v>
      </c>
      <c r="E1203" s="526" t="e">
        <v>#N/A</v>
      </c>
      <c r="F1203" s="526" t="e">
        <v>#N/A</v>
      </c>
      <c r="G1203" s="526" t="e">
        <v>#N/A</v>
      </c>
      <c r="H1203" s="412" t="e">
        <v>#N/A</v>
      </c>
      <c r="I1203" s="411" t="e">
        <v>#N/A</v>
      </c>
      <c r="J1203" s="411" t="e">
        <v>#N/A</v>
      </c>
      <c r="K1203" s="411" t="e">
        <v>#N/A</v>
      </c>
      <c r="L1203" s="526" t="e">
        <v>#N/A</v>
      </c>
    </row>
    <row r="1204" spans="1:12" ht="15" x14ac:dyDescent="0.25">
      <c r="A1204">
        <v>274078</v>
      </c>
      <c r="B1204" t="e">
        <f t="shared" si="46"/>
        <v>#N/A</v>
      </c>
      <c r="C1204" s="198" t="e">
        <f t="shared" si="47"/>
        <v>#N/A</v>
      </c>
      <c r="D1204" s="526" t="e">
        <v>#N/A</v>
      </c>
      <c r="E1204" s="526" t="e">
        <v>#N/A</v>
      </c>
      <c r="F1204" s="526" t="e">
        <v>#N/A</v>
      </c>
      <c r="G1204" s="526" t="e">
        <v>#N/A</v>
      </c>
      <c r="H1204" s="412" t="e">
        <v>#N/A</v>
      </c>
      <c r="I1204" s="411" t="e">
        <v>#N/A</v>
      </c>
      <c r="J1204" s="411" t="e">
        <v>#N/A</v>
      </c>
      <c r="K1204" s="411" t="e">
        <v>#N/A</v>
      </c>
      <c r="L1204" s="526" t="e">
        <v>#N/A</v>
      </c>
    </row>
    <row r="1205" spans="1:12" ht="15" x14ac:dyDescent="0.25">
      <c r="A1205">
        <v>274079</v>
      </c>
      <c r="B1205" t="e">
        <f t="shared" si="46"/>
        <v>#N/A</v>
      </c>
      <c r="C1205" s="198" t="e">
        <f t="shared" si="47"/>
        <v>#N/A</v>
      </c>
      <c r="D1205" s="526" t="e">
        <v>#N/A</v>
      </c>
      <c r="E1205" s="526" t="e">
        <v>#N/A</v>
      </c>
      <c r="F1205" s="526" t="e">
        <v>#N/A</v>
      </c>
      <c r="G1205" s="526" t="e">
        <v>#N/A</v>
      </c>
      <c r="H1205" s="412" t="e">
        <v>#N/A</v>
      </c>
      <c r="I1205" s="411" t="e">
        <v>#N/A</v>
      </c>
      <c r="J1205" s="411" t="e">
        <v>#N/A</v>
      </c>
      <c r="K1205" s="411" t="e">
        <v>#N/A</v>
      </c>
      <c r="L1205" s="526" t="e">
        <v>#N/A</v>
      </c>
    </row>
    <row r="1206" spans="1:12" ht="15" x14ac:dyDescent="0.25">
      <c r="A1206">
        <v>274270</v>
      </c>
      <c r="B1206" t="e">
        <f t="shared" si="46"/>
        <v>#N/A</v>
      </c>
      <c r="C1206" s="198" t="e">
        <f t="shared" si="47"/>
        <v>#N/A</v>
      </c>
      <c r="D1206" s="526" t="e">
        <v>#N/A</v>
      </c>
      <c r="E1206" s="526" t="e">
        <v>#N/A</v>
      </c>
      <c r="F1206" s="526" t="e">
        <v>#N/A</v>
      </c>
      <c r="G1206" s="526" t="e">
        <v>#N/A</v>
      </c>
      <c r="H1206" s="412" t="e">
        <v>#N/A</v>
      </c>
      <c r="I1206" s="411" t="e">
        <v>#N/A</v>
      </c>
      <c r="J1206" s="411" t="e">
        <v>#N/A</v>
      </c>
      <c r="K1206" s="411" t="e">
        <v>#N/A</v>
      </c>
      <c r="L1206" s="526" t="e">
        <v>#N/A</v>
      </c>
    </row>
    <row r="1207" spans="1:12" ht="15" x14ac:dyDescent="0.25">
      <c r="A1207">
        <v>274271</v>
      </c>
      <c r="B1207" t="e">
        <f t="shared" si="46"/>
        <v>#N/A</v>
      </c>
      <c r="C1207" s="198" t="e">
        <f t="shared" si="47"/>
        <v>#N/A</v>
      </c>
      <c r="D1207" s="526" t="e">
        <v>#N/A</v>
      </c>
      <c r="E1207" s="526" t="e">
        <v>#N/A</v>
      </c>
      <c r="F1207" s="526" t="e">
        <v>#N/A</v>
      </c>
      <c r="G1207" s="526" t="e">
        <v>#N/A</v>
      </c>
      <c r="H1207" s="412" t="e">
        <v>#N/A</v>
      </c>
      <c r="I1207" s="411" t="e">
        <v>#N/A</v>
      </c>
      <c r="J1207" s="411" t="e">
        <v>#N/A</v>
      </c>
      <c r="K1207" s="411" t="e">
        <v>#N/A</v>
      </c>
      <c r="L1207" s="526" t="e">
        <v>#N/A</v>
      </c>
    </row>
    <row r="1208" spans="1:12" ht="15" x14ac:dyDescent="0.25">
      <c r="A1208">
        <v>274273</v>
      </c>
      <c r="B1208" t="e">
        <f t="shared" si="46"/>
        <v>#N/A</v>
      </c>
      <c r="C1208" s="198" t="e">
        <f t="shared" si="47"/>
        <v>#N/A</v>
      </c>
      <c r="D1208" s="526" t="e">
        <v>#N/A</v>
      </c>
      <c r="E1208" s="526" t="e">
        <v>#N/A</v>
      </c>
      <c r="F1208" s="526" t="e">
        <v>#N/A</v>
      </c>
      <c r="G1208" s="526" t="e">
        <v>#N/A</v>
      </c>
      <c r="H1208" s="412" t="e">
        <v>#N/A</v>
      </c>
      <c r="I1208" s="411" t="e">
        <v>#N/A</v>
      </c>
      <c r="J1208" s="411" t="e">
        <v>#N/A</v>
      </c>
      <c r="K1208" s="411" t="e">
        <v>#N/A</v>
      </c>
      <c r="L1208" s="526" t="e">
        <v>#N/A</v>
      </c>
    </row>
    <row r="1209" spans="1:12" ht="15" x14ac:dyDescent="0.25">
      <c r="A1209">
        <v>274274</v>
      </c>
      <c r="B1209" t="e">
        <f t="shared" si="46"/>
        <v>#N/A</v>
      </c>
      <c r="C1209" s="198" t="e">
        <f t="shared" si="47"/>
        <v>#N/A</v>
      </c>
      <c r="D1209" s="526" t="e">
        <v>#N/A</v>
      </c>
      <c r="E1209" s="526" t="e">
        <v>#N/A</v>
      </c>
      <c r="F1209" s="526" t="e">
        <v>#N/A</v>
      </c>
      <c r="G1209" s="526" t="e">
        <v>#N/A</v>
      </c>
      <c r="H1209" s="412" t="e">
        <v>#N/A</v>
      </c>
      <c r="I1209" s="411" t="e">
        <v>#N/A</v>
      </c>
      <c r="J1209" s="411" t="e">
        <v>#N/A</v>
      </c>
      <c r="K1209" s="411" t="e">
        <v>#N/A</v>
      </c>
      <c r="L1209" s="526" t="e">
        <v>#N/A</v>
      </c>
    </row>
    <row r="1210" spans="1:12" ht="15" x14ac:dyDescent="0.25">
      <c r="A1210">
        <v>274276</v>
      </c>
      <c r="B1210" t="e">
        <f t="shared" si="46"/>
        <v>#N/A</v>
      </c>
      <c r="C1210" s="198" t="e">
        <f t="shared" si="47"/>
        <v>#N/A</v>
      </c>
      <c r="D1210" s="526" t="e">
        <v>#N/A</v>
      </c>
      <c r="E1210" s="526" t="e">
        <v>#N/A</v>
      </c>
      <c r="F1210" s="526" t="e">
        <v>#N/A</v>
      </c>
      <c r="G1210" s="526" t="e">
        <v>#N/A</v>
      </c>
      <c r="H1210" s="412" t="e">
        <v>#N/A</v>
      </c>
      <c r="I1210" s="411" t="e">
        <v>#N/A</v>
      </c>
      <c r="J1210" s="411" t="e">
        <v>#N/A</v>
      </c>
      <c r="K1210" s="411" t="e">
        <v>#N/A</v>
      </c>
      <c r="L1210" s="526" t="e">
        <v>#N/A</v>
      </c>
    </row>
    <row r="1211" spans="1:12" ht="15" x14ac:dyDescent="0.25">
      <c r="A1211">
        <v>274345</v>
      </c>
      <c r="B1211" t="str">
        <f t="shared" si="46"/>
        <v>SEVROLL sada kovania ZSE-18 PLUS PRINCE</v>
      </c>
      <c r="C1211" s="198">
        <f t="shared" si="47"/>
        <v>77.705730000000003</v>
      </c>
      <c r="D1211" s="526" t="s">
        <v>1371</v>
      </c>
      <c r="E1211" s="526" t="s">
        <v>1823</v>
      </c>
      <c r="F1211" s="526" t="s">
        <v>2183</v>
      </c>
      <c r="G1211" s="526" t="s">
        <v>5840</v>
      </c>
      <c r="H1211" s="412">
        <v>2151.95352</v>
      </c>
      <c r="I1211" s="411">
        <v>77.705730000000003</v>
      </c>
      <c r="J1211" s="411">
        <v>273.45179999999999</v>
      </c>
      <c r="K1211" s="411">
        <v>29580.57933</v>
      </c>
      <c r="L1211" s="526" t="s">
        <v>554</v>
      </c>
    </row>
    <row r="1212" spans="1:12" ht="15" x14ac:dyDescent="0.25">
      <c r="A1212">
        <v>452601</v>
      </c>
      <c r="B1212" t="str">
        <f t="shared" si="46"/>
        <v>SEVROLL 05306 Faworyt II úchytová lišta 2,7m čierna mat</v>
      </c>
      <c r="C1212" s="198">
        <f t="shared" si="47"/>
        <v>16.22184</v>
      </c>
      <c r="D1212" s="526" t="s">
        <v>1372</v>
      </c>
      <c r="E1212" s="526" t="s">
        <v>1824</v>
      </c>
      <c r="F1212" s="526" t="s">
        <v>5841</v>
      </c>
      <c r="G1212" s="526" t="s">
        <v>5842</v>
      </c>
      <c r="H1212" s="412">
        <v>449.39533999999998</v>
      </c>
      <c r="I1212" s="411">
        <v>16.22184</v>
      </c>
      <c r="J1212" s="411">
        <v>60.088200000000001</v>
      </c>
      <c r="K1212" s="411">
        <v>6175.2344300000004</v>
      </c>
      <c r="L1212" s="526" t="s">
        <v>553</v>
      </c>
    </row>
    <row r="1213" spans="1:12" ht="15" x14ac:dyDescent="0.25">
      <c r="A1213">
        <v>452604</v>
      </c>
      <c r="B1213" t="str">
        <f t="shared" si="46"/>
        <v>SEVROLL 03606 spojovacia lišta H30 decor 3m čierna mat</v>
      </c>
      <c r="C1213" s="198">
        <f t="shared" si="47"/>
        <v>29.028379999999999</v>
      </c>
      <c r="D1213" s="526" t="s">
        <v>1373</v>
      </c>
      <c r="E1213" s="526" t="s">
        <v>1825</v>
      </c>
      <c r="F1213" s="526" t="s">
        <v>5843</v>
      </c>
      <c r="G1213" s="526" t="s">
        <v>2394</v>
      </c>
      <c r="H1213" s="412">
        <v>803.76750000000004</v>
      </c>
      <c r="I1213" s="411">
        <v>29.028379999999999</v>
      </c>
      <c r="J1213" s="411">
        <v>102.1734</v>
      </c>
      <c r="K1213" s="411">
        <v>11050.3575</v>
      </c>
      <c r="L1213" s="526" t="s">
        <v>553</v>
      </c>
    </row>
    <row r="1214" spans="1:12" ht="15" x14ac:dyDescent="0.25">
      <c r="A1214">
        <v>452606</v>
      </c>
      <c r="B1214" t="str">
        <f t="shared" si="46"/>
        <v>SEVROLL 05341 dištančný profil 04 3m čierna mat</v>
      </c>
      <c r="C1214" s="198">
        <f t="shared" si="47"/>
        <v>4.6290500000000003</v>
      </c>
      <c r="D1214" s="526" t="s">
        <v>1374</v>
      </c>
      <c r="E1214" s="526" t="s">
        <v>1826</v>
      </c>
      <c r="F1214" s="526" t="s">
        <v>5844</v>
      </c>
      <c r="G1214" s="526" t="s">
        <v>5845</v>
      </c>
      <c r="H1214" s="412">
        <v>127.88834</v>
      </c>
      <c r="I1214" s="411">
        <v>4.6290500000000003</v>
      </c>
      <c r="J1214" s="411">
        <v>16.289400000000001</v>
      </c>
      <c r="K1214" s="411">
        <v>1762.16363</v>
      </c>
      <c r="L1214" s="526" t="s">
        <v>553</v>
      </c>
    </row>
    <row r="1215" spans="1:12" ht="15" x14ac:dyDescent="0.25">
      <c r="A1215">
        <v>452608</v>
      </c>
      <c r="B1215" t="str">
        <f t="shared" si="46"/>
        <v>SEVROLL 05302 horná vodiaca lišta 2,35m čierna mat</v>
      </c>
      <c r="C1215" s="198">
        <f t="shared" si="47"/>
        <v>14.398070000000001</v>
      </c>
      <c r="D1215" s="526" t="s">
        <v>1375</v>
      </c>
      <c r="E1215" s="526" t="s">
        <v>1827</v>
      </c>
      <c r="F1215" s="526" t="s">
        <v>5846</v>
      </c>
      <c r="G1215" s="526" t="s">
        <v>2395</v>
      </c>
      <c r="H1215" s="412">
        <v>398.66867999999999</v>
      </c>
      <c r="I1215" s="411">
        <v>14.398070000000001</v>
      </c>
      <c r="J1215" s="411">
        <v>82.936199999999999</v>
      </c>
      <c r="K1215" s="411">
        <v>5480.9771700000001</v>
      </c>
      <c r="L1215" s="526" t="s">
        <v>553</v>
      </c>
    </row>
    <row r="1216" spans="1:12" ht="15" x14ac:dyDescent="0.25">
      <c r="A1216">
        <v>452734</v>
      </c>
      <c r="B1216" t="str">
        <f t="shared" si="46"/>
        <v>SEVROLL 03605 horná vodiaca lišta 3m čierna mat</v>
      </c>
      <c r="C1216" s="198">
        <f t="shared" si="47"/>
        <v>18.371739999999999</v>
      </c>
      <c r="D1216" s="526" t="s">
        <v>1376</v>
      </c>
      <c r="E1216" s="526" t="s">
        <v>1828</v>
      </c>
      <c r="F1216" s="526" t="s">
        <v>5847</v>
      </c>
      <c r="G1216" s="526" t="s">
        <v>2396</v>
      </c>
      <c r="H1216" s="412">
        <v>508.69551999999999</v>
      </c>
      <c r="I1216" s="411">
        <v>18.371739999999999</v>
      </c>
      <c r="J1216" s="411">
        <v>105.8454</v>
      </c>
      <c r="K1216" s="411">
        <v>6993.6486299999997</v>
      </c>
      <c r="L1216" s="526" t="s">
        <v>553</v>
      </c>
    </row>
    <row r="1217" spans="1:12" ht="15" x14ac:dyDescent="0.25">
      <c r="A1217">
        <v>452735</v>
      </c>
      <c r="B1217" t="str">
        <f t="shared" si="46"/>
        <v>SEVROLL 05324 Pax horná vodiaca lišta 3m čierna mat</v>
      </c>
      <c r="C1217" s="198">
        <f t="shared" si="47"/>
        <v>29.105779999999999</v>
      </c>
      <c r="D1217" s="526" t="s">
        <v>1377</v>
      </c>
      <c r="E1217" s="526" t="s">
        <v>1829</v>
      </c>
      <c r="F1217" s="526" t="s">
        <v>5848</v>
      </c>
      <c r="G1217" s="526" t="s">
        <v>2397</v>
      </c>
      <c r="H1217" s="412">
        <v>805.91088000000002</v>
      </c>
      <c r="I1217" s="411">
        <v>29.105779999999999</v>
      </c>
      <c r="J1217" s="411">
        <v>112.2</v>
      </c>
      <c r="K1217" s="411">
        <v>11079.82497</v>
      </c>
      <c r="L1217" s="526" t="s">
        <v>554</v>
      </c>
    </row>
    <row r="1218" spans="1:12" ht="15" x14ac:dyDescent="0.25">
      <c r="A1218">
        <v>452736</v>
      </c>
      <c r="B1218" t="str">
        <f t="shared" si="46"/>
        <v>SEVROLL 05316 Gemini horné vedenie 6m čierna mat</v>
      </c>
      <c r="C1218" s="198">
        <f t="shared" si="47"/>
        <v>64.404290000000003</v>
      </c>
      <c r="D1218" s="526" t="s">
        <v>1378</v>
      </c>
      <c r="E1218" s="526" t="s">
        <v>1830</v>
      </c>
      <c r="F1218" s="526" t="s">
        <v>5849</v>
      </c>
      <c r="G1218" s="526" t="s">
        <v>5850</v>
      </c>
      <c r="H1218" s="412">
        <v>1783.29216</v>
      </c>
      <c r="I1218" s="411">
        <v>64.404290000000003</v>
      </c>
      <c r="J1218" s="411">
        <v>263.56799999999998</v>
      </c>
      <c r="K1218" s="411">
        <v>24517.05991</v>
      </c>
      <c r="L1218" s="526" t="s">
        <v>553</v>
      </c>
    </row>
    <row r="1219" spans="1:12" ht="15" x14ac:dyDescent="0.25">
      <c r="A1219">
        <v>452743</v>
      </c>
      <c r="B1219" t="str">
        <f t="shared" si="46"/>
        <v>SEVROLL 05312 Elegant II spodné vedenie 6m čierna mat</v>
      </c>
      <c r="C1219" s="198">
        <f t="shared" si="47"/>
        <v>37.585949999999997</v>
      </c>
      <c r="D1219" s="526" t="s">
        <v>1379</v>
      </c>
      <c r="E1219" s="526" t="s">
        <v>1831</v>
      </c>
      <c r="F1219" s="526" t="s">
        <v>5851</v>
      </c>
      <c r="G1219" s="526" t="s">
        <v>5852</v>
      </c>
      <c r="H1219" s="412">
        <v>1040.96822</v>
      </c>
      <c r="I1219" s="411">
        <v>37.585949999999997</v>
      </c>
      <c r="J1219" s="411">
        <v>143.60579999999999</v>
      </c>
      <c r="K1219" s="411">
        <v>14308.00301</v>
      </c>
      <c r="L1219" s="526" t="s">
        <v>553</v>
      </c>
    </row>
    <row r="1220" spans="1:12" ht="15" x14ac:dyDescent="0.25">
      <c r="A1220">
        <v>452751</v>
      </c>
      <c r="B1220" t="str">
        <f t="shared" si="46"/>
        <v>SEVROLL 05317 maska Elegant II 1,7m čierna mat</v>
      </c>
      <c r="C1220" s="198">
        <f t="shared" si="47"/>
        <v>3.3074400000000002</v>
      </c>
      <c r="D1220" s="526" t="s">
        <v>1380</v>
      </c>
      <c r="E1220" s="526" t="s">
        <v>1832</v>
      </c>
      <c r="F1220" s="526" t="s">
        <v>5853</v>
      </c>
      <c r="G1220" s="526" t="s">
        <v>2398</v>
      </c>
      <c r="H1220" s="412">
        <v>91.450879999999998</v>
      </c>
      <c r="I1220" s="411">
        <v>3.3074400000000002</v>
      </c>
      <c r="J1220" s="411">
        <v>12.199199999999999</v>
      </c>
      <c r="K1220" s="411">
        <v>1259.0531100000001</v>
      </c>
      <c r="L1220" s="526" t="s">
        <v>553</v>
      </c>
    </row>
    <row r="1221" spans="1:12" ht="15" x14ac:dyDescent="0.25">
      <c r="A1221">
        <v>452757</v>
      </c>
      <c r="B1221" t="str">
        <f t="shared" si="46"/>
        <v>SEVROLL 05321 maska Elegant II 6m čierna mat</v>
      </c>
      <c r="C1221" s="198">
        <f t="shared" si="47"/>
        <v>11.67327</v>
      </c>
      <c r="D1221" s="526" t="s">
        <v>1381</v>
      </c>
      <c r="E1221" s="526" t="s">
        <v>1833</v>
      </c>
      <c r="F1221" s="526" t="s">
        <v>5854</v>
      </c>
      <c r="G1221" s="526" t="s">
        <v>5855</v>
      </c>
      <c r="H1221" s="412">
        <v>322.93592000000001</v>
      </c>
      <c r="I1221" s="411">
        <v>11.67327</v>
      </c>
      <c r="J1221" s="411">
        <v>43.084800000000001</v>
      </c>
      <c r="K1221" s="411">
        <v>4443.7172700000001</v>
      </c>
      <c r="L1221" s="526" t="s">
        <v>553</v>
      </c>
    </row>
    <row r="1222" spans="1:12" ht="15" x14ac:dyDescent="0.25">
      <c r="A1222">
        <v>452761</v>
      </c>
      <c r="B1222" t="str">
        <f t="shared" si="46"/>
        <v>SEVROLL 05303 spojovacia lišta H10 3m čierna mat</v>
      </c>
      <c r="C1222" s="198">
        <f t="shared" si="47"/>
        <v>15.688219999999999</v>
      </c>
      <c r="D1222" s="526" t="s">
        <v>1382</v>
      </c>
      <c r="E1222" s="526" t="s">
        <v>1834</v>
      </c>
      <c r="F1222" s="526" t="s">
        <v>5856</v>
      </c>
      <c r="G1222" s="526" t="s">
        <v>2399</v>
      </c>
      <c r="H1222" s="412">
        <v>434.39168000000001</v>
      </c>
      <c r="I1222" s="411">
        <v>15.688219999999999</v>
      </c>
      <c r="J1222" s="411">
        <v>67.289400000000001</v>
      </c>
      <c r="K1222" s="411">
        <v>5972.1041699999996</v>
      </c>
      <c r="L1222" s="526" t="s">
        <v>553</v>
      </c>
    </row>
    <row r="1223" spans="1:12" ht="15" x14ac:dyDescent="0.25">
      <c r="A1223">
        <v>293010</v>
      </c>
      <c r="B1223" t="e">
        <f t="shared" si="46"/>
        <v>#N/A</v>
      </c>
      <c r="C1223" s="198" t="e">
        <f t="shared" si="47"/>
        <v>#N/A</v>
      </c>
      <c r="D1223" s="526" t="e">
        <v>#N/A</v>
      </c>
      <c r="E1223" s="526" t="e">
        <v>#N/A</v>
      </c>
      <c r="F1223" s="526" t="e">
        <v>#N/A</v>
      </c>
      <c r="G1223" s="526" t="e">
        <v>#N/A</v>
      </c>
      <c r="H1223" s="412" t="e">
        <v>#N/A</v>
      </c>
      <c r="I1223" s="411" t="e">
        <v>#N/A</v>
      </c>
      <c r="J1223" s="411" t="e">
        <v>#N/A</v>
      </c>
      <c r="K1223" s="411" t="e">
        <v>#N/A</v>
      </c>
      <c r="L1223" s="526" t="e">
        <v>#N/A</v>
      </c>
    </row>
    <row r="1224" spans="1:12" ht="15" x14ac:dyDescent="0.25">
      <c r="A1224">
        <v>293015</v>
      </c>
      <c r="B1224" t="e">
        <f t="shared" si="46"/>
        <v>#N/A</v>
      </c>
      <c r="C1224" s="198" t="e">
        <f t="shared" si="47"/>
        <v>#N/A</v>
      </c>
      <c r="D1224" s="526" t="e">
        <v>#N/A</v>
      </c>
      <c r="E1224" s="526" t="e">
        <v>#N/A</v>
      </c>
      <c r="F1224" s="526" t="e">
        <v>#N/A</v>
      </c>
      <c r="G1224" s="526" t="e">
        <v>#N/A</v>
      </c>
      <c r="H1224" s="412" t="e">
        <v>#N/A</v>
      </c>
      <c r="I1224" s="411" t="e">
        <v>#N/A</v>
      </c>
      <c r="J1224" s="411" t="e">
        <v>#N/A</v>
      </c>
      <c r="K1224" s="411" t="e">
        <v>#N/A</v>
      </c>
      <c r="L1224" s="526" t="e">
        <v>#N/A</v>
      </c>
    </row>
    <row r="1225" spans="1:12" ht="15" x14ac:dyDescent="0.25">
      <c r="A1225">
        <v>293016</v>
      </c>
      <c r="B1225" t="e">
        <f t="shared" si="46"/>
        <v>#N/A</v>
      </c>
      <c r="C1225" s="198" t="e">
        <f t="shared" si="47"/>
        <v>#N/A</v>
      </c>
      <c r="D1225" s="526" t="e">
        <v>#N/A</v>
      </c>
      <c r="E1225" s="526" t="e">
        <v>#N/A</v>
      </c>
      <c r="F1225" s="526" t="e">
        <v>#N/A</v>
      </c>
      <c r="G1225" s="526" t="e">
        <v>#N/A</v>
      </c>
      <c r="H1225" s="412" t="e">
        <v>#N/A</v>
      </c>
      <c r="I1225" s="411" t="e">
        <v>#N/A</v>
      </c>
      <c r="J1225" s="411" t="e">
        <v>#N/A</v>
      </c>
      <c r="K1225" s="411" t="e">
        <v>#N/A</v>
      </c>
      <c r="L1225" s="526" t="e">
        <v>#N/A</v>
      </c>
    </row>
    <row r="1226" spans="1:12" ht="15" x14ac:dyDescent="0.25">
      <c r="A1226">
        <v>293019</v>
      </c>
      <c r="B1226" t="e">
        <f t="shared" si="46"/>
        <v>#N/A</v>
      </c>
      <c r="C1226" s="198" t="e">
        <f t="shared" si="47"/>
        <v>#N/A</v>
      </c>
      <c r="D1226" s="526" t="e">
        <v>#N/A</v>
      </c>
      <c r="E1226" s="526" t="e">
        <v>#N/A</v>
      </c>
      <c r="F1226" s="526" t="e">
        <v>#N/A</v>
      </c>
      <c r="G1226" s="526" t="e">
        <v>#N/A</v>
      </c>
      <c r="H1226" s="412" t="e">
        <v>#N/A</v>
      </c>
      <c r="I1226" s="411" t="e">
        <v>#N/A</v>
      </c>
      <c r="J1226" s="411" t="e">
        <v>#N/A</v>
      </c>
      <c r="K1226" s="411" t="e">
        <v>#N/A</v>
      </c>
      <c r="L1226" s="526" t="e">
        <v>#N/A</v>
      </c>
    </row>
    <row r="1227" spans="1:12" ht="15" x14ac:dyDescent="0.25">
      <c r="A1227">
        <v>293020</v>
      </c>
      <c r="B1227" t="e">
        <f t="shared" si="46"/>
        <v>#N/A</v>
      </c>
      <c r="C1227" s="198" t="e">
        <f t="shared" si="47"/>
        <v>#N/A</v>
      </c>
      <c r="D1227" s="526" t="e">
        <v>#N/A</v>
      </c>
      <c r="E1227" s="526" t="e">
        <v>#N/A</v>
      </c>
      <c r="F1227" s="526" t="e">
        <v>#N/A</v>
      </c>
      <c r="G1227" s="526" t="e">
        <v>#N/A</v>
      </c>
      <c r="H1227" s="412" t="e">
        <v>#N/A</v>
      </c>
      <c r="I1227" s="411" t="e">
        <v>#N/A</v>
      </c>
      <c r="J1227" s="411" t="e">
        <v>#N/A</v>
      </c>
      <c r="K1227" s="411" t="e">
        <v>#N/A</v>
      </c>
      <c r="L1227" s="526" t="e">
        <v>#N/A</v>
      </c>
    </row>
    <row r="1228" spans="1:12" ht="15" x14ac:dyDescent="0.25">
      <c r="A1228">
        <v>293147</v>
      </c>
      <c r="B1228" t="e">
        <f t="shared" si="46"/>
        <v>#N/A</v>
      </c>
      <c r="C1228" s="198" t="e">
        <f t="shared" si="47"/>
        <v>#N/A</v>
      </c>
      <c r="D1228" s="526" t="e">
        <v>#N/A</v>
      </c>
      <c r="E1228" s="526" t="e">
        <v>#N/A</v>
      </c>
      <c r="F1228" s="526" t="e">
        <v>#N/A</v>
      </c>
      <c r="G1228" s="526" t="e">
        <v>#N/A</v>
      </c>
      <c r="H1228" s="412" t="e">
        <v>#N/A</v>
      </c>
      <c r="I1228" s="411" t="e">
        <v>#N/A</v>
      </c>
      <c r="J1228" s="411" t="e">
        <v>#N/A</v>
      </c>
      <c r="K1228" s="411" t="e">
        <v>#N/A</v>
      </c>
      <c r="L1228" s="526" t="e">
        <v>#N/A</v>
      </c>
    </row>
    <row r="1229" spans="1:12" ht="15" x14ac:dyDescent="0.25">
      <c r="A1229">
        <v>293148</v>
      </c>
      <c r="B1229" t="e">
        <f t="shared" si="46"/>
        <v>#N/A</v>
      </c>
      <c r="C1229" s="198" t="e">
        <f t="shared" si="47"/>
        <v>#N/A</v>
      </c>
      <c r="D1229" s="526" t="e">
        <v>#N/A</v>
      </c>
      <c r="E1229" s="526" t="e">
        <v>#N/A</v>
      </c>
      <c r="F1229" s="526" t="e">
        <v>#N/A</v>
      </c>
      <c r="G1229" s="526" t="e">
        <v>#N/A</v>
      </c>
      <c r="H1229" s="412" t="e">
        <v>#N/A</v>
      </c>
      <c r="I1229" s="411" t="e">
        <v>#N/A</v>
      </c>
      <c r="J1229" s="411" t="e">
        <v>#N/A</v>
      </c>
      <c r="K1229" s="411" t="e">
        <v>#N/A</v>
      </c>
      <c r="L1229" s="526" t="e">
        <v>#N/A</v>
      </c>
    </row>
    <row r="1230" spans="1:12" ht="15" x14ac:dyDescent="0.25">
      <c r="A1230">
        <v>293151</v>
      </c>
      <c r="B1230" t="e">
        <f t="shared" si="46"/>
        <v>#N/A</v>
      </c>
      <c r="C1230" s="198" t="e">
        <f t="shared" si="47"/>
        <v>#N/A</v>
      </c>
      <c r="D1230" s="526" t="e">
        <v>#N/A</v>
      </c>
      <c r="E1230" s="526" t="e">
        <v>#N/A</v>
      </c>
      <c r="F1230" s="526" t="e">
        <v>#N/A</v>
      </c>
      <c r="G1230" s="526" t="e">
        <v>#N/A</v>
      </c>
      <c r="H1230" s="412" t="e">
        <v>#N/A</v>
      </c>
      <c r="I1230" s="411" t="e">
        <v>#N/A</v>
      </c>
      <c r="J1230" s="411" t="e">
        <v>#N/A</v>
      </c>
      <c r="K1230" s="411" t="e">
        <v>#N/A</v>
      </c>
      <c r="L1230" s="526" t="e">
        <v>#N/A</v>
      </c>
    </row>
    <row r="1231" spans="1:12" ht="15" x14ac:dyDescent="0.25">
      <c r="A1231">
        <v>293153</v>
      </c>
      <c r="B1231" t="e">
        <f t="shared" si="46"/>
        <v>#N/A</v>
      </c>
      <c r="C1231" s="198" t="e">
        <f t="shared" si="47"/>
        <v>#N/A</v>
      </c>
      <c r="D1231" s="526" t="e">
        <v>#N/A</v>
      </c>
      <c r="E1231" s="526" t="e">
        <v>#N/A</v>
      </c>
      <c r="F1231" s="526" t="e">
        <v>#N/A</v>
      </c>
      <c r="G1231" s="526" t="e">
        <v>#N/A</v>
      </c>
      <c r="H1231" s="412" t="e">
        <v>#N/A</v>
      </c>
      <c r="I1231" s="411" t="e">
        <v>#N/A</v>
      </c>
      <c r="J1231" s="411" t="e">
        <v>#N/A</v>
      </c>
      <c r="K1231" s="411" t="e">
        <v>#N/A</v>
      </c>
      <c r="L1231" s="526" t="e">
        <v>#N/A</v>
      </c>
    </row>
    <row r="1232" spans="1:12" ht="15" x14ac:dyDescent="0.25">
      <c r="A1232">
        <v>293159</v>
      </c>
      <c r="B1232" t="e">
        <f t="shared" si="46"/>
        <v>#N/A</v>
      </c>
      <c r="C1232" s="198" t="e">
        <f t="shared" si="47"/>
        <v>#N/A</v>
      </c>
      <c r="D1232" s="526" t="e">
        <v>#N/A</v>
      </c>
      <c r="E1232" s="526" t="e">
        <v>#N/A</v>
      </c>
      <c r="F1232" s="526" t="e">
        <v>#N/A</v>
      </c>
      <c r="G1232" s="526" t="e">
        <v>#N/A</v>
      </c>
      <c r="H1232" s="412" t="e">
        <v>#N/A</v>
      </c>
      <c r="I1232" s="411" t="e">
        <v>#N/A</v>
      </c>
      <c r="J1232" s="411" t="e">
        <v>#N/A</v>
      </c>
      <c r="K1232" s="411" t="e">
        <v>#N/A</v>
      </c>
      <c r="L1232" s="526" t="e">
        <v>#N/A</v>
      </c>
    </row>
    <row r="1233" spans="1:12" ht="15" x14ac:dyDescent="0.25">
      <c r="A1233">
        <v>293160</v>
      </c>
      <c r="B1233" t="e">
        <f t="shared" si="46"/>
        <v>#N/A</v>
      </c>
      <c r="C1233" s="198" t="e">
        <f t="shared" si="47"/>
        <v>#N/A</v>
      </c>
      <c r="D1233" s="526" t="e">
        <v>#N/A</v>
      </c>
      <c r="E1233" s="526" t="e">
        <v>#N/A</v>
      </c>
      <c r="F1233" s="526" t="e">
        <v>#N/A</v>
      </c>
      <c r="G1233" s="526" t="e">
        <v>#N/A</v>
      </c>
      <c r="H1233" s="412" t="e">
        <v>#N/A</v>
      </c>
      <c r="I1233" s="411" t="e">
        <v>#N/A</v>
      </c>
      <c r="J1233" s="411" t="e">
        <v>#N/A</v>
      </c>
      <c r="K1233" s="411" t="e">
        <v>#N/A</v>
      </c>
      <c r="L1233" s="526" t="e">
        <v>#N/A</v>
      </c>
    </row>
    <row r="1234" spans="1:12" ht="15" x14ac:dyDescent="0.25">
      <c r="A1234">
        <v>293161</v>
      </c>
      <c r="B1234" t="e">
        <f t="shared" si="46"/>
        <v>#N/A</v>
      </c>
      <c r="C1234" s="198" t="e">
        <f t="shared" si="47"/>
        <v>#N/A</v>
      </c>
      <c r="D1234" s="526" t="e">
        <v>#N/A</v>
      </c>
      <c r="E1234" s="526" t="e">
        <v>#N/A</v>
      </c>
      <c r="F1234" s="526" t="e">
        <v>#N/A</v>
      </c>
      <c r="G1234" s="526" t="e">
        <v>#N/A</v>
      </c>
      <c r="H1234" s="412" t="e">
        <v>#N/A</v>
      </c>
      <c r="I1234" s="411" t="e">
        <v>#N/A</v>
      </c>
      <c r="J1234" s="411" t="e">
        <v>#N/A</v>
      </c>
      <c r="K1234" s="411" t="e">
        <v>#N/A</v>
      </c>
      <c r="L1234" s="526" t="e">
        <v>#N/A</v>
      </c>
    </row>
    <row r="1235" spans="1:12" ht="15" x14ac:dyDescent="0.25">
      <c r="A1235">
        <v>293162</v>
      </c>
      <c r="B1235" t="e">
        <f t="shared" si="46"/>
        <v>#N/A</v>
      </c>
      <c r="C1235" s="198" t="e">
        <f t="shared" si="47"/>
        <v>#N/A</v>
      </c>
      <c r="D1235" s="526" t="e">
        <v>#N/A</v>
      </c>
      <c r="E1235" s="526" t="e">
        <v>#N/A</v>
      </c>
      <c r="F1235" s="526" t="e">
        <v>#N/A</v>
      </c>
      <c r="G1235" s="526" t="e">
        <v>#N/A</v>
      </c>
      <c r="H1235" s="412" t="e">
        <v>#N/A</v>
      </c>
      <c r="I1235" s="411" t="e">
        <v>#N/A</v>
      </c>
      <c r="J1235" s="411" t="e">
        <v>#N/A</v>
      </c>
      <c r="K1235" s="411" t="e">
        <v>#N/A</v>
      </c>
      <c r="L1235" s="526" t="e">
        <v>#N/A</v>
      </c>
    </row>
    <row r="1236" spans="1:12" ht="15" x14ac:dyDescent="0.25">
      <c r="A1236">
        <v>293163</v>
      </c>
      <c r="B1236" t="e">
        <f t="shared" si="46"/>
        <v>#N/A</v>
      </c>
      <c r="C1236" s="198" t="e">
        <f t="shared" si="47"/>
        <v>#N/A</v>
      </c>
      <c r="D1236" s="526" t="e">
        <v>#N/A</v>
      </c>
      <c r="E1236" s="526" t="e">
        <v>#N/A</v>
      </c>
      <c r="F1236" s="526" t="e">
        <v>#N/A</v>
      </c>
      <c r="G1236" s="526" t="e">
        <v>#N/A</v>
      </c>
      <c r="H1236" s="412" t="e">
        <v>#N/A</v>
      </c>
      <c r="I1236" s="411" t="e">
        <v>#N/A</v>
      </c>
      <c r="J1236" s="411" t="e">
        <v>#N/A</v>
      </c>
      <c r="K1236" s="411" t="e">
        <v>#N/A</v>
      </c>
      <c r="L1236" s="526" t="e">
        <v>#N/A</v>
      </c>
    </row>
    <row r="1237" spans="1:12" ht="15" x14ac:dyDescent="0.25">
      <c r="A1237">
        <v>293164</v>
      </c>
      <c r="B1237" t="e">
        <f t="shared" si="46"/>
        <v>#N/A</v>
      </c>
      <c r="C1237" s="198" t="e">
        <f t="shared" si="47"/>
        <v>#N/A</v>
      </c>
      <c r="D1237" s="526" t="e">
        <v>#N/A</v>
      </c>
      <c r="E1237" s="526" t="e">
        <v>#N/A</v>
      </c>
      <c r="F1237" s="526" t="e">
        <v>#N/A</v>
      </c>
      <c r="G1237" s="526" t="e">
        <v>#N/A</v>
      </c>
      <c r="H1237" s="412" t="e">
        <v>#N/A</v>
      </c>
      <c r="I1237" s="411" t="e">
        <v>#N/A</v>
      </c>
      <c r="J1237" s="411" t="e">
        <v>#N/A</v>
      </c>
      <c r="K1237" s="411" t="e">
        <v>#N/A</v>
      </c>
      <c r="L1237" s="526" t="e">
        <v>#N/A</v>
      </c>
    </row>
    <row r="1238" spans="1:12" ht="15" x14ac:dyDescent="0.25">
      <c r="A1238">
        <v>293165</v>
      </c>
      <c r="B1238" t="e">
        <f t="shared" si="46"/>
        <v>#N/A</v>
      </c>
      <c r="C1238" s="198" t="e">
        <f t="shared" si="47"/>
        <v>#N/A</v>
      </c>
      <c r="D1238" s="526" t="e">
        <v>#N/A</v>
      </c>
      <c r="E1238" s="526" t="e">
        <v>#N/A</v>
      </c>
      <c r="F1238" s="526" t="e">
        <v>#N/A</v>
      </c>
      <c r="G1238" s="526" t="e">
        <v>#N/A</v>
      </c>
      <c r="H1238" s="412" t="e">
        <v>#N/A</v>
      </c>
      <c r="I1238" s="411" t="e">
        <v>#N/A</v>
      </c>
      <c r="J1238" s="411" t="e">
        <v>#N/A</v>
      </c>
      <c r="K1238" s="411" t="e">
        <v>#N/A</v>
      </c>
      <c r="L1238" s="526" t="e">
        <v>#N/A</v>
      </c>
    </row>
    <row r="1239" spans="1:12" ht="15" x14ac:dyDescent="0.25">
      <c r="A1239">
        <v>293167</v>
      </c>
      <c r="B1239" t="e">
        <f t="shared" si="46"/>
        <v>#N/A</v>
      </c>
      <c r="C1239" s="198" t="e">
        <f t="shared" si="47"/>
        <v>#N/A</v>
      </c>
      <c r="D1239" s="526" t="e">
        <v>#N/A</v>
      </c>
      <c r="E1239" s="526" t="e">
        <v>#N/A</v>
      </c>
      <c r="F1239" s="526" t="e">
        <v>#N/A</v>
      </c>
      <c r="G1239" s="526" t="e">
        <v>#N/A</v>
      </c>
      <c r="H1239" s="412" t="e">
        <v>#N/A</v>
      </c>
      <c r="I1239" s="411" t="e">
        <v>#N/A</v>
      </c>
      <c r="J1239" s="411" t="e">
        <v>#N/A</v>
      </c>
      <c r="K1239" s="411" t="e">
        <v>#N/A</v>
      </c>
      <c r="L1239" s="526" t="e">
        <v>#N/A</v>
      </c>
    </row>
    <row r="1240" spans="1:12" ht="15" x14ac:dyDescent="0.25">
      <c r="A1240">
        <v>393220</v>
      </c>
      <c r="B1240" t="e">
        <f t="shared" si="46"/>
        <v>#N/A</v>
      </c>
      <c r="C1240" s="198" t="e">
        <f t="shared" si="47"/>
        <v>#N/A</v>
      </c>
      <c r="D1240" s="526" t="e">
        <v>#N/A</v>
      </c>
      <c r="E1240" s="526" t="e">
        <v>#N/A</v>
      </c>
      <c r="F1240" s="526" t="e">
        <v>#N/A</v>
      </c>
      <c r="G1240" s="526" t="e">
        <v>#N/A</v>
      </c>
      <c r="H1240" s="412" t="e">
        <v>#N/A</v>
      </c>
      <c r="I1240" s="411" t="e">
        <v>#N/A</v>
      </c>
      <c r="J1240" s="411" t="e">
        <v>#N/A</v>
      </c>
      <c r="K1240" s="411" t="e">
        <v>#N/A</v>
      </c>
      <c r="L1240" s="526" t="e">
        <v>#N/A</v>
      </c>
    </row>
    <row r="1241" spans="1:12" ht="15" x14ac:dyDescent="0.25">
      <c r="A1241">
        <v>393222</v>
      </c>
      <c r="B1241" t="e">
        <f t="shared" si="46"/>
        <v>#N/A</v>
      </c>
      <c r="C1241" s="198" t="e">
        <f t="shared" si="47"/>
        <v>#N/A</v>
      </c>
      <c r="D1241" s="526" t="e">
        <v>#N/A</v>
      </c>
      <c r="E1241" s="526" t="e">
        <v>#N/A</v>
      </c>
      <c r="F1241" s="526" t="e">
        <v>#N/A</v>
      </c>
      <c r="G1241" s="526" t="e">
        <v>#N/A</v>
      </c>
      <c r="H1241" s="412" t="e">
        <v>#N/A</v>
      </c>
      <c r="I1241" s="411" t="e">
        <v>#N/A</v>
      </c>
      <c r="J1241" s="411" t="e">
        <v>#N/A</v>
      </c>
      <c r="K1241" s="411" t="e">
        <v>#N/A</v>
      </c>
      <c r="L1241" s="526" t="e">
        <v>#N/A</v>
      </c>
    </row>
    <row r="1242" spans="1:12" ht="15" x14ac:dyDescent="0.25">
      <c r="A1242">
        <v>393224</v>
      </c>
      <c r="B1242" t="e">
        <f t="shared" ref="B1242:B1303" si="48">IF($A$2=1,D1242,IF($A$2=2,F1242,IF($A$2=3,G1242,IF($A$2=4,E1242,"zadat jazyk"))))</f>
        <v>#N/A</v>
      </c>
      <c r="C1242" s="198" t="e">
        <f t="shared" ref="C1242:C1303" si="49">IF($A$2=1,H1242,IF($A$2=2,I1242,IF($A$2=3,J1242,IF($A$2=4,K1242,"zadat jazyk"))))</f>
        <v>#N/A</v>
      </c>
      <c r="D1242" s="526" t="e">
        <v>#N/A</v>
      </c>
      <c r="E1242" s="526" t="e">
        <v>#N/A</v>
      </c>
      <c r="F1242" s="526" t="e">
        <v>#N/A</v>
      </c>
      <c r="G1242" s="526" t="e">
        <v>#N/A</v>
      </c>
      <c r="H1242" s="412" t="e">
        <v>#N/A</v>
      </c>
      <c r="I1242" s="411" t="e">
        <v>#N/A</v>
      </c>
      <c r="J1242" s="411" t="e">
        <v>#N/A</v>
      </c>
      <c r="K1242" s="411" t="e">
        <v>#N/A</v>
      </c>
      <c r="L1242" s="526" t="e">
        <v>#N/A</v>
      </c>
    </row>
    <row r="1243" spans="1:12" ht="15" x14ac:dyDescent="0.25">
      <c r="A1243">
        <v>393226</v>
      </c>
      <c r="B1243" t="e">
        <f t="shared" si="48"/>
        <v>#N/A</v>
      </c>
      <c r="C1243" s="198" t="e">
        <f t="shared" si="49"/>
        <v>#N/A</v>
      </c>
      <c r="D1243" s="526" t="e">
        <v>#N/A</v>
      </c>
      <c r="E1243" s="526" t="e">
        <v>#N/A</v>
      </c>
      <c r="F1243" s="526" t="e">
        <v>#N/A</v>
      </c>
      <c r="G1243" s="526" t="e">
        <v>#N/A</v>
      </c>
      <c r="H1243" s="412" t="e">
        <v>#N/A</v>
      </c>
      <c r="I1243" s="411" t="e">
        <v>#N/A</v>
      </c>
      <c r="J1243" s="411" t="e">
        <v>#N/A</v>
      </c>
      <c r="K1243" s="411" t="e">
        <v>#N/A</v>
      </c>
      <c r="L1243" s="526" t="e">
        <v>#N/A</v>
      </c>
    </row>
    <row r="1244" spans="1:12" ht="15" x14ac:dyDescent="0.25">
      <c r="A1244">
        <v>393227</v>
      </c>
      <c r="B1244" t="e">
        <f t="shared" si="48"/>
        <v>#N/A</v>
      </c>
      <c r="C1244" s="198" t="e">
        <f t="shared" si="49"/>
        <v>#N/A</v>
      </c>
      <c r="D1244" s="526" t="e">
        <v>#N/A</v>
      </c>
      <c r="E1244" s="526" t="e">
        <v>#N/A</v>
      </c>
      <c r="F1244" s="526" t="e">
        <v>#N/A</v>
      </c>
      <c r="G1244" s="526" t="e">
        <v>#N/A</v>
      </c>
      <c r="H1244" s="412" t="e">
        <v>#N/A</v>
      </c>
      <c r="I1244" s="411" t="e">
        <v>#N/A</v>
      </c>
      <c r="J1244" s="411" t="e">
        <v>#N/A</v>
      </c>
      <c r="K1244" s="411" t="e">
        <v>#N/A</v>
      </c>
      <c r="L1244" s="526" t="e">
        <v>#N/A</v>
      </c>
    </row>
    <row r="1245" spans="1:12" ht="15" x14ac:dyDescent="0.25">
      <c r="A1245">
        <v>393229</v>
      </c>
      <c r="B1245" t="e">
        <f t="shared" si="48"/>
        <v>#N/A</v>
      </c>
      <c r="C1245" s="198" t="e">
        <f t="shared" si="49"/>
        <v>#N/A</v>
      </c>
      <c r="D1245" s="526" t="e">
        <v>#N/A</v>
      </c>
      <c r="E1245" s="526" t="e">
        <v>#N/A</v>
      </c>
      <c r="F1245" s="526" t="e">
        <v>#N/A</v>
      </c>
      <c r="G1245" s="526" t="e">
        <v>#N/A</v>
      </c>
      <c r="H1245" s="412" t="e">
        <v>#N/A</v>
      </c>
      <c r="I1245" s="411" t="e">
        <v>#N/A</v>
      </c>
      <c r="J1245" s="411" t="e">
        <v>#N/A</v>
      </c>
      <c r="K1245" s="411" t="e">
        <v>#N/A</v>
      </c>
      <c r="L1245" s="526" t="e">
        <v>#N/A</v>
      </c>
    </row>
    <row r="1246" spans="1:12" ht="15" x14ac:dyDescent="0.25">
      <c r="A1246">
        <v>393230</v>
      </c>
      <c r="B1246" t="e">
        <f t="shared" si="48"/>
        <v>#N/A</v>
      </c>
      <c r="C1246" s="198" t="e">
        <f t="shared" si="49"/>
        <v>#N/A</v>
      </c>
      <c r="D1246" s="526" t="e">
        <v>#N/A</v>
      </c>
      <c r="E1246" s="526" t="e">
        <v>#N/A</v>
      </c>
      <c r="F1246" s="526" t="e">
        <v>#N/A</v>
      </c>
      <c r="G1246" s="526" t="e">
        <v>#N/A</v>
      </c>
      <c r="H1246" s="412" t="e">
        <v>#N/A</v>
      </c>
      <c r="I1246" s="411" t="e">
        <v>#N/A</v>
      </c>
      <c r="J1246" s="411" t="e">
        <v>#N/A</v>
      </c>
      <c r="K1246" s="411" t="e">
        <v>#N/A</v>
      </c>
      <c r="L1246" s="526" t="e">
        <v>#N/A</v>
      </c>
    </row>
    <row r="1247" spans="1:12" ht="15" x14ac:dyDescent="0.25">
      <c r="A1247">
        <v>393231</v>
      </c>
      <c r="B1247" t="e">
        <f t="shared" si="48"/>
        <v>#N/A</v>
      </c>
      <c r="C1247" s="198" t="e">
        <f t="shared" si="49"/>
        <v>#N/A</v>
      </c>
      <c r="D1247" s="526" t="e">
        <v>#N/A</v>
      </c>
      <c r="E1247" s="526" t="e">
        <v>#N/A</v>
      </c>
      <c r="F1247" s="526" t="e">
        <v>#N/A</v>
      </c>
      <c r="G1247" s="526" t="e">
        <v>#N/A</v>
      </c>
      <c r="H1247" s="412" t="e">
        <v>#N/A</v>
      </c>
      <c r="I1247" s="411" t="e">
        <v>#N/A</v>
      </c>
      <c r="J1247" s="411" t="e">
        <v>#N/A</v>
      </c>
      <c r="K1247" s="411" t="e">
        <v>#N/A</v>
      </c>
      <c r="L1247" s="526" t="e">
        <v>#N/A</v>
      </c>
    </row>
    <row r="1248" spans="1:12" ht="15" x14ac:dyDescent="0.25">
      <c r="A1248">
        <v>393232</v>
      </c>
      <c r="B1248" t="e">
        <f t="shared" si="48"/>
        <v>#N/A</v>
      </c>
      <c r="C1248" s="198" t="e">
        <f t="shared" si="49"/>
        <v>#N/A</v>
      </c>
      <c r="D1248" s="526" t="e">
        <v>#N/A</v>
      </c>
      <c r="E1248" s="526" t="e">
        <v>#N/A</v>
      </c>
      <c r="F1248" s="526" t="e">
        <v>#N/A</v>
      </c>
      <c r="G1248" s="526" t="e">
        <v>#N/A</v>
      </c>
      <c r="H1248" s="412" t="e">
        <v>#N/A</v>
      </c>
      <c r="I1248" s="411" t="e">
        <v>#N/A</v>
      </c>
      <c r="J1248" s="411" t="e">
        <v>#N/A</v>
      </c>
      <c r="K1248" s="411" t="e">
        <v>#N/A</v>
      </c>
      <c r="L1248" s="526" t="e">
        <v>#N/A</v>
      </c>
    </row>
    <row r="1249" spans="1:12" ht="15" x14ac:dyDescent="0.25">
      <c r="A1249">
        <v>393233</v>
      </c>
      <c r="B1249" t="e">
        <f t="shared" si="48"/>
        <v>#N/A</v>
      </c>
      <c r="C1249" s="198" t="e">
        <f t="shared" si="49"/>
        <v>#N/A</v>
      </c>
      <c r="D1249" s="526" t="e">
        <v>#N/A</v>
      </c>
      <c r="E1249" s="526" t="e">
        <v>#N/A</v>
      </c>
      <c r="F1249" s="526" t="e">
        <v>#N/A</v>
      </c>
      <c r="G1249" s="526" t="e">
        <v>#N/A</v>
      </c>
      <c r="H1249" s="412" t="e">
        <v>#N/A</v>
      </c>
      <c r="I1249" s="411" t="e">
        <v>#N/A</v>
      </c>
      <c r="J1249" s="411" t="e">
        <v>#N/A</v>
      </c>
      <c r="K1249" s="411" t="e">
        <v>#N/A</v>
      </c>
      <c r="L1249" s="526" t="e">
        <v>#N/A</v>
      </c>
    </row>
    <row r="1250" spans="1:12" ht="15" x14ac:dyDescent="0.25">
      <c r="A1250">
        <v>393234</v>
      </c>
      <c r="B1250" t="e">
        <f t="shared" si="48"/>
        <v>#N/A</v>
      </c>
      <c r="C1250" s="198" t="e">
        <f t="shared" si="49"/>
        <v>#N/A</v>
      </c>
      <c r="D1250" s="526" t="e">
        <v>#N/A</v>
      </c>
      <c r="E1250" s="526" t="e">
        <v>#N/A</v>
      </c>
      <c r="F1250" s="526" t="e">
        <v>#N/A</v>
      </c>
      <c r="G1250" s="526" t="e">
        <v>#N/A</v>
      </c>
      <c r="H1250" s="412" t="e">
        <v>#N/A</v>
      </c>
      <c r="I1250" s="411" t="e">
        <v>#N/A</v>
      </c>
      <c r="J1250" s="411" t="e">
        <v>#N/A</v>
      </c>
      <c r="K1250" s="411" t="e">
        <v>#N/A</v>
      </c>
      <c r="L1250" s="526" t="e">
        <v>#N/A</v>
      </c>
    </row>
    <row r="1251" spans="1:12" ht="15" x14ac:dyDescent="0.25">
      <c r="A1251">
        <v>393235</v>
      </c>
      <c r="B1251" t="e">
        <f t="shared" si="48"/>
        <v>#N/A</v>
      </c>
      <c r="C1251" s="198" t="e">
        <f t="shared" si="49"/>
        <v>#N/A</v>
      </c>
      <c r="D1251" s="526" t="e">
        <v>#N/A</v>
      </c>
      <c r="E1251" s="526" t="e">
        <v>#N/A</v>
      </c>
      <c r="F1251" s="526" t="e">
        <v>#N/A</v>
      </c>
      <c r="G1251" s="526" t="e">
        <v>#N/A</v>
      </c>
      <c r="H1251" s="412" t="e">
        <v>#N/A</v>
      </c>
      <c r="I1251" s="411" t="e">
        <v>#N/A</v>
      </c>
      <c r="J1251" s="411" t="e">
        <v>#N/A</v>
      </c>
      <c r="K1251" s="411" t="e">
        <v>#N/A</v>
      </c>
      <c r="L1251" s="526" t="e">
        <v>#N/A</v>
      </c>
    </row>
    <row r="1252" spans="1:12" ht="15" x14ac:dyDescent="0.25">
      <c r="A1252">
        <v>393273</v>
      </c>
      <c r="B1252" t="e">
        <f t="shared" si="48"/>
        <v>#N/A</v>
      </c>
      <c r="C1252" s="198" t="e">
        <f t="shared" si="49"/>
        <v>#N/A</v>
      </c>
      <c r="D1252" s="526" t="e">
        <v>#N/A</v>
      </c>
      <c r="E1252" s="526" t="e">
        <v>#N/A</v>
      </c>
      <c r="F1252" s="526" t="e">
        <v>#N/A</v>
      </c>
      <c r="G1252" s="526" t="e">
        <v>#N/A</v>
      </c>
      <c r="H1252" s="412" t="e">
        <v>#N/A</v>
      </c>
      <c r="I1252" s="411" t="e">
        <v>#N/A</v>
      </c>
      <c r="J1252" s="411" t="e">
        <v>#N/A</v>
      </c>
      <c r="K1252" s="411" t="e">
        <v>#N/A</v>
      </c>
      <c r="L1252" s="526" t="e">
        <v>#N/A</v>
      </c>
    </row>
    <row r="1253" spans="1:12" ht="15" x14ac:dyDescent="0.25">
      <c r="A1253">
        <v>393276</v>
      </c>
      <c r="B1253" t="e">
        <f t="shared" si="48"/>
        <v>#N/A</v>
      </c>
      <c r="C1253" s="198" t="e">
        <f t="shared" si="49"/>
        <v>#N/A</v>
      </c>
      <c r="D1253" s="526" t="e">
        <v>#N/A</v>
      </c>
      <c r="E1253" s="526" t="e">
        <v>#N/A</v>
      </c>
      <c r="F1253" s="526" t="e">
        <v>#N/A</v>
      </c>
      <c r="G1253" s="526" t="e">
        <v>#N/A</v>
      </c>
      <c r="H1253" s="412" t="e">
        <v>#N/A</v>
      </c>
      <c r="I1253" s="411" t="e">
        <v>#N/A</v>
      </c>
      <c r="J1253" s="411" t="e">
        <v>#N/A</v>
      </c>
      <c r="K1253" s="411" t="e">
        <v>#N/A</v>
      </c>
      <c r="L1253" s="526" t="e">
        <v>#N/A</v>
      </c>
    </row>
    <row r="1254" spans="1:12" ht="15" x14ac:dyDescent="0.25">
      <c r="A1254">
        <v>393278</v>
      </c>
      <c r="B1254" t="str">
        <f t="shared" si="48"/>
        <v>SEVROLL Maxim horné vedenie 1,8m oliva</v>
      </c>
      <c r="C1254" s="198">
        <f t="shared" si="49"/>
        <v>17.77251</v>
      </c>
      <c r="D1254" s="526" t="s">
        <v>1383</v>
      </c>
      <c r="E1254" s="526" t="s">
        <v>1835</v>
      </c>
      <c r="F1254" s="526" t="s">
        <v>2177</v>
      </c>
      <c r="G1254" s="526" t="s">
        <v>2400</v>
      </c>
      <c r="H1254" s="412">
        <v>469.70317</v>
      </c>
      <c r="I1254" s="411">
        <v>17.77251</v>
      </c>
      <c r="J1254" s="411">
        <v>61.087800000000001</v>
      </c>
      <c r="K1254" s="411">
        <v>6835.5823099999998</v>
      </c>
      <c r="L1254" s="526" t="s">
        <v>555</v>
      </c>
    </row>
    <row r="1255" spans="1:12" ht="15" x14ac:dyDescent="0.25">
      <c r="A1255">
        <v>393279</v>
      </c>
      <c r="B1255" t="str">
        <f t="shared" si="48"/>
        <v>SEVROLL Maxim spodná krycia lišta 1,8m 18mm oliva</v>
      </c>
      <c r="C1255" s="198">
        <f t="shared" si="49"/>
        <v>25.790659999999999</v>
      </c>
      <c r="D1255" s="526" t="s">
        <v>1384</v>
      </c>
      <c r="E1255" s="526" t="s">
        <v>1836</v>
      </c>
      <c r="F1255" s="526" t="s">
        <v>2184</v>
      </c>
      <c r="G1255" s="526" t="s">
        <v>2401</v>
      </c>
      <c r="H1255" s="412">
        <v>681.61188000000004</v>
      </c>
      <c r="I1255" s="411">
        <v>25.790659999999999</v>
      </c>
      <c r="J1255" s="411">
        <v>88.647800000000004</v>
      </c>
      <c r="K1255" s="411">
        <v>9919.48423</v>
      </c>
      <c r="L1255" s="526" t="s">
        <v>555</v>
      </c>
    </row>
    <row r="1256" spans="1:12" ht="15" x14ac:dyDescent="0.25">
      <c r="A1256">
        <v>393305</v>
      </c>
      <c r="B1256" t="e">
        <f t="shared" si="48"/>
        <v>#N/A</v>
      </c>
      <c r="C1256" s="198" t="e">
        <f t="shared" si="49"/>
        <v>#N/A</v>
      </c>
      <c r="D1256" s="526" t="e">
        <v>#N/A</v>
      </c>
      <c r="E1256" s="526" t="e">
        <v>#N/A</v>
      </c>
      <c r="F1256" s="526" t="e">
        <v>#N/A</v>
      </c>
      <c r="G1256" s="526" t="e">
        <v>#N/A</v>
      </c>
      <c r="H1256" s="412" t="e">
        <v>#N/A</v>
      </c>
      <c r="I1256" s="411" t="e">
        <v>#N/A</v>
      </c>
      <c r="J1256" s="411" t="e">
        <v>#N/A</v>
      </c>
      <c r="K1256" s="411" t="e">
        <v>#N/A</v>
      </c>
      <c r="L1256" s="526" t="e">
        <v>#N/A</v>
      </c>
    </row>
    <row r="1257" spans="1:12" ht="15" x14ac:dyDescent="0.25">
      <c r="A1257">
        <v>393306</v>
      </c>
      <c r="B1257" t="e">
        <f t="shared" si="48"/>
        <v>#N/A</v>
      </c>
      <c r="C1257" s="198" t="e">
        <f t="shared" si="49"/>
        <v>#N/A</v>
      </c>
      <c r="D1257" s="526" t="e">
        <v>#N/A</v>
      </c>
      <c r="E1257" s="526" t="e">
        <v>#N/A</v>
      </c>
      <c r="F1257" s="526" t="e">
        <v>#N/A</v>
      </c>
      <c r="G1257" s="526" t="e">
        <v>#N/A</v>
      </c>
      <c r="H1257" s="412" t="e">
        <v>#N/A</v>
      </c>
      <c r="I1257" s="411" t="e">
        <v>#N/A</v>
      </c>
      <c r="J1257" s="411" t="e">
        <v>#N/A</v>
      </c>
      <c r="K1257" s="411" t="e">
        <v>#N/A</v>
      </c>
      <c r="L1257" s="526" t="e">
        <v>#N/A</v>
      </c>
    </row>
    <row r="1258" spans="1:12" ht="15" x14ac:dyDescent="0.25">
      <c r="A1258">
        <v>393307</v>
      </c>
      <c r="B1258" t="e">
        <f t="shared" si="48"/>
        <v>#N/A</v>
      </c>
      <c r="C1258" s="198" t="e">
        <f t="shared" si="49"/>
        <v>#N/A</v>
      </c>
      <c r="D1258" s="526" t="e">
        <v>#N/A</v>
      </c>
      <c r="E1258" s="526" t="e">
        <v>#N/A</v>
      </c>
      <c r="F1258" s="526" t="e">
        <v>#N/A</v>
      </c>
      <c r="G1258" s="526" t="e">
        <v>#N/A</v>
      </c>
      <c r="H1258" s="412" t="e">
        <v>#N/A</v>
      </c>
      <c r="I1258" s="411" t="e">
        <v>#N/A</v>
      </c>
      <c r="J1258" s="411" t="e">
        <v>#N/A</v>
      </c>
      <c r="K1258" s="411" t="e">
        <v>#N/A</v>
      </c>
      <c r="L1258" s="526" t="e">
        <v>#N/A</v>
      </c>
    </row>
    <row r="1259" spans="1:12" ht="15" x14ac:dyDescent="0.25">
      <c r="A1259">
        <v>393308</v>
      </c>
      <c r="B1259" t="e">
        <f t="shared" si="48"/>
        <v>#N/A</v>
      </c>
      <c r="C1259" s="198" t="e">
        <f t="shared" si="49"/>
        <v>#N/A</v>
      </c>
      <c r="D1259" s="526" t="e">
        <v>#N/A</v>
      </c>
      <c r="E1259" s="526" t="e">
        <v>#N/A</v>
      </c>
      <c r="F1259" s="526" t="e">
        <v>#N/A</v>
      </c>
      <c r="G1259" s="526" t="e">
        <v>#N/A</v>
      </c>
      <c r="H1259" s="412" t="e">
        <v>#N/A</v>
      </c>
      <c r="I1259" s="411" t="e">
        <v>#N/A</v>
      </c>
      <c r="J1259" s="411" t="e">
        <v>#N/A</v>
      </c>
      <c r="K1259" s="411" t="e">
        <v>#N/A</v>
      </c>
      <c r="L1259" s="526" t="e">
        <v>#N/A</v>
      </c>
    </row>
    <row r="1260" spans="1:12" ht="15" x14ac:dyDescent="0.25">
      <c r="A1260">
        <v>416531</v>
      </c>
      <c r="B1260" t="e">
        <f t="shared" si="48"/>
        <v>#N/A</v>
      </c>
      <c r="C1260" s="198" t="e">
        <f t="shared" si="49"/>
        <v>#N/A</v>
      </c>
      <c r="D1260" s="526" t="e">
        <v>#N/A</v>
      </c>
      <c r="E1260" s="526" t="e">
        <v>#N/A</v>
      </c>
      <c r="F1260" s="526" t="e">
        <v>#N/A</v>
      </c>
      <c r="G1260" s="526" t="e">
        <v>#N/A</v>
      </c>
      <c r="H1260" s="412" t="e">
        <v>#N/A</v>
      </c>
      <c r="I1260" s="411" t="e">
        <v>#N/A</v>
      </c>
      <c r="J1260" s="411" t="e">
        <v>#N/A</v>
      </c>
      <c r="K1260" s="411" t="e">
        <v>#N/A</v>
      </c>
      <c r="L1260" s="526" t="e">
        <v>#N/A</v>
      </c>
    </row>
    <row r="1261" spans="1:12" ht="15" x14ac:dyDescent="0.25">
      <c r="A1261">
        <v>416695</v>
      </c>
      <c r="B1261" t="str">
        <f t="shared" si="48"/>
        <v>SEVROLL Harmony sada kovania pre dvoje dvere</v>
      </c>
      <c r="C1261" s="198" t="e">
        <f t="shared" si="49"/>
        <v>#N/A</v>
      </c>
      <c r="D1261" s="526" t="s">
        <v>1385</v>
      </c>
      <c r="E1261" s="526" t="s">
        <v>1837</v>
      </c>
      <c r="F1261" s="526" t="s">
        <v>2185</v>
      </c>
      <c r="G1261" s="526" t="s">
        <v>2402</v>
      </c>
      <c r="H1261" s="412" t="e">
        <v>#N/A</v>
      </c>
      <c r="I1261" s="411" t="e">
        <v>#N/A</v>
      </c>
      <c r="J1261" s="411" t="e">
        <v>#N/A</v>
      </c>
      <c r="K1261" s="411" t="e">
        <v>#N/A</v>
      </c>
      <c r="L1261" s="526" t="e">
        <v>#N/A</v>
      </c>
    </row>
    <row r="1262" spans="1:12" ht="15" x14ac:dyDescent="0.25">
      <c r="A1262">
        <v>464138</v>
      </c>
      <c r="B1262" t="str">
        <f t="shared" si="48"/>
        <v>SEVROLL 05527 úhelník Mini 17x11mm 4,05m strieborný</v>
      </c>
      <c r="C1262" s="198">
        <f t="shared" si="49"/>
        <v>0</v>
      </c>
      <c r="D1262" s="526" t="s">
        <v>5857</v>
      </c>
      <c r="E1262" s="526" t="s">
        <v>5858</v>
      </c>
      <c r="F1262" s="526" t="s">
        <v>5859</v>
      </c>
      <c r="G1262" s="526" t="s">
        <v>5860</v>
      </c>
      <c r="H1262" s="412">
        <v>0</v>
      </c>
      <c r="I1262" s="411">
        <v>0</v>
      </c>
      <c r="J1262" s="411">
        <v>30.166260000000001</v>
      </c>
      <c r="K1262" s="411">
        <v>0</v>
      </c>
      <c r="L1262" s="526" t="s">
        <v>555</v>
      </c>
    </row>
    <row r="1263" spans="1:12" ht="15" x14ac:dyDescent="0.25">
      <c r="A1263">
        <v>464295</v>
      </c>
      <c r="B1263" t="str">
        <f t="shared" si="48"/>
        <v/>
      </c>
      <c r="C1263" s="198">
        <f t="shared" si="49"/>
        <v>0</v>
      </c>
      <c r="D1263" s="526" t="s">
        <v>1386</v>
      </c>
      <c r="E1263" s="526" t="s">
        <v>71</v>
      </c>
      <c r="F1263" s="526" t="s">
        <v>71</v>
      </c>
      <c r="G1263" s="526" t="s">
        <v>71</v>
      </c>
      <c r="H1263" s="412" t="e">
        <v>#N/A</v>
      </c>
      <c r="I1263" s="411">
        <v>0</v>
      </c>
      <c r="J1263" s="411">
        <v>0</v>
      </c>
      <c r="K1263" s="411">
        <v>0</v>
      </c>
      <c r="L1263" s="526" t="e">
        <v>#N/A</v>
      </c>
    </row>
    <row r="1264" spans="1:12" ht="15" x14ac:dyDescent="0.25">
      <c r="A1264">
        <v>464296</v>
      </c>
      <c r="B1264" t="str">
        <f t="shared" si="48"/>
        <v/>
      </c>
      <c r="C1264" s="198">
        <f t="shared" si="49"/>
        <v>2.5000000000000001E-4</v>
      </c>
      <c r="D1264" s="526" t="s">
        <v>1387</v>
      </c>
      <c r="E1264" s="526" t="s">
        <v>71</v>
      </c>
      <c r="F1264" s="526" t="s">
        <v>71</v>
      </c>
      <c r="G1264" s="526" t="s">
        <v>71</v>
      </c>
      <c r="H1264" s="412">
        <v>7.1199999999999996E-3</v>
      </c>
      <c r="I1264" s="411">
        <v>2.5000000000000001E-4</v>
      </c>
      <c r="J1264" s="411">
        <v>634.39481999999998</v>
      </c>
      <c r="K1264" s="411">
        <v>9.9879999999999997E-2</v>
      </c>
      <c r="L1264" s="526" t="s">
        <v>556</v>
      </c>
    </row>
    <row r="1265" spans="1:12" ht="15" x14ac:dyDescent="0.25">
      <c r="A1265">
        <v>391700</v>
      </c>
      <c r="B1265" t="str">
        <f t="shared" si="48"/>
        <v>SEVROLL 10224 Micra V sada kovanie pre 1 krídlo</v>
      </c>
      <c r="C1265" s="198">
        <f t="shared" si="49"/>
        <v>6.2998099999999999</v>
      </c>
      <c r="D1265" s="526" t="s">
        <v>1388</v>
      </c>
      <c r="E1265" s="526" t="s">
        <v>1838</v>
      </c>
      <c r="F1265" s="526" t="s">
        <v>5861</v>
      </c>
      <c r="G1265" s="526" t="s">
        <v>5862</v>
      </c>
      <c r="H1265" s="412">
        <v>174.32823999999999</v>
      </c>
      <c r="I1265" s="411">
        <v>6.2998099999999999</v>
      </c>
      <c r="J1265" s="411">
        <v>25.214400000000001</v>
      </c>
      <c r="K1265" s="411">
        <v>2398.17346</v>
      </c>
      <c r="L1265" s="526" t="s">
        <v>553</v>
      </c>
    </row>
    <row r="1266" spans="1:12" ht="15" x14ac:dyDescent="0.25">
      <c r="A1266">
        <v>391738</v>
      </c>
      <c r="B1266" t="e">
        <f t="shared" si="48"/>
        <v>#N/A</v>
      </c>
      <c r="C1266" s="198" t="e">
        <f t="shared" si="49"/>
        <v>#N/A</v>
      </c>
      <c r="D1266" s="526" t="e">
        <v>#N/A</v>
      </c>
      <c r="E1266" s="526" t="e">
        <v>#N/A</v>
      </c>
      <c r="F1266" s="526" t="e">
        <v>#N/A</v>
      </c>
      <c r="G1266" s="526" t="e">
        <v>#N/A</v>
      </c>
      <c r="H1266" s="412" t="e">
        <v>#N/A</v>
      </c>
      <c r="I1266" s="411" t="e">
        <v>#N/A</v>
      </c>
      <c r="J1266" s="411" t="e">
        <v>#N/A</v>
      </c>
      <c r="K1266" s="411" t="e">
        <v>#N/A</v>
      </c>
      <c r="L1266" s="526" t="e">
        <v>#N/A</v>
      </c>
    </row>
    <row r="1267" spans="1:12" ht="15" x14ac:dyDescent="0.25">
      <c r="A1267">
        <v>391739</v>
      </c>
      <c r="B1267" t="e">
        <f t="shared" si="48"/>
        <v>#N/A</v>
      </c>
      <c r="C1267" s="198" t="e">
        <f t="shared" si="49"/>
        <v>#N/A</v>
      </c>
      <c r="D1267" s="526" t="e">
        <v>#N/A</v>
      </c>
      <c r="E1267" s="526" t="e">
        <v>#N/A</v>
      </c>
      <c r="F1267" s="526" t="e">
        <v>#N/A</v>
      </c>
      <c r="G1267" s="526" t="e">
        <v>#N/A</v>
      </c>
      <c r="H1267" s="412" t="e">
        <v>#N/A</v>
      </c>
      <c r="I1267" s="411" t="e">
        <v>#N/A</v>
      </c>
      <c r="J1267" s="411" t="e">
        <v>#N/A</v>
      </c>
      <c r="K1267" s="411" t="e">
        <v>#N/A</v>
      </c>
      <c r="L1267" s="526" t="e">
        <v>#N/A</v>
      </c>
    </row>
    <row r="1268" spans="1:12" ht="15" x14ac:dyDescent="0.25">
      <c r="A1268">
        <v>391740</v>
      </c>
      <c r="B1268" t="e">
        <f t="shared" si="48"/>
        <v>#N/A</v>
      </c>
      <c r="C1268" s="198" t="e">
        <f t="shared" si="49"/>
        <v>#N/A</v>
      </c>
      <c r="D1268" s="526" t="e">
        <v>#N/A</v>
      </c>
      <c r="E1268" s="526" t="e">
        <v>#N/A</v>
      </c>
      <c r="F1268" s="526" t="e">
        <v>#N/A</v>
      </c>
      <c r="G1268" s="526" t="e">
        <v>#N/A</v>
      </c>
      <c r="H1268" s="412" t="e">
        <v>#N/A</v>
      </c>
      <c r="I1268" s="411" t="e">
        <v>#N/A</v>
      </c>
      <c r="J1268" s="411" t="e">
        <v>#N/A</v>
      </c>
      <c r="K1268" s="411" t="e">
        <v>#N/A</v>
      </c>
      <c r="L1268" s="526" t="e">
        <v>#N/A</v>
      </c>
    </row>
    <row r="1269" spans="1:12" ht="15" x14ac:dyDescent="0.25">
      <c r="A1269">
        <v>391741</v>
      </c>
      <c r="B1269" t="e">
        <f t="shared" si="48"/>
        <v>#N/A</v>
      </c>
      <c r="C1269" s="198" t="e">
        <f t="shared" si="49"/>
        <v>#N/A</v>
      </c>
      <c r="D1269" s="526" t="e">
        <v>#N/A</v>
      </c>
      <c r="E1269" s="526" t="e">
        <v>#N/A</v>
      </c>
      <c r="F1269" s="526" t="e">
        <v>#N/A</v>
      </c>
      <c r="G1269" s="526" t="e">
        <v>#N/A</v>
      </c>
      <c r="H1269" s="412" t="e">
        <v>#N/A</v>
      </c>
      <c r="I1269" s="411" t="e">
        <v>#N/A</v>
      </c>
      <c r="J1269" s="411" t="e">
        <v>#N/A</v>
      </c>
      <c r="K1269" s="411" t="e">
        <v>#N/A</v>
      </c>
      <c r="L1269" s="526" t="e">
        <v>#N/A</v>
      </c>
    </row>
    <row r="1270" spans="1:12" ht="15" x14ac:dyDescent="0.25">
      <c r="A1270">
        <v>392153</v>
      </c>
      <c r="B1270" t="e">
        <f t="shared" si="48"/>
        <v>#N/A</v>
      </c>
      <c r="C1270" s="198" t="e">
        <f t="shared" si="49"/>
        <v>#N/A</v>
      </c>
      <c r="D1270" s="526" t="e">
        <v>#N/A</v>
      </c>
      <c r="E1270" s="526" t="e">
        <v>#N/A</v>
      </c>
      <c r="F1270" s="526" t="e">
        <v>#N/A</v>
      </c>
      <c r="G1270" s="526" t="e">
        <v>#N/A</v>
      </c>
      <c r="H1270" s="412" t="e">
        <v>#N/A</v>
      </c>
      <c r="I1270" s="411" t="e">
        <v>#N/A</v>
      </c>
      <c r="J1270" s="411" t="e">
        <v>#N/A</v>
      </c>
      <c r="K1270" s="411" t="e">
        <v>#N/A</v>
      </c>
      <c r="L1270" s="526" t="e">
        <v>#N/A</v>
      </c>
    </row>
    <row r="1271" spans="1:12" ht="15" x14ac:dyDescent="0.25">
      <c r="A1271">
        <v>392154</v>
      </c>
      <c r="B1271" t="e">
        <f t="shared" si="48"/>
        <v>#N/A</v>
      </c>
      <c r="C1271" s="198" t="e">
        <f t="shared" si="49"/>
        <v>#N/A</v>
      </c>
      <c r="D1271" s="526" t="e">
        <v>#N/A</v>
      </c>
      <c r="E1271" s="526" t="e">
        <v>#N/A</v>
      </c>
      <c r="F1271" s="526" t="e">
        <v>#N/A</v>
      </c>
      <c r="G1271" s="526" t="e">
        <v>#N/A</v>
      </c>
      <c r="H1271" s="412" t="e">
        <v>#N/A</v>
      </c>
      <c r="I1271" s="411" t="e">
        <v>#N/A</v>
      </c>
      <c r="J1271" s="411" t="e">
        <v>#N/A</v>
      </c>
      <c r="K1271" s="411" t="e">
        <v>#N/A</v>
      </c>
      <c r="L1271" s="526" t="e">
        <v>#N/A</v>
      </c>
    </row>
    <row r="1272" spans="1:12" ht="15" x14ac:dyDescent="0.25">
      <c r="A1272">
        <v>392155</v>
      </c>
      <c r="B1272" t="e">
        <f t="shared" si="48"/>
        <v>#N/A</v>
      </c>
      <c r="C1272" s="198" t="e">
        <f t="shared" si="49"/>
        <v>#N/A</v>
      </c>
      <c r="D1272" s="526" t="e">
        <v>#N/A</v>
      </c>
      <c r="E1272" s="526" t="e">
        <v>#N/A</v>
      </c>
      <c r="F1272" s="526" t="e">
        <v>#N/A</v>
      </c>
      <c r="G1272" s="526" t="e">
        <v>#N/A</v>
      </c>
      <c r="H1272" s="412" t="e">
        <v>#N/A</v>
      </c>
      <c r="I1272" s="411" t="e">
        <v>#N/A</v>
      </c>
      <c r="J1272" s="411" t="e">
        <v>#N/A</v>
      </c>
      <c r="K1272" s="411" t="e">
        <v>#N/A</v>
      </c>
      <c r="L1272" s="526" t="e">
        <v>#N/A</v>
      </c>
    </row>
    <row r="1273" spans="1:12" ht="15" x14ac:dyDescent="0.25">
      <c r="A1273">
        <v>392156</v>
      </c>
      <c r="B1273" t="e">
        <f t="shared" si="48"/>
        <v>#N/A</v>
      </c>
      <c r="C1273" s="198" t="e">
        <f t="shared" si="49"/>
        <v>#N/A</v>
      </c>
      <c r="D1273" s="526" t="e">
        <v>#N/A</v>
      </c>
      <c r="E1273" s="526" t="e">
        <v>#N/A</v>
      </c>
      <c r="F1273" s="526" t="e">
        <v>#N/A</v>
      </c>
      <c r="G1273" s="526" t="e">
        <v>#N/A</v>
      </c>
      <c r="H1273" s="412" t="e">
        <v>#N/A</v>
      </c>
      <c r="I1273" s="411" t="e">
        <v>#N/A</v>
      </c>
      <c r="J1273" s="411" t="e">
        <v>#N/A</v>
      </c>
      <c r="K1273" s="411" t="e">
        <v>#N/A</v>
      </c>
      <c r="L1273" s="526" t="e">
        <v>#N/A</v>
      </c>
    </row>
    <row r="1274" spans="1:12" ht="15" x14ac:dyDescent="0.25">
      <c r="A1274">
        <v>392157</v>
      </c>
      <c r="B1274" t="e">
        <f t="shared" si="48"/>
        <v>#N/A</v>
      </c>
      <c r="C1274" s="198" t="e">
        <f t="shared" si="49"/>
        <v>#N/A</v>
      </c>
      <c r="D1274" s="526" t="e">
        <v>#N/A</v>
      </c>
      <c r="E1274" s="526" t="e">
        <v>#N/A</v>
      </c>
      <c r="F1274" s="526" t="e">
        <v>#N/A</v>
      </c>
      <c r="G1274" s="526" t="e">
        <v>#N/A</v>
      </c>
      <c r="H1274" s="412" t="e">
        <v>#N/A</v>
      </c>
      <c r="I1274" s="411" t="e">
        <v>#N/A</v>
      </c>
      <c r="J1274" s="411" t="e">
        <v>#N/A</v>
      </c>
      <c r="K1274" s="411" t="e">
        <v>#N/A</v>
      </c>
      <c r="L1274" s="526" t="e">
        <v>#N/A</v>
      </c>
    </row>
    <row r="1275" spans="1:12" ht="15" x14ac:dyDescent="0.25">
      <c r="A1275">
        <v>392649</v>
      </c>
      <c r="B1275" t="e">
        <f t="shared" si="48"/>
        <v>#N/A</v>
      </c>
      <c r="C1275" s="198" t="e">
        <f t="shared" si="49"/>
        <v>#N/A</v>
      </c>
      <c r="D1275" s="526" t="e">
        <v>#N/A</v>
      </c>
      <c r="E1275" s="526" t="e">
        <v>#N/A</v>
      </c>
      <c r="F1275" s="526" t="e">
        <v>#N/A</v>
      </c>
      <c r="G1275" s="526" t="e">
        <v>#N/A</v>
      </c>
      <c r="H1275" s="412" t="e">
        <v>#N/A</v>
      </c>
      <c r="I1275" s="411" t="e">
        <v>#N/A</v>
      </c>
      <c r="J1275" s="411" t="e">
        <v>#N/A</v>
      </c>
      <c r="K1275" s="411" t="e">
        <v>#N/A</v>
      </c>
      <c r="L1275" s="526" t="e">
        <v>#N/A</v>
      </c>
    </row>
    <row r="1276" spans="1:12" ht="15" x14ac:dyDescent="0.25">
      <c r="A1276">
        <v>392650</v>
      </c>
      <c r="B1276" t="e">
        <f t="shared" si="48"/>
        <v>#N/A</v>
      </c>
      <c r="C1276" s="198" t="e">
        <f t="shared" si="49"/>
        <v>#N/A</v>
      </c>
      <c r="D1276" s="526" t="e">
        <v>#N/A</v>
      </c>
      <c r="E1276" s="526" t="e">
        <v>#N/A</v>
      </c>
      <c r="F1276" s="526" t="e">
        <v>#N/A</v>
      </c>
      <c r="G1276" s="526" t="e">
        <v>#N/A</v>
      </c>
      <c r="H1276" s="412" t="e">
        <v>#N/A</v>
      </c>
      <c r="I1276" s="411" t="e">
        <v>#N/A</v>
      </c>
      <c r="J1276" s="411" t="e">
        <v>#N/A</v>
      </c>
      <c r="K1276" s="411" t="e">
        <v>#N/A</v>
      </c>
      <c r="L1276" s="526" t="e">
        <v>#N/A</v>
      </c>
    </row>
    <row r="1277" spans="1:12" ht="15" x14ac:dyDescent="0.25">
      <c r="A1277">
        <v>393162</v>
      </c>
      <c r="B1277" t="e">
        <f t="shared" si="48"/>
        <v>#N/A</v>
      </c>
      <c r="C1277" s="198" t="e">
        <f t="shared" si="49"/>
        <v>#N/A</v>
      </c>
      <c r="D1277" s="526" t="e">
        <v>#N/A</v>
      </c>
      <c r="E1277" s="526" t="e">
        <v>#N/A</v>
      </c>
      <c r="F1277" s="526" t="e">
        <v>#N/A</v>
      </c>
      <c r="G1277" s="526" t="e">
        <v>#N/A</v>
      </c>
      <c r="H1277" s="412" t="e">
        <v>#N/A</v>
      </c>
      <c r="I1277" s="411" t="e">
        <v>#N/A</v>
      </c>
      <c r="J1277" s="411" t="e">
        <v>#N/A</v>
      </c>
      <c r="K1277" s="411" t="e">
        <v>#N/A</v>
      </c>
      <c r="L1277" s="526" t="e">
        <v>#N/A</v>
      </c>
    </row>
    <row r="1278" spans="1:12" ht="15" x14ac:dyDescent="0.25">
      <c r="A1278">
        <v>320750</v>
      </c>
      <c r="B1278" t="e">
        <f t="shared" si="48"/>
        <v>#N/A</v>
      </c>
      <c r="C1278" s="198" t="e">
        <f t="shared" si="49"/>
        <v>#N/A</v>
      </c>
      <c r="D1278" s="526" t="e">
        <v>#N/A</v>
      </c>
      <c r="E1278" s="526" t="e">
        <v>#N/A</v>
      </c>
      <c r="F1278" s="526" t="e">
        <v>#N/A</v>
      </c>
      <c r="G1278" s="526" t="e">
        <v>#N/A</v>
      </c>
      <c r="H1278" s="412" t="e">
        <v>#N/A</v>
      </c>
      <c r="I1278" s="411" t="e">
        <v>#N/A</v>
      </c>
      <c r="J1278" s="411" t="e">
        <v>#N/A</v>
      </c>
      <c r="K1278" s="411" t="e">
        <v>#N/A</v>
      </c>
      <c r="L1278" s="526" t="e">
        <v>#N/A</v>
      </c>
    </row>
    <row r="1279" spans="1:12" ht="15" x14ac:dyDescent="0.25">
      <c r="A1279">
        <v>320753</v>
      </c>
      <c r="B1279" t="e">
        <f t="shared" si="48"/>
        <v>#N/A</v>
      </c>
      <c r="C1279" s="198" t="e">
        <f t="shared" si="49"/>
        <v>#N/A</v>
      </c>
      <c r="D1279" s="526" t="e">
        <v>#N/A</v>
      </c>
      <c r="E1279" s="526" t="e">
        <v>#N/A</v>
      </c>
      <c r="F1279" s="526" t="e">
        <v>#N/A</v>
      </c>
      <c r="G1279" s="526" t="e">
        <v>#N/A</v>
      </c>
      <c r="H1279" s="412" t="e">
        <v>#N/A</v>
      </c>
      <c r="I1279" s="411" t="e">
        <v>#N/A</v>
      </c>
      <c r="J1279" s="411" t="e">
        <v>#N/A</v>
      </c>
      <c r="K1279" s="411" t="e">
        <v>#N/A</v>
      </c>
      <c r="L1279" s="526" t="e">
        <v>#N/A</v>
      </c>
    </row>
    <row r="1280" spans="1:12" ht="15" x14ac:dyDescent="0.25">
      <c r="A1280">
        <v>415648</v>
      </c>
      <c r="B1280" t="e">
        <f t="shared" si="48"/>
        <v>#N/A</v>
      </c>
      <c r="C1280" s="198" t="e">
        <f t="shared" si="49"/>
        <v>#N/A</v>
      </c>
      <c r="D1280" s="526" t="e">
        <v>#N/A</v>
      </c>
      <c r="E1280" s="526" t="e">
        <v>#N/A</v>
      </c>
      <c r="F1280" s="526" t="e">
        <v>#N/A</v>
      </c>
      <c r="G1280" s="526" t="e">
        <v>#N/A</v>
      </c>
      <c r="H1280" s="412" t="e">
        <v>#N/A</v>
      </c>
      <c r="I1280" s="411" t="e">
        <v>#N/A</v>
      </c>
      <c r="J1280" s="411" t="e">
        <v>#N/A</v>
      </c>
      <c r="K1280" s="411" t="e">
        <v>#N/A</v>
      </c>
      <c r="L1280" s="526" t="e">
        <v>#N/A</v>
      </c>
    </row>
    <row r="1281" spans="1:12" ht="15" x14ac:dyDescent="0.25">
      <c r="A1281">
        <v>415751</v>
      </c>
      <c r="B1281" t="e">
        <f t="shared" si="48"/>
        <v>#N/A</v>
      </c>
      <c r="C1281" s="198" t="e">
        <f t="shared" si="49"/>
        <v>#N/A</v>
      </c>
      <c r="D1281" s="526" t="e">
        <v>#N/A</v>
      </c>
      <c r="E1281" s="526" t="e">
        <v>#N/A</v>
      </c>
      <c r="F1281" s="526" t="e">
        <v>#N/A</v>
      </c>
      <c r="G1281" s="526" t="e">
        <v>#N/A</v>
      </c>
      <c r="H1281" s="412" t="e">
        <v>#N/A</v>
      </c>
      <c r="I1281" s="411" t="e">
        <v>#N/A</v>
      </c>
      <c r="J1281" s="411" t="e">
        <v>#N/A</v>
      </c>
      <c r="K1281" s="411" t="e">
        <v>#N/A</v>
      </c>
      <c r="L1281" s="526" t="e">
        <v>#N/A</v>
      </c>
    </row>
    <row r="1282" spans="1:12" ht="15" x14ac:dyDescent="0.25">
      <c r="A1282">
        <v>415752</v>
      </c>
      <c r="B1282" t="e">
        <f t="shared" si="48"/>
        <v>#N/A</v>
      </c>
      <c r="C1282" s="198" t="e">
        <f t="shared" si="49"/>
        <v>#N/A</v>
      </c>
      <c r="D1282" s="526" t="e">
        <v>#N/A</v>
      </c>
      <c r="E1282" s="526" t="e">
        <v>#N/A</v>
      </c>
      <c r="F1282" s="526" t="e">
        <v>#N/A</v>
      </c>
      <c r="G1282" s="526" t="e">
        <v>#N/A</v>
      </c>
      <c r="H1282" s="412" t="e">
        <v>#N/A</v>
      </c>
      <c r="I1282" s="411" t="e">
        <v>#N/A</v>
      </c>
      <c r="J1282" s="411" t="e">
        <v>#N/A</v>
      </c>
      <c r="K1282" s="411" t="e">
        <v>#N/A</v>
      </c>
      <c r="L1282" s="526" t="e">
        <v>#N/A</v>
      </c>
    </row>
    <row r="1283" spans="1:12" ht="15" x14ac:dyDescent="0.25">
      <c r="A1283">
        <v>416530</v>
      </c>
      <c r="B1283" t="e">
        <f t="shared" si="48"/>
        <v>#N/A</v>
      </c>
      <c r="C1283" s="198" t="e">
        <f t="shared" si="49"/>
        <v>#N/A</v>
      </c>
      <c r="D1283" s="526" t="e">
        <v>#N/A</v>
      </c>
      <c r="E1283" s="526" t="e">
        <v>#N/A</v>
      </c>
      <c r="F1283" s="526" t="e">
        <v>#N/A</v>
      </c>
      <c r="G1283" s="526" t="e">
        <v>#N/A</v>
      </c>
      <c r="H1283" s="412" t="e">
        <v>#N/A</v>
      </c>
      <c r="I1283" s="411" t="e">
        <v>#N/A</v>
      </c>
      <c r="J1283" s="411" t="e">
        <v>#N/A</v>
      </c>
      <c r="K1283" s="411" t="e">
        <v>#N/A</v>
      </c>
      <c r="L1283" s="526" t="e">
        <v>#N/A</v>
      </c>
    </row>
    <row r="1284" spans="1:12" ht="15" x14ac:dyDescent="0.25">
      <c r="A1284">
        <v>144095</v>
      </c>
      <c r="B1284" t="e">
        <f t="shared" si="48"/>
        <v>#N/A</v>
      </c>
      <c r="C1284" s="198" t="e">
        <f t="shared" si="49"/>
        <v>#N/A</v>
      </c>
      <c r="D1284" s="526" t="e">
        <v>#N/A</v>
      </c>
      <c r="E1284" s="526" t="e">
        <v>#N/A</v>
      </c>
      <c r="F1284" s="526" t="e">
        <v>#N/A</v>
      </c>
      <c r="G1284" s="526" t="e">
        <v>#N/A</v>
      </c>
      <c r="H1284" s="412" t="e">
        <v>#N/A</v>
      </c>
      <c r="I1284" s="411" t="e">
        <v>#N/A</v>
      </c>
      <c r="J1284" s="411" t="e">
        <v>#N/A</v>
      </c>
      <c r="K1284" s="411" t="e">
        <v>#N/A</v>
      </c>
      <c r="L1284" s="526" t="e">
        <v>#N/A</v>
      </c>
    </row>
    <row r="1285" spans="1:12" ht="15" x14ac:dyDescent="0.25">
      <c r="A1285">
        <v>144096</v>
      </c>
      <c r="B1285" t="e">
        <f t="shared" si="48"/>
        <v>#N/A</v>
      </c>
      <c r="C1285" s="198" t="e">
        <f t="shared" si="49"/>
        <v>#N/A</v>
      </c>
      <c r="D1285" s="526" t="e">
        <v>#N/A</v>
      </c>
      <c r="E1285" s="526" t="e">
        <v>#N/A</v>
      </c>
      <c r="F1285" s="526" t="e">
        <v>#N/A</v>
      </c>
      <c r="G1285" s="526" t="e">
        <v>#N/A</v>
      </c>
      <c r="H1285" s="412" t="e">
        <v>#N/A</v>
      </c>
      <c r="I1285" s="411" t="e">
        <v>#N/A</v>
      </c>
      <c r="J1285" s="411" t="e">
        <v>#N/A</v>
      </c>
      <c r="K1285" s="411" t="e">
        <v>#N/A</v>
      </c>
      <c r="L1285" s="526" t="e">
        <v>#N/A</v>
      </c>
    </row>
    <row r="1286" spans="1:12" ht="15" x14ac:dyDescent="0.25">
      <c r="A1286">
        <v>352014</v>
      </c>
      <c r="B1286" t="e">
        <f t="shared" si="48"/>
        <v>#N/A</v>
      </c>
      <c r="C1286" s="198" t="e">
        <f t="shared" si="49"/>
        <v>#N/A</v>
      </c>
      <c r="D1286" s="526" t="e">
        <v>#N/A</v>
      </c>
      <c r="E1286" s="526" t="e">
        <v>#N/A</v>
      </c>
      <c r="F1286" s="526" t="e">
        <v>#N/A</v>
      </c>
      <c r="G1286" s="526" t="e">
        <v>#N/A</v>
      </c>
      <c r="H1286" s="412" t="e">
        <v>#N/A</v>
      </c>
      <c r="I1286" s="411" t="e">
        <v>#N/A</v>
      </c>
      <c r="J1286" s="411" t="e">
        <v>#N/A</v>
      </c>
      <c r="K1286" s="411" t="e">
        <v>#N/A</v>
      </c>
      <c r="L1286" s="526" t="e">
        <v>#N/A</v>
      </c>
    </row>
    <row r="1287" spans="1:12" ht="15" x14ac:dyDescent="0.25">
      <c r="A1287">
        <v>352015</v>
      </c>
      <c r="B1287" t="e">
        <f t="shared" si="48"/>
        <v>#N/A</v>
      </c>
      <c r="C1287" s="198" t="e">
        <f t="shared" si="49"/>
        <v>#N/A</v>
      </c>
      <c r="D1287" s="526" t="e">
        <v>#N/A</v>
      </c>
      <c r="E1287" s="526" t="e">
        <v>#N/A</v>
      </c>
      <c r="F1287" s="526" t="e">
        <v>#N/A</v>
      </c>
      <c r="G1287" s="526" t="e">
        <v>#N/A</v>
      </c>
      <c r="H1287" s="412" t="e">
        <v>#N/A</v>
      </c>
      <c r="I1287" s="411" t="e">
        <v>#N/A</v>
      </c>
      <c r="J1287" s="411" t="e">
        <v>#N/A</v>
      </c>
      <c r="K1287" s="411" t="e">
        <v>#N/A</v>
      </c>
      <c r="L1287" s="526" t="e">
        <v>#N/A</v>
      </c>
    </row>
    <row r="1288" spans="1:12" ht="15" x14ac:dyDescent="0.25">
      <c r="A1288">
        <v>352016</v>
      </c>
      <c r="B1288" t="e">
        <f t="shared" si="48"/>
        <v>#N/A</v>
      </c>
      <c r="C1288" s="198" t="e">
        <f t="shared" si="49"/>
        <v>#N/A</v>
      </c>
      <c r="D1288" s="526" t="e">
        <v>#N/A</v>
      </c>
      <c r="E1288" s="526" t="e">
        <v>#N/A</v>
      </c>
      <c r="F1288" s="526" t="e">
        <v>#N/A</v>
      </c>
      <c r="G1288" s="526" t="e">
        <v>#N/A</v>
      </c>
      <c r="H1288" s="412" t="e">
        <v>#N/A</v>
      </c>
      <c r="I1288" s="411" t="e">
        <v>#N/A</v>
      </c>
      <c r="J1288" s="411" t="e">
        <v>#N/A</v>
      </c>
      <c r="K1288" s="411" t="e">
        <v>#N/A</v>
      </c>
      <c r="L1288" s="526" t="e">
        <v>#N/A</v>
      </c>
    </row>
    <row r="1289" spans="1:12" ht="15" x14ac:dyDescent="0.25">
      <c r="A1289">
        <v>352017</v>
      </c>
      <c r="B1289" t="e">
        <f t="shared" si="48"/>
        <v>#N/A</v>
      </c>
      <c r="C1289" s="198" t="e">
        <f t="shared" si="49"/>
        <v>#N/A</v>
      </c>
      <c r="D1289" s="526" t="e">
        <v>#N/A</v>
      </c>
      <c r="E1289" s="526" t="e">
        <v>#N/A</v>
      </c>
      <c r="F1289" s="526" t="e">
        <v>#N/A</v>
      </c>
      <c r="G1289" s="526" t="e">
        <v>#N/A</v>
      </c>
      <c r="H1289" s="412" t="e">
        <v>#N/A</v>
      </c>
      <c r="I1289" s="411" t="e">
        <v>#N/A</v>
      </c>
      <c r="J1289" s="411" t="e">
        <v>#N/A</v>
      </c>
      <c r="K1289" s="411" t="e">
        <v>#N/A</v>
      </c>
      <c r="L1289" s="526" t="e">
        <v>#N/A</v>
      </c>
    </row>
    <row r="1290" spans="1:12" ht="15" x14ac:dyDescent="0.25">
      <c r="A1290">
        <v>352018</v>
      </c>
      <c r="B1290" t="e">
        <f t="shared" si="48"/>
        <v>#N/A</v>
      </c>
      <c r="C1290" s="198" t="e">
        <f t="shared" si="49"/>
        <v>#N/A</v>
      </c>
      <c r="D1290" s="526" t="e">
        <v>#N/A</v>
      </c>
      <c r="E1290" s="526" t="e">
        <v>#N/A</v>
      </c>
      <c r="F1290" s="526" t="e">
        <v>#N/A</v>
      </c>
      <c r="G1290" s="526" t="e">
        <v>#N/A</v>
      </c>
      <c r="H1290" s="412" t="e">
        <v>#N/A</v>
      </c>
      <c r="I1290" s="411" t="e">
        <v>#N/A</v>
      </c>
      <c r="J1290" s="411" t="e">
        <v>#N/A</v>
      </c>
      <c r="K1290" s="411" t="e">
        <v>#N/A</v>
      </c>
      <c r="L1290" s="526" t="e">
        <v>#N/A</v>
      </c>
    </row>
    <row r="1291" spans="1:12" ht="15" x14ac:dyDescent="0.25">
      <c r="A1291">
        <v>352019</v>
      </c>
      <c r="B1291" t="e">
        <f t="shared" si="48"/>
        <v>#N/A</v>
      </c>
      <c r="C1291" s="198" t="e">
        <f t="shared" si="49"/>
        <v>#N/A</v>
      </c>
      <c r="D1291" s="526" t="e">
        <v>#N/A</v>
      </c>
      <c r="E1291" s="526" t="e">
        <v>#N/A</v>
      </c>
      <c r="F1291" s="526" t="e">
        <v>#N/A</v>
      </c>
      <c r="G1291" s="526" t="e">
        <v>#N/A</v>
      </c>
      <c r="H1291" s="412" t="e">
        <v>#N/A</v>
      </c>
      <c r="I1291" s="411" t="e">
        <v>#N/A</v>
      </c>
      <c r="J1291" s="411" t="e">
        <v>#N/A</v>
      </c>
      <c r="K1291" s="411" t="e">
        <v>#N/A</v>
      </c>
      <c r="L1291" s="526" t="e">
        <v>#N/A</v>
      </c>
    </row>
    <row r="1292" spans="1:12" ht="15" x14ac:dyDescent="0.25">
      <c r="A1292">
        <v>352021</v>
      </c>
      <c r="B1292" t="e">
        <f t="shared" si="48"/>
        <v>#N/A</v>
      </c>
      <c r="C1292" s="198" t="e">
        <f t="shared" si="49"/>
        <v>#N/A</v>
      </c>
      <c r="D1292" s="526" t="e">
        <v>#N/A</v>
      </c>
      <c r="E1292" s="526" t="e">
        <v>#N/A</v>
      </c>
      <c r="F1292" s="526" t="e">
        <v>#N/A</v>
      </c>
      <c r="G1292" s="526" t="e">
        <v>#N/A</v>
      </c>
      <c r="H1292" s="412" t="e">
        <v>#N/A</v>
      </c>
      <c r="I1292" s="411" t="e">
        <v>#N/A</v>
      </c>
      <c r="J1292" s="411" t="e">
        <v>#N/A</v>
      </c>
      <c r="K1292" s="411" t="e">
        <v>#N/A</v>
      </c>
      <c r="L1292" s="526" t="e">
        <v>#N/A</v>
      </c>
    </row>
    <row r="1293" spans="1:12" ht="15" x14ac:dyDescent="0.25">
      <c r="A1293">
        <v>352022</v>
      </c>
      <c r="B1293" t="e">
        <f t="shared" si="48"/>
        <v>#N/A</v>
      </c>
      <c r="C1293" s="198" t="e">
        <f t="shared" si="49"/>
        <v>#N/A</v>
      </c>
      <c r="D1293" s="526" t="e">
        <v>#N/A</v>
      </c>
      <c r="E1293" s="526" t="e">
        <v>#N/A</v>
      </c>
      <c r="F1293" s="526" t="e">
        <v>#N/A</v>
      </c>
      <c r="G1293" s="526" t="e">
        <v>#N/A</v>
      </c>
      <c r="H1293" s="412" t="e">
        <v>#N/A</v>
      </c>
      <c r="I1293" s="411" t="e">
        <v>#N/A</v>
      </c>
      <c r="J1293" s="411" t="e">
        <v>#N/A</v>
      </c>
      <c r="K1293" s="411" t="e">
        <v>#N/A</v>
      </c>
      <c r="L1293" s="526" t="e">
        <v>#N/A</v>
      </c>
    </row>
    <row r="1294" spans="1:12" ht="15" x14ac:dyDescent="0.25">
      <c r="A1294">
        <v>352025</v>
      </c>
      <c r="B1294" t="e">
        <f t="shared" si="48"/>
        <v>#N/A</v>
      </c>
      <c r="C1294" s="198" t="e">
        <f t="shared" si="49"/>
        <v>#N/A</v>
      </c>
      <c r="D1294" s="526" t="e">
        <v>#N/A</v>
      </c>
      <c r="E1294" s="526" t="e">
        <v>#N/A</v>
      </c>
      <c r="F1294" s="526" t="e">
        <v>#N/A</v>
      </c>
      <c r="G1294" s="526" t="e">
        <v>#N/A</v>
      </c>
      <c r="H1294" s="412" t="e">
        <v>#N/A</v>
      </c>
      <c r="I1294" s="411" t="e">
        <v>#N/A</v>
      </c>
      <c r="J1294" s="411" t="e">
        <v>#N/A</v>
      </c>
      <c r="K1294" s="411" t="e">
        <v>#N/A</v>
      </c>
      <c r="L1294" s="526" t="e">
        <v>#N/A</v>
      </c>
    </row>
    <row r="1295" spans="1:12" ht="15" x14ac:dyDescent="0.25">
      <c r="A1295">
        <v>352026</v>
      </c>
      <c r="B1295" t="e">
        <f t="shared" si="48"/>
        <v>#N/A</v>
      </c>
      <c r="C1295" s="198" t="e">
        <f t="shared" si="49"/>
        <v>#N/A</v>
      </c>
      <c r="D1295" s="526" t="e">
        <v>#N/A</v>
      </c>
      <c r="E1295" s="526" t="e">
        <v>#N/A</v>
      </c>
      <c r="F1295" s="526" t="e">
        <v>#N/A</v>
      </c>
      <c r="G1295" s="526" t="e">
        <v>#N/A</v>
      </c>
      <c r="H1295" s="412" t="e">
        <v>#N/A</v>
      </c>
      <c r="I1295" s="411" t="e">
        <v>#N/A</v>
      </c>
      <c r="J1295" s="411" t="e">
        <v>#N/A</v>
      </c>
      <c r="K1295" s="411" t="e">
        <v>#N/A</v>
      </c>
      <c r="L1295" s="526" t="e">
        <v>#N/A</v>
      </c>
    </row>
    <row r="1296" spans="1:12" ht="15" x14ac:dyDescent="0.25">
      <c r="A1296">
        <v>352029</v>
      </c>
      <c r="B1296" t="e">
        <f t="shared" si="48"/>
        <v>#N/A</v>
      </c>
      <c r="C1296" s="198" t="e">
        <f t="shared" si="49"/>
        <v>#N/A</v>
      </c>
      <c r="D1296" s="526" t="e">
        <v>#N/A</v>
      </c>
      <c r="E1296" s="526" t="e">
        <v>#N/A</v>
      </c>
      <c r="F1296" s="526" t="e">
        <v>#N/A</v>
      </c>
      <c r="G1296" s="526" t="e">
        <v>#N/A</v>
      </c>
      <c r="H1296" s="412" t="e">
        <v>#N/A</v>
      </c>
      <c r="I1296" s="411" t="e">
        <v>#N/A</v>
      </c>
      <c r="J1296" s="411" t="e">
        <v>#N/A</v>
      </c>
      <c r="K1296" s="411" t="e">
        <v>#N/A</v>
      </c>
      <c r="L1296" s="526" t="e">
        <v>#N/A</v>
      </c>
    </row>
    <row r="1297" spans="1:12" ht="15" x14ac:dyDescent="0.25">
      <c r="A1297">
        <v>352030</v>
      </c>
      <c r="B1297" t="e">
        <f t="shared" si="48"/>
        <v>#N/A</v>
      </c>
      <c r="C1297" s="198" t="e">
        <f t="shared" si="49"/>
        <v>#N/A</v>
      </c>
      <c r="D1297" s="526" t="e">
        <v>#N/A</v>
      </c>
      <c r="E1297" s="526" t="e">
        <v>#N/A</v>
      </c>
      <c r="F1297" s="526" t="e">
        <v>#N/A</v>
      </c>
      <c r="G1297" s="526" t="e">
        <v>#N/A</v>
      </c>
      <c r="H1297" s="412" t="e">
        <v>#N/A</v>
      </c>
      <c r="I1297" s="411" t="e">
        <v>#N/A</v>
      </c>
      <c r="J1297" s="411" t="e">
        <v>#N/A</v>
      </c>
      <c r="K1297" s="411" t="e">
        <v>#N/A</v>
      </c>
      <c r="L1297" s="526" t="e">
        <v>#N/A</v>
      </c>
    </row>
    <row r="1298" spans="1:12" ht="15" x14ac:dyDescent="0.25">
      <c r="A1298">
        <v>352031</v>
      </c>
      <c r="B1298" t="e">
        <f t="shared" si="48"/>
        <v>#N/A</v>
      </c>
      <c r="C1298" s="198" t="e">
        <f t="shared" si="49"/>
        <v>#N/A</v>
      </c>
      <c r="D1298" s="526" t="e">
        <v>#N/A</v>
      </c>
      <c r="E1298" s="526" t="e">
        <v>#N/A</v>
      </c>
      <c r="F1298" s="526" t="e">
        <v>#N/A</v>
      </c>
      <c r="G1298" s="526" t="e">
        <v>#N/A</v>
      </c>
      <c r="H1298" s="412" t="e">
        <v>#N/A</v>
      </c>
      <c r="I1298" s="411" t="e">
        <v>#N/A</v>
      </c>
      <c r="J1298" s="411" t="e">
        <v>#N/A</v>
      </c>
      <c r="K1298" s="411" t="e">
        <v>#N/A</v>
      </c>
      <c r="L1298" s="526" t="e">
        <v>#N/A</v>
      </c>
    </row>
    <row r="1299" spans="1:12" ht="15" x14ac:dyDescent="0.25">
      <c r="A1299">
        <v>352032</v>
      </c>
      <c r="B1299" t="e">
        <f t="shared" si="48"/>
        <v>#N/A</v>
      </c>
      <c r="C1299" s="198" t="e">
        <f t="shared" si="49"/>
        <v>#N/A</v>
      </c>
      <c r="D1299" s="526" t="e">
        <v>#N/A</v>
      </c>
      <c r="E1299" s="526" t="e">
        <v>#N/A</v>
      </c>
      <c r="F1299" s="526" t="e">
        <v>#N/A</v>
      </c>
      <c r="G1299" s="526" t="e">
        <v>#N/A</v>
      </c>
      <c r="H1299" s="412" t="e">
        <v>#N/A</v>
      </c>
      <c r="I1299" s="411" t="e">
        <v>#N/A</v>
      </c>
      <c r="J1299" s="411" t="e">
        <v>#N/A</v>
      </c>
      <c r="K1299" s="411" t="e">
        <v>#N/A</v>
      </c>
      <c r="L1299" s="526" t="e">
        <v>#N/A</v>
      </c>
    </row>
    <row r="1300" spans="1:12" ht="15" x14ac:dyDescent="0.25">
      <c r="A1300">
        <v>352033</v>
      </c>
      <c r="B1300" t="e">
        <f t="shared" si="48"/>
        <v>#N/A</v>
      </c>
      <c r="C1300" s="198" t="e">
        <f t="shared" si="49"/>
        <v>#N/A</v>
      </c>
      <c r="D1300" s="526" t="e">
        <v>#N/A</v>
      </c>
      <c r="E1300" s="526" t="e">
        <v>#N/A</v>
      </c>
      <c r="F1300" s="526" t="e">
        <v>#N/A</v>
      </c>
      <c r="G1300" s="526" t="e">
        <v>#N/A</v>
      </c>
      <c r="H1300" s="412" t="e">
        <v>#N/A</v>
      </c>
      <c r="I1300" s="411" t="e">
        <v>#N/A</v>
      </c>
      <c r="J1300" s="411" t="e">
        <v>#N/A</v>
      </c>
      <c r="K1300" s="411" t="e">
        <v>#N/A</v>
      </c>
      <c r="L1300" s="526" t="e">
        <v>#N/A</v>
      </c>
    </row>
    <row r="1301" spans="1:12" ht="15" x14ac:dyDescent="0.25">
      <c r="A1301">
        <v>352034</v>
      </c>
      <c r="B1301" t="e">
        <f t="shared" si="48"/>
        <v>#N/A</v>
      </c>
      <c r="C1301" s="198" t="e">
        <f t="shared" si="49"/>
        <v>#N/A</v>
      </c>
      <c r="D1301" s="526" t="e">
        <v>#N/A</v>
      </c>
      <c r="E1301" s="526" t="e">
        <v>#N/A</v>
      </c>
      <c r="F1301" s="526" t="e">
        <v>#N/A</v>
      </c>
      <c r="G1301" s="526" t="e">
        <v>#N/A</v>
      </c>
      <c r="H1301" s="412" t="e">
        <v>#N/A</v>
      </c>
      <c r="I1301" s="411" t="e">
        <v>#N/A</v>
      </c>
      <c r="J1301" s="411" t="e">
        <v>#N/A</v>
      </c>
      <c r="K1301" s="411" t="e">
        <v>#N/A</v>
      </c>
      <c r="L1301" s="526" t="e">
        <v>#N/A</v>
      </c>
    </row>
    <row r="1302" spans="1:12" ht="15" x14ac:dyDescent="0.25">
      <c r="A1302">
        <v>227762</v>
      </c>
      <c r="B1302" t="e">
        <f t="shared" si="48"/>
        <v>#N/A</v>
      </c>
      <c r="C1302" s="198" t="e">
        <f t="shared" si="49"/>
        <v>#N/A</v>
      </c>
      <c r="D1302" s="526" t="e">
        <v>#N/A</v>
      </c>
      <c r="E1302" s="526" t="e">
        <v>#N/A</v>
      </c>
      <c r="F1302" s="526" t="e">
        <v>#N/A</v>
      </c>
      <c r="G1302" s="526" t="e">
        <v>#N/A</v>
      </c>
      <c r="H1302" s="412" t="e">
        <v>#N/A</v>
      </c>
      <c r="I1302" s="411" t="e">
        <v>#N/A</v>
      </c>
      <c r="J1302" s="411" t="e">
        <v>#N/A</v>
      </c>
      <c r="K1302" s="411" t="e">
        <v>#N/A</v>
      </c>
      <c r="L1302" s="526" t="e">
        <v>#N/A</v>
      </c>
    </row>
    <row r="1303" spans="1:12" ht="15" x14ac:dyDescent="0.25">
      <c r="A1303">
        <v>227765</v>
      </c>
      <c r="B1303" t="e">
        <f t="shared" si="48"/>
        <v>#N/A</v>
      </c>
      <c r="C1303" s="198" t="e">
        <f t="shared" si="49"/>
        <v>#N/A</v>
      </c>
      <c r="D1303" s="526" t="e">
        <v>#N/A</v>
      </c>
      <c r="E1303" s="526" t="e">
        <v>#N/A</v>
      </c>
      <c r="F1303" s="526" t="e">
        <v>#N/A</v>
      </c>
      <c r="G1303" s="526" t="e">
        <v>#N/A</v>
      </c>
      <c r="H1303" s="412" t="e">
        <v>#N/A</v>
      </c>
      <c r="I1303" s="411" t="e">
        <v>#N/A</v>
      </c>
      <c r="J1303" s="411" t="e">
        <v>#N/A</v>
      </c>
      <c r="K1303" s="411" t="e">
        <v>#N/A</v>
      </c>
      <c r="L1303" s="526" t="e">
        <v>#N/A</v>
      </c>
    </row>
    <row r="1304" spans="1:12" ht="15" x14ac:dyDescent="0.25">
      <c r="A1304">
        <v>227803</v>
      </c>
      <c r="B1304" t="e">
        <f t="shared" ref="B1304:B1347" si="50">IF($A$2=1,D1304,IF($A$2=2,F1304,IF($A$2=3,G1304,IF($A$2=4,E1304,"zadat jazyk"))))</f>
        <v>#N/A</v>
      </c>
      <c r="C1304" s="198" t="e">
        <f t="shared" ref="C1304:C1347" si="51">IF($A$2=1,H1304,IF($A$2=2,I1304,IF($A$2=3,J1304,IF($A$2=4,K1304,"zadat jazyk"))))</f>
        <v>#N/A</v>
      </c>
      <c r="D1304" s="526" t="e">
        <v>#N/A</v>
      </c>
      <c r="E1304" s="526" t="e">
        <v>#N/A</v>
      </c>
      <c r="F1304" s="526" t="e">
        <v>#N/A</v>
      </c>
      <c r="G1304" s="526" t="e">
        <v>#N/A</v>
      </c>
      <c r="H1304" s="412" t="e">
        <v>#N/A</v>
      </c>
      <c r="I1304" s="411" t="e">
        <v>#N/A</v>
      </c>
      <c r="J1304" s="411" t="e">
        <v>#N/A</v>
      </c>
      <c r="K1304" s="411" t="e">
        <v>#N/A</v>
      </c>
      <c r="L1304" s="526" t="e">
        <v>#N/A</v>
      </c>
    </row>
    <row r="1305" spans="1:12" ht="15" x14ac:dyDescent="0.25">
      <c r="A1305">
        <v>227804</v>
      </c>
      <c r="B1305" t="e">
        <f t="shared" si="50"/>
        <v>#N/A</v>
      </c>
      <c r="C1305" s="198" t="e">
        <f t="shared" si="51"/>
        <v>#N/A</v>
      </c>
      <c r="D1305" s="526" t="e">
        <v>#N/A</v>
      </c>
      <c r="E1305" s="526" t="e">
        <v>#N/A</v>
      </c>
      <c r="F1305" s="526" t="e">
        <v>#N/A</v>
      </c>
      <c r="G1305" s="526" t="e">
        <v>#N/A</v>
      </c>
      <c r="H1305" s="412" t="e">
        <v>#N/A</v>
      </c>
      <c r="I1305" s="411" t="e">
        <v>#N/A</v>
      </c>
      <c r="J1305" s="411" t="e">
        <v>#N/A</v>
      </c>
      <c r="K1305" s="411" t="e">
        <v>#N/A</v>
      </c>
      <c r="L1305" s="526" t="e">
        <v>#N/A</v>
      </c>
    </row>
    <row r="1306" spans="1:12" ht="15" x14ac:dyDescent="0.25">
      <c r="A1306">
        <v>227805</v>
      </c>
      <c r="B1306" t="e">
        <f t="shared" si="50"/>
        <v>#N/A</v>
      </c>
      <c r="C1306" s="198" t="e">
        <f t="shared" si="51"/>
        <v>#N/A</v>
      </c>
      <c r="D1306" s="526" t="e">
        <v>#N/A</v>
      </c>
      <c r="E1306" s="526" t="e">
        <v>#N/A</v>
      </c>
      <c r="F1306" s="526" t="e">
        <v>#N/A</v>
      </c>
      <c r="G1306" s="526" t="e">
        <v>#N/A</v>
      </c>
      <c r="H1306" s="412" t="e">
        <v>#N/A</v>
      </c>
      <c r="I1306" s="411" t="e">
        <v>#N/A</v>
      </c>
      <c r="J1306" s="411" t="e">
        <v>#N/A</v>
      </c>
      <c r="K1306" s="411" t="e">
        <v>#N/A</v>
      </c>
      <c r="L1306" s="526" t="e">
        <v>#N/A</v>
      </c>
    </row>
    <row r="1307" spans="1:12" ht="15" x14ac:dyDescent="0.25">
      <c r="A1307">
        <v>227806</v>
      </c>
      <c r="B1307" t="e">
        <f t="shared" si="50"/>
        <v>#N/A</v>
      </c>
      <c r="C1307" s="198" t="e">
        <f t="shared" si="51"/>
        <v>#N/A</v>
      </c>
      <c r="D1307" s="526" t="e">
        <v>#N/A</v>
      </c>
      <c r="E1307" s="526" t="e">
        <v>#N/A</v>
      </c>
      <c r="F1307" s="526" t="e">
        <v>#N/A</v>
      </c>
      <c r="G1307" s="526" t="e">
        <v>#N/A</v>
      </c>
      <c r="H1307" s="412" t="e">
        <v>#N/A</v>
      </c>
      <c r="I1307" s="411" t="e">
        <v>#N/A</v>
      </c>
      <c r="J1307" s="411" t="e">
        <v>#N/A</v>
      </c>
      <c r="K1307" s="411" t="e">
        <v>#N/A</v>
      </c>
      <c r="L1307" s="526" t="e">
        <v>#N/A</v>
      </c>
    </row>
    <row r="1308" spans="1:12" ht="15" x14ac:dyDescent="0.25">
      <c r="A1308">
        <v>227807</v>
      </c>
      <c r="B1308" t="e">
        <f t="shared" si="50"/>
        <v>#N/A</v>
      </c>
      <c r="C1308" s="198" t="e">
        <f t="shared" si="51"/>
        <v>#N/A</v>
      </c>
      <c r="D1308" s="526" t="e">
        <v>#N/A</v>
      </c>
      <c r="E1308" s="526" t="e">
        <v>#N/A</v>
      </c>
      <c r="F1308" s="526" t="e">
        <v>#N/A</v>
      </c>
      <c r="G1308" s="526" t="e">
        <v>#N/A</v>
      </c>
      <c r="H1308" s="412" t="e">
        <v>#N/A</v>
      </c>
      <c r="I1308" s="411" t="e">
        <v>#N/A</v>
      </c>
      <c r="J1308" s="411" t="e">
        <v>#N/A</v>
      </c>
      <c r="K1308" s="411" t="e">
        <v>#N/A</v>
      </c>
      <c r="L1308" s="526" t="e">
        <v>#N/A</v>
      </c>
    </row>
    <row r="1309" spans="1:12" ht="15" x14ac:dyDescent="0.25">
      <c r="A1309">
        <v>227808</v>
      </c>
      <c r="B1309" t="e">
        <f t="shared" si="50"/>
        <v>#N/A</v>
      </c>
      <c r="C1309" s="198" t="e">
        <f t="shared" si="51"/>
        <v>#N/A</v>
      </c>
      <c r="D1309" s="526" t="e">
        <v>#N/A</v>
      </c>
      <c r="E1309" s="526" t="e">
        <v>#N/A</v>
      </c>
      <c r="F1309" s="526" t="e">
        <v>#N/A</v>
      </c>
      <c r="G1309" s="526" t="e">
        <v>#N/A</v>
      </c>
      <c r="H1309" s="412" t="e">
        <v>#N/A</v>
      </c>
      <c r="I1309" s="411" t="e">
        <v>#N/A</v>
      </c>
      <c r="J1309" s="411" t="e">
        <v>#N/A</v>
      </c>
      <c r="K1309" s="411" t="e">
        <v>#N/A</v>
      </c>
      <c r="L1309" s="526" t="e">
        <v>#N/A</v>
      </c>
    </row>
    <row r="1310" spans="1:12" ht="15" x14ac:dyDescent="0.25">
      <c r="A1310">
        <v>227809</v>
      </c>
      <c r="B1310" t="e">
        <f t="shared" si="50"/>
        <v>#N/A</v>
      </c>
      <c r="C1310" s="198" t="e">
        <f t="shared" si="51"/>
        <v>#N/A</v>
      </c>
      <c r="D1310" s="526" t="e">
        <v>#N/A</v>
      </c>
      <c r="E1310" s="526" t="e">
        <v>#N/A</v>
      </c>
      <c r="F1310" s="526" t="e">
        <v>#N/A</v>
      </c>
      <c r="G1310" s="526" t="e">
        <v>#N/A</v>
      </c>
      <c r="H1310" s="412" t="e">
        <v>#N/A</v>
      </c>
      <c r="I1310" s="411" t="e">
        <v>#N/A</v>
      </c>
      <c r="J1310" s="411" t="e">
        <v>#N/A</v>
      </c>
      <c r="K1310" s="411" t="e">
        <v>#N/A</v>
      </c>
      <c r="L1310" s="526" t="e">
        <v>#N/A</v>
      </c>
    </row>
    <row r="1311" spans="1:12" ht="15" x14ac:dyDescent="0.25">
      <c r="A1311">
        <v>227811</v>
      </c>
      <c r="B1311" t="e">
        <f t="shared" si="50"/>
        <v>#N/A</v>
      </c>
      <c r="C1311" s="198" t="e">
        <f t="shared" si="51"/>
        <v>#N/A</v>
      </c>
      <c r="D1311" s="526" t="e">
        <v>#N/A</v>
      </c>
      <c r="E1311" s="526" t="e">
        <v>#N/A</v>
      </c>
      <c r="F1311" s="526" t="e">
        <v>#N/A</v>
      </c>
      <c r="G1311" s="526" t="e">
        <v>#N/A</v>
      </c>
      <c r="H1311" s="412" t="e">
        <v>#N/A</v>
      </c>
      <c r="I1311" s="411" t="e">
        <v>#N/A</v>
      </c>
      <c r="J1311" s="411" t="e">
        <v>#N/A</v>
      </c>
      <c r="K1311" s="411" t="e">
        <v>#N/A</v>
      </c>
      <c r="L1311" s="526" t="e">
        <v>#N/A</v>
      </c>
    </row>
    <row r="1312" spans="1:12" ht="15" x14ac:dyDescent="0.25">
      <c r="A1312">
        <v>227812</v>
      </c>
      <c r="B1312" t="e">
        <f t="shared" si="50"/>
        <v>#N/A</v>
      </c>
      <c r="C1312" s="198" t="e">
        <f t="shared" si="51"/>
        <v>#N/A</v>
      </c>
      <c r="D1312" s="526" t="e">
        <v>#N/A</v>
      </c>
      <c r="E1312" s="526" t="e">
        <v>#N/A</v>
      </c>
      <c r="F1312" s="526" t="e">
        <v>#N/A</v>
      </c>
      <c r="G1312" s="526" t="e">
        <v>#N/A</v>
      </c>
      <c r="H1312" s="412" t="e">
        <v>#N/A</v>
      </c>
      <c r="I1312" s="411" t="e">
        <v>#N/A</v>
      </c>
      <c r="J1312" s="411" t="e">
        <v>#N/A</v>
      </c>
      <c r="K1312" s="411" t="e">
        <v>#N/A</v>
      </c>
      <c r="L1312" s="526" t="e">
        <v>#N/A</v>
      </c>
    </row>
    <row r="1313" spans="1:12" ht="15" x14ac:dyDescent="0.25">
      <c r="A1313">
        <v>228555</v>
      </c>
      <c r="B1313" t="e">
        <f t="shared" si="50"/>
        <v>#N/A</v>
      </c>
      <c r="C1313" s="198" t="e">
        <f t="shared" si="51"/>
        <v>#N/A</v>
      </c>
      <c r="D1313" s="526" t="e">
        <v>#N/A</v>
      </c>
      <c r="E1313" s="526" t="e">
        <v>#N/A</v>
      </c>
      <c r="F1313" s="526" t="e">
        <v>#N/A</v>
      </c>
      <c r="G1313" s="526" t="e">
        <v>#N/A</v>
      </c>
      <c r="H1313" s="412" t="e">
        <v>#N/A</v>
      </c>
      <c r="I1313" s="411" t="e">
        <v>#N/A</v>
      </c>
      <c r="J1313" s="411" t="e">
        <v>#N/A</v>
      </c>
      <c r="K1313" s="411" t="e">
        <v>#N/A</v>
      </c>
      <c r="L1313" s="526" t="e">
        <v>#N/A</v>
      </c>
    </row>
    <row r="1314" spans="1:12" ht="15" x14ac:dyDescent="0.25">
      <c r="A1314">
        <v>304699</v>
      </c>
      <c r="B1314" t="e">
        <f t="shared" si="50"/>
        <v>#N/A</v>
      </c>
      <c r="C1314" s="198" t="e">
        <f t="shared" si="51"/>
        <v>#N/A</v>
      </c>
      <c r="D1314" s="526" t="e">
        <v>#N/A</v>
      </c>
      <c r="E1314" s="526" t="e">
        <v>#N/A</v>
      </c>
      <c r="F1314" s="526" t="e">
        <v>#N/A</v>
      </c>
      <c r="G1314" s="526" t="e">
        <v>#N/A</v>
      </c>
      <c r="H1314" s="412" t="e">
        <v>#N/A</v>
      </c>
      <c r="I1314" s="411" t="e">
        <v>#N/A</v>
      </c>
      <c r="J1314" s="411" t="e">
        <v>#N/A</v>
      </c>
      <c r="K1314" s="411" t="e">
        <v>#N/A</v>
      </c>
      <c r="L1314" s="526" t="e">
        <v>#N/A</v>
      </c>
    </row>
    <row r="1315" spans="1:12" ht="15" x14ac:dyDescent="0.25">
      <c r="A1315">
        <v>304747</v>
      </c>
      <c r="B1315" t="e">
        <f t="shared" si="50"/>
        <v>#N/A</v>
      </c>
      <c r="C1315" s="198" t="e">
        <f t="shared" si="51"/>
        <v>#N/A</v>
      </c>
      <c r="D1315" s="526" t="e">
        <v>#N/A</v>
      </c>
      <c r="E1315" s="526" t="e">
        <v>#N/A</v>
      </c>
      <c r="F1315" s="526" t="e">
        <v>#N/A</v>
      </c>
      <c r="G1315" s="526" t="e">
        <v>#N/A</v>
      </c>
      <c r="H1315" s="412" t="e">
        <v>#N/A</v>
      </c>
      <c r="I1315" s="411" t="e">
        <v>#N/A</v>
      </c>
      <c r="J1315" s="411" t="e">
        <v>#N/A</v>
      </c>
      <c r="K1315" s="411" t="e">
        <v>#N/A</v>
      </c>
      <c r="L1315" s="526" t="e">
        <v>#N/A</v>
      </c>
    </row>
    <row r="1316" spans="1:12" ht="15" x14ac:dyDescent="0.25">
      <c r="A1316">
        <v>304748</v>
      </c>
      <c r="B1316" t="e">
        <f t="shared" si="50"/>
        <v>#N/A</v>
      </c>
      <c r="C1316" s="198" t="e">
        <f t="shared" si="51"/>
        <v>#N/A</v>
      </c>
      <c r="D1316" s="526" t="e">
        <v>#N/A</v>
      </c>
      <c r="E1316" s="526" t="e">
        <v>#N/A</v>
      </c>
      <c r="F1316" s="526" t="e">
        <v>#N/A</v>
      </c>
      <c r="G1316" s="526" t="e">
        <v>#N/A</v>
      </c>
      <c r="H1316" s="412" t="e">
        <v>#N/A</v>
      </c>
      <c r="I1316" s="411" t="e">
        <v>#N/A</v>
      </c>
      <c r="J1316" s="411" t="e">
        <v>#N/A</v>
      </c>
      <c r="K1316" s="411" t="e">
        <v>#N/A</v>
      </c>
      <c r="L1316" s="526" t="e">
        <v>#N/A</v>
      </c>
    </row>
    <row r="1317" spans="1:12" ht="15" x14ac:dyDescent="0.25">
      <c r="A1317">
        <v>304788</v>
      </c>
      <c r="B1317" t="e">
        <f t="shared" si="50"/>
        <v>#N/A</v>
      </c>
      <c r="C1317" s="198" t="e">
        <f t="shared" si="51"/>
        <v>#N/A</v>
      </c>
      <c r="D1317" s="526" t="e">
        <v>#N/A</v>
      </c>
      <c r="E1317" s="526" t="e">
        <v>#N/A</v>
      </c>
      <c r="F1317" s="526" t="e">
        <v>#N/A</v>
      </c>
      <c r="G1317" s="526" t="e">
        <v>#N/A</v>
      </c>
      <c r="H1317" s="412" t="e">
        <v>#N/A</v>
      </c>
      <c r="I1317" s="411" t="e">
        <v>#N/A</v>
      </c>
      <c r="J1317" s="411" t="e">
        <v>#N/A</v>
      </c>
      <c r="K1317" s="411" t="e">
        <v>#N/A</v>
      </c>
      <c r="L1317" s="526" t="e">
        <v>#N/A</v>
      </c>
    </row>
    <row r="1318" spans="1:12" ht="15" x14ac:dyDescent="0.25">
      <c r="A1318">
        <v>304789</v>
      </c>
      <c r="B1318" t="e">
        <f t="shared" si="50"/>
        <v>#N/A</v>
      </c>
      <c r="C1318" s="198" t="e">
        <f t="shared" si="51"/>
        <v>#N/A</v>
      </c>
      <c r="D1318" s="526" t="e">
        <v>#N/A</v>
      </c>
      <c r="E1318" s="526" t="e">
        <v>#N/A</v>
      </c>
      <c r="F1318" s="526" t="e">
        <v>#N/A</v>
      </c>
      <c r="G1318" s="526" t="e">
        <v>#N/A</v>
      </c>
      <c r="H1318" s="412" t="e">
        <v>#N/A</v>
      </c>
      <c r="I1318" s="411" t="e">
        <v>#N/A</v>
      </c>
      <c r="J1318" s="411" t="e">
        <v>#N/A</v>
      </c>
      <c r="K1318" s="411" t="e">
        <v>#N/A</v>
      </c>
      <c r="L1318" s="526" t="e">
        <v>#N/A</v>
      </c>
    </row>
    <row r="1319" spans="1:12" ht="15" x14ac:dyDescent="0.25">
      <c r="A1319">
        <v>304790</v>
      </c>
      <c r="B1319" t="e">
        <f t="shared" si="50"/>
        <v>#N/A</v>
      </c>
      <c r="C1319" s="198" t="e">
        <f t="shared" si="51"/>
        <v>#N/A</v>
      </c>
      <c r="D1319" s="526" t="e">
        <v>#N/A</v>
      </c>
      <c r="E1319" s="526" t="e">
        <v>#N/A</v>
      </c>
      <c r="F1319" s="526" t="e">
        <v>#N/A</v>
      </c>
      <c r="G1319" s="526" t="e">
        <v>#N/A</v>
      </c>
      <c r="H1319" s="412" t="e">
        <v>#N/A</v>
      </c>
      <c r="I1319" s="411" t="e">
        <v>#N/A</v>
      </c>
      <c r="J1319" s="411" t="e">
        <v>#N/A</v>
      </c>
      <c r="K1319" s="411" t="e">
        <v>#N/A</v>
      </c>
      <c r="L1319" s="526" t="e">
        <v>#N/A</v>
      </c>
    </row>
    <row r="1320" spans="1:12" ht="15" x14ac:dyDescent="0.25">
      <c r="A1320">
        <v>304792</v>
      </c>
      <c r="B1320" t="e">
        <f t="shared" si="50"/>
        <v>#N/A</v>
      </c>
      <c r="C1320" s="198" t="e">
        <f t="shared" si="51"/>
        <v>#N/A</v>
      </c>
      <c r="D1320" s="526" t="e">
        <v>#N/A</v>
      </c>
      <c r="E1320" s="526" t="e">
        <v>#N/A</v>
      </c>
      <c r="F1320" s="526" t="e">
        <v>#N/A</v>
      </c>
      <c r="G1320" s="526" t="e">
        <v>#N/A</v>
      </c>
      <c r="H1320" s="412" t="e">
        <v>#N/A</v>
      </c>
      <c r="I1320" s="411" t="e">
        <v>#N/A</v>
      </c>
      <c r="J1320" s="411" t="e">
        <v>#N/A</v>
      </c>
      <c r="K1320" s="411" t="e">
        <v>#N/A</v>
      </c>
      <c r="L1320" s="526" t="e">
        <v>#N/A</v>
      </c>
    </row>
    <row r="1321" spans="1:12" ht="15" x14ac:dyDescent="0.25">
      <c r="A1321">
        <v>305487</v>
      </c>
      <c r="B1321" t="e">
        <f t="shared" si="50"/>
        <v>#N/A</v>
      </c>
      <c r="C1321" s="198" t="e">
        <f t="shared" si="51"/>
        <v>#N/A</v>
      </c>
      <c r="D1321" s="526" t="e">
        <v>#N/A</v>
      </c>
      <c r="E1321" s="526" t="e">
        <v>#N/A</v>
      </c>
      <c r="F1321" s="526" t="e">
        <v>#N/A</v>
      </c>
      <c r="G1321" s="526" t="e">
        <v>#N/A</v>
      </c>
      <c r="H1321" s="412" t="e">
        <v>#N/A</v>
      </c>
      <c r="I1321" s="411" t="e">
        <v>#N/A</v>
      </c>
      <c r="J1321" s="411" t="e">
        <v>#N/A</v>
      </c>
      <c r="K1321" s="411" t="e">
        <v>#N/A</v>
      </c>
      <c r="L1321" s="526" t="e">
        <v>#N/A</v>
      </c>
    </row>
    <row r="1322" spans="1:12" ht="15" x14ac:dyDescent="0.25">
      <c r="A1322">
        <v>305491</v>
      </c>
      <c r="B1322" t="e">
        <f t="shared" si="50"/>
        <v>#N/A</v>
      </c>
      <c r="C1322" s="198" t="e">
        <f t="shared" si="51"/>
        <v>#N/A</v>
      </c>
      <c r="D1322" s="526" t="e">
        <v>#N/A</v>
      </c>
      <c r="E1322" s="526" t="e">
        <v>#N/A</v>
      </c>
      <c r="F1322" s="526" t="e">
        <v>#N/A</v>
      </c>
      <c r="G1322" s="526" t="e">
        <v>#N/A</v>
      </c>
      <c r="H1322" s="412" t="e">
        <v>#N/A</v>
      </c>
      <c r="I1322" s="411" t="e">
        <v>#N/A</v>
      </c>
      <c r="J1322" s="411" t="e">
        <v>#N/A</v>
      </c>
      <c r="K1322" s="411" t="e">
        <v>#N/A</v>
      </c>
      <c r="L1322" s="526" t="e">
        <v>#N/A</v>
      </c>
    </row>
    <row r="1323" spans="1:12" ht="15" x14ac:dyDescent="0.25">
      <c r="A1323">
        <v>88671</v>
      </c>
      <c r="B1323" t="e">
        <f t="shared" si="50"/>
        <v>#N/A</v>
      </c>
      <c r="C1323" s="198" t="e">
        <f t="shared" si="51"/>
        <v>#N/A</v>
      </c>
      <c r="D1323" s="526" t="e">
        <v>#N/A</v>
      </c>
      <c r="E1323" s="526" t="e">
        <v>#N/A</v>
      </c>
      <c r="F1323" s="526" t="e">
        <v>#N/A</v>
      </c>
      <c r="G1323" s="526" t="e">
        <v>#N/A</v>
      </c>
      <c r="H1323" s="412" t="e">
        <v>#N/A</v>
      </c>
      <c r="I1323" s="411" t="e">
        <v>#N/A</v>
      </c>
      <c r="J1323" s="411" t="e">
        <v>#N/A</v>
      </c>
      <c r="K1323" s="411" t="e">
        <v>#N/A</v>
      </c>
      <c r="L1323" s="526" t="e">
        <v>#N/A</v>
      </c>
    </row>
    <row r="1324" spans="1:12" ht="15" x14ac:dyDescent="0.25">
      <c r="A1324">
        <v>88673</v>
      </c>
      <c r="B1324" t="e">
        <f t="shared" si="50"/>
        <v>#N/A</v>
      </c>
      <c r="C1324" s="198" t="e">
        <f t="shared" si="51"/>
        <v>#N/A</v>
      </c>
      <c r="D1324" s="526" t="e">
        <v>#N/A</v>
      </c>
      <c r="E1324" s="526" t="e">
        <v>#N/A</v>
      </c>
      <c r="F1324" s="526" t="e">
        <v>#N/A</v>
      </c>
      <c r="G1324" s="526" t="e">
        <v>#N/A</v>
      </c>
      <c r="H1324" s="412" t="e">
        <v>#N/A</v>
      </c>
      <c r="I1324" s="411" t="e">
        <v>#N/A</v>
      </c>
      <c r="J1324" s="411" t="e">
        <v>#N/A</v>
      </c>
      <c r="K1324" s="411" t="e">
        <v>#N/A</v>
      </c>
      <c r="L1324" s="526" t="e">
        <v>#N/A</v>
      </c>
    </row>
    <row r="1325" spans="1:12" ht="15" x14ac:dyDescent="0.25">
      <c r="A1325">
        <v>88674</v>
      </c>
      <c r="B1325" t="e">
        <f t="shared" si="50"/>
        <v>#N/A</v>
      </c>
      <c r="C1325" s="198" t="e">
        <f t="shared" si="51"/>
        <v>#N/A</v>
      </c>
      <c r="D1325" s="526" t="e">
        <v>#N/A</v>
      </c>
      <c r="E1325" s="526" t="e">
        <v>#N/A</v>
      </c>
      <c r="F1325" s="526" t="e">
        <v>#N/A</v>
      </c>
      <c r="G1325" s="526" t="e">
        <v>#N/A</v>
      </c>
      <c r="H1325" s="412" t="e">
        <v>#N/A</v>
      </c>
      <c r="I1325" s="411" t="e">
        <v>#N/A</v>
      </c>
      <c r="J1325" s="411" t="e">
        <v>#N/A</v>
      </c>
      <c r="K1325" s="411" t="e">
        <v>#N/A</v>
      </c>
      <c r="L1325" s="526" t="e">
        <v>#N/A</v>
      </c>
    </row>
    <row r="1326" spans="1:12" ht="15" x14ac:dyDescent="0.25">
      <c r="A1326">
        <v>88675</v>
      </c>
      <c r="B1326" t="e">
        <f t="shared" si="50"/>
        <v>#N/A</v>
      </c>
      <c r="C1326" s="198" t="e">
        <f t="shared" si="51"/>
        <v>#N/A</v>
      </c>
      <c r="D1326" s="526" t="e">
        <v>#N/A</v>
      </c>
      <c r="E1326" s="526" t="e">
        <v>#N/A</v>
      </c>
      <c r="F1326" s="526" t="e">
        <v>#N/A</v>
      </c>
      <c r="G1326" s="526" t="e">
        <v>#N/A</v>
      </c>
      <c r="H1326" s="412" t="e">
        <v>#N/A</v>
      </c>
      <c r="I1326" s="411" t="e">
        <v>#N/A</v>
      </c>
      <c r="J1326" s="411" t="e">
        <v>#N/A</v>
      </c>
      <c r="K1326" s="411" t="e">
        <v>#N/A</v>
      </c>
      <c r="L1326" s="526" t="e">
        <v>#N/A</v>
      </c>
    </row>
    <row r="1327" spans="1:12" ht="15" x14ac:dyDescent="0.25">
      <c r="A1327">
        <v>88676</v>
      </c>
      <c r="B1327" t="e">
        <f t="shared" si="50"/>
        <v>#N/A</v>
      </c>
      <c r="C1327" s="198" t="e">
        <f t="shared" si="51"/>
        <v>#N/A</v>
      </c>
      <c r="D1327" s="526" t="e">
        <v>#N/A</v>
      </c>
      <c r="E1327" s="526" t="e">
        <v>#N/A</v>
      </c>
      <c r="F1327" s="526" t="e">
        <v>#N/A</v>
      </c>
      <c r="G1327" s="526" t="e">
        <v>#N/A</v>
      </c>
      <c r="H1327" s="412" t="e">
        <v>#N/A</v>
      </c>
      <c r="I1327" s="411" t="e">
        <v>#N/A</v>
      </c>
      <c r="J1327" s="411" t="e">
        <v>#N/A</v>
      </c>
      <c r="K1327" s="411" t="e">
        <v>#N/A</v>
      </c>
      <c r="L1327" s="526" t="e">
        <v>#N/A</v>
      </c>
    </row>
    <row r="1328" spans="1:12" ht="15" x14ac:dyDescent="0.25">
      <c r="A1328">
        <v>88677</v>
      </c>
      <c r="B1328" t="e">
        <f t="shared" si="50"/>
        <v>#N/A</v>
      </c>
      <c r="C1328" s="198" t="e">
        <f t="shared" si="51"/>
        <v>#N/A</v>
      </c>
      <c r="D1328" s="526" t="e">
        <v>#N/A</v>
      </c>
      <c r="E1328" s="526" t="e">
        <v>#N/A</v>
      </c>
      <c r="F1328" s="526" t="e">
        <v>#N/A</v>
      </c>
      <c r="G1328" s="526" t="e">
        <v>#N/A</v>
      </c>
      <c r="H1328" s="412" t="e">
        <v>#N/A</v>
      </c>
      <c r="I1328" s="411" t="e">
        <v>#N/A</v>
      </c>
      <c r="J1328" s="411" t="e">
        <v>#N/A</v>
      </c>
      <c r="K1328" s="411" t="e">
        <v>#N/A</v>
      </c>
      <c r="L1328" s="526" t="e">
        <v>#N/A</v>
      </c>
    </row>
    <row r="1329" spans="1:12" ht="15" x14ac:dyDescent="0.25">
      <c r="A1329">
        <v>88678</v>
      </c>
      <c r="B1329" t="e">
        <f t="shared" si="50"/>
        <v>#N/A</v>
      </c>
      <c r="C1329" s="198" t="e">
        <f t="shared" si="51"/>
        <v>#N/A</v>
      </c>
      <c r="D1329" s="526" t="e">
        <v>#N/A</v>
      </c>
      <c r="E1329" s="526" t="e">
        <v>#N/A</v>
      </c>
      <c r="F1329" s="526" t="e">
        <v>#N/A</v>
      </c>
      <c r="G1329" s="526" t="e">
        <v>#N/A</v>
      </c>
      <c r="H1329" s="412" t="e">
        <v>#N/A</v>
      </c>
      <c r="I1329" s="411" t="e">
        <v>#N/A</v>
      </c>
      <c r="J1329" s="411" t="e">
        <v>#N/A</v>
      </c>
      <c r="K1329" s="411" t="e">
        <v>#N/A</v>
      </c>
      <c r="L1329" s="526" t="e">
        <v>#N/A</v>
      </c>
    </row>
    <row r="1330" spans="1:12" ht="15" x14ac:dyDescent="0.25">
      <c r="A1330">
        <v>88679</v>
      </c>
      <c r="B1330" t="e">
        <f t="shared" si="50"/>
        <v>#N/A</v>
      </c>
      <c r="C1330" s="198" t="e">
        <f t="shared" si="51"/>
        <v>#N/A</v>
      </c>
      <c r="D1330" s="526" t="e">
        <v>#N/A</v>
      </c>
      <c r="E1330" s="526" t="e">
        <v>#N/A</v>
      </c>
      <c r="F1330" s="526" t="e">
        <v>#N/A</v>
      </c>
      <c r="G1330" s="526" t="e">
        <v>#N/A</v>
      </c>
      <c r="H1330" s="412" t="e">
        <v>#N/A</v>
      </c>
      <c r="I1330" s="411" t="e">
        <v>#N/A</v>
      </c>
      <c r="J1330" s="411" t="e">
        <v>#N/A</v>
      </c>
      <c r="K1330" s="411" t="e">
        <v>#N/A</v>
      </c>
      <c r="L1330" s="526" t="e">
        <v>#N/A</v>
      </c>
    </row>
    <row r="1331" spans="1:12" ht="15" x14ac:dyDescent="0.25">
      <c r="A1331">
        <v>88169</v>
      </c>
      <c r="B1331" t="e">
        <f t="shared" si="50"/>
        <v>#N/A</v>
      </c>
      <c r="C1331" s="198" t="e">
        <f t="shared" si="51"/>
        <v>#N/A</v>
      </c>
      <c r="D1331" s="526" t="e">
        <v>#N/A</v>
      </c>
      <c r="E1331" s="526" t="e">
        <v>#N/A</v>
      </c>
      <c r="F1331" s="526" t="e">
        <v>#N/A</v>
      </c>
      <c r="G1331" s="526" t="e">
        <v>#N/A</v>
      </c>
      <c r="H1331" s="412" t="e">
        <v>#N/A</v>
      </c>
      <c r="I1331" s="411" t="e">
        <v>#N/A</v>
      </c>
      <c r="J1331" s="411" t="e">
        <v>#N/A</v>
      </c>
      <c r="K1331" s="411" t="e">
        <v>#N/A</v>
      </c>
      <c r="L1331" s="526" t="e">
        <v>#N/A</v>
      </c>
    </row>
    <row r="1332" spans="1:12" ht="15" x14ac:dyDescent="0.25">
      <c r="A1332">
        <v>88684</v>
      </c>
      <c r="B1332" t="e">
        <f t="shared" si="50"/>
        <v>#N/A</v>
      </c>
      <c r="C1332" s="198" t="e">
        <f t="shared" si="51"/>
        <v>#N/A</v>
      </c>
      <c r="D1332" s="526" t="e">
        <v>#N/A</v>
      </c>
      <c r="E1332" s="526" t="e">
        <v>#N/A</v>
      </c>
      <c r="F1332" s="526" t="e">
        <v>#N/A</v>
      </c>
      <c r="G1332" s="526" t="e">
        <v>#N/A</v>
      </c>
      <c r="H1332" s="412" t="e">
        <v>#N/A</v>
      </c>
      <c r="I1332" s="411" t="e">
        <v>#N/A</v>
      </c>
      <c r="J1332" s="411" t="e">
        <v>#N/A</v>
      </c>
      <c r="K1332" s="411" t="e">
        <v>#N/A</v>
      </c>
      <c r="L1332" s="526" t="e">
        <v>#N/A</v>
      </c>
    </row>
    <row r="1333" spans="1:12" ht="15" x14ac:dyDescent="0.25">
      <c r="A1333">
        <v>88691</v>
      </c>
      <c r="B1333" t="e">
        <f t="shared" si="50"/>
        <v>#N/A</v>
      </c>
      <c r="C1333" s="198" t="e">
        <f t="shared" si="51"/>
        <v>#N/A</v>
      </c>
      <c r="D1333" s="526" t="e">
        <v>#N/A</v>
      </c>
      <c r="E1333" s="526" t="e">
        <v>#N/A</v>
      </c>
      <c r="F1333" s="526" t="e">
        <v>#N/A</v>
      </c>
      <c r="G1333" s="526" t="e">
        <v>#N/A</v>
      </c>
      <c r="H1333" s="412" t="e">
        <v>#N/A</v>
      </c>
      <c r="I1333" s="411" t="e">
        <v>#N/A</v>
      </c>
      <c r="J1333" s="411" t="e">
        <v>#N/A</v>
      </c>
      <c r="K1333" s="411" t="e">
        <v>#N/A</v>
      </c>
      <c r="L1333" s="526" t="e">
        <v>#N/A</v>
      </c>
    </row>
    <row r="1334" spans="1:12" ht="15" x14ac:dyDescent="0.25">
      <c r="A1334">
        <v>88699</v>
      </c>
      <c r="B1334" t="e">
        <f t="shared" si="50"/>
        <v>#N/A</v>
      </c>
      <c r="C1334" s="198" t="e">
        <f t="shared" si="51"/>
        <v>#N/A</v>
      </c>
      <c r="D1334" s="526" t="e">
        <v>#N/A</v>
      </c>
      <c r="E1334" s="526" t="e">
        <v>#N/A</v>
      </c>
      <c r="F1334" s="526" t="e">
        <v>#N/A</v>
      </c>
      <c r="G1334" s="526" t="e">
        <v>#N/A</v>
      </c>
      <c r="H1334" s="412" t="e">
        <v>#N/A</v>
      </c>
      <c r="I1334" s="411" t="e">
        <v>#N/A</v>
      </c>
      <c r="J1334" s="411" t="e">
        <v>#N/A</v>
      </c>
      <c r="K1334" s="411" t="e">
        <v>#N/A</v>
      </c>
      <c r="L1334" s="526" t="e">
        <v>#N/A</v>
      </c>
    </row>
    <row r="1335" spans="1:12" ht="15" x14ac:dyDescent="0.25">
      <c r="A1335">
        <v>413734</v>
      </c>
      <c r="B1335" t="str">
        <f t="shared" si="50"/>
        <v/>
      </c>
      <c r="C1335" s="198">
        <f t="shared" si="51"/>
        <v>0</v>
      </c>
      <c r="D1335" s="526" t="s">
        <v>1389</v>
      </c>
      <c r="E1335" s="526" t="s">
        <v>1839</v>
      </c>
      <c r="F1335" s="526" t="s">
        <v>71</v>
      </c>
      <c r="G1335" s="526" t="s">
        <v>5863</v>
      </c>
      <c r="H1335" s="412">
        <v>0</v>
      </c>
      <c r="I1335" s="411">
        <v>0</v>
      </c>
      <c r="J1335" s="411">
        <v>5.6100000000000004E-3</v>
      </c>
      <c r="K1335" s="411">
        <v>0</v>
      </c>
      <c r="L1335" s="526" t="s">
        <v>556</v>
      </c>
    </row>
    <row r="1336" spans="1:12" ht="15" x14ac:dyDescent="0.25">
      <c r="A1336">
        <v>413735</v>
      </c>
      <c r="B1336" t="str">
        <f t="shared" si="50"/>
        <v/>
      </c>
      <c r="C1336" s="198">
        <f t="shared" si="51"/>
        <v>8.7144200000000005</v>
      </c>
      <c r="D1336" s="526" t="s">
        <v>1390</v>
      </c>
      <c r="E1336" s="526" t="s">
        <v>1839</v>
      </c>
      <c r="F1336" s="526" t="s">
        <v>71</v>
      </c>
      <c r="G1336" s="526" t="s">
        <v>5864</v>
      </c>
      <c r="H1336" s="412">
        <v>0</v>
      </c>
      <c r="I1336" s="411">
        <v>8.7144200000000005</v>
      </c>
      <c r="J1336" s="411">
        <v>5.6100000000000004E-3</v>
      </c>
      <c r="K1336" s="411">
        <v>3737.4312599999998</v>
      </c>
      <c r="L1336" s="526" t="s">
        <v>556</v>
      </c>
    </row>
    <row r="1337" spans="1:12" ht="15" x14ac:dyDescent="0.25">
      <c r="A1337">
        <v>413883</v>
      </c>
      <c r="B1337" t="e">
        <f t="shared" si="50"/>
        <v>#N/A</v>
      </c>
      <c r="C1337" s="198" t="e">
        <f t="shared" si="51"/>
        <v>#N/A</v>
      </c>
      <c r="D1337" s="526" t="e">
        <v>#N/A</v>
      </c>
      <c r="E1337" s="526" t="e">
        <v>#N/A</v>
      </c>
      <c r="F1337" s="526" t="e">
        <v>#N/A</v>
      </c>
      <c r="G1337" s="526" t="e">
        <v>#N/A</v>
      </c>
      <c r="H1337" s="412" t="e">
        <v>#N/A</v>
      </c>
      <c r="I1337" s="411" t="e">
        <v>#N/A</v>
      </c>
      <c r="J1337" s="411" t="e">
        <v>#N/A</v>
      </c>
      <c r="K1337" s="411" t="e">
        <v>#N/A</v>
      </c>
      <c r="L1337" s="526" t="e">
        <v>#N/A</v>
      </c>
    </row>
    <row r="1338" spans="1:12" ht="15" x14ac:dyDescent="0.25">
      <c r="A1338">
        <v>413885</v>
      </c>
      <c r="B1338" t="e">
        <f t="shared" si="50"/>
        <v>#N/A</v>
      </c>
      <c r="C1338" s="198" t="e">
        <f t="shared" si="51"/>
        <v>#N/A</v>
      </c>
      <c r="D1338" s="526" t="e">
        <v>#N/A</v>
      </c>
      <c r="E1338" s="526" t="e">
        <v>#N/A</v>
      </c>
      <c r="F1338" s="526" t="e">
        <v>#N/A</v>
      </c>
      <c r="G1338" s="526" t="e">
        <v>#N/A</v>
      </c>
      <c r="H1338" s="412" t="e">
        <v>#N/A</v>
      </c>
      <c r="I1338" s="411" t="e">
        <v>#N/A</v>
      </c>
      <c r="J1338" s="411" t="e">
        <v>#N/A</v>
      </c>
      <c r="K1338" s="411" t="e">
        <v>#N/A</v>
      </c>
      <c r="L1338" s="526" t="e">
        <v>#N/A</v>
      </c>
    </row>
    <row r="1339" spans="1:12" ht="15" x14ac:dyDescent="0.25">
      <c r="A1339">
        <v>414086</v>
      </c>
      <c r="B1339" t="str">
        <f t="shared" si="50"/>
        <v>SEVROLL 05319 maska Elegant II 3m čierna mat</v>
      </c>
      <c r="C1339" s="198">
        <f t="shared" si="51"/>
        <v>5.8366499999999997</v>
      </c>
      <c r="D1339" s="526" t="s">
        <v>1391</v>
      </c>
      <c r="E1339" s="526" t="s">
        <v>1840</v>
      </c>
      <c r="F1339" s="526" t="s">
        <v>5865</v>
      </c>
      <c r="G1339" s="526" t="s">
        <v>5866</v>
      </c>
      <c r="H1339" s="412">
        <v>161.46796000000001</v>
      </c>
      <c r="I1339" s="411">
        <v>5.8366499999999997</v>
      </c>
      <c r="J1339" s="411">
        <v>21.542400000000001</v>
      </c>
      <c r="K1339" s="411">
        <v>2221.8586500000001</v>
      </c>
      <c r="L1339" s="526" t="s">
        <v>553</v>
      </c>
    </row>
    <row r="1340" spans="1:12" ht="15" x14ac:dyDescent="0.25">
      <c r="A1340">
        <v>266722</v>
      </c>
      <c r="B1340" t="e">
        <f t="shared" si="50"/>
        <v>#N/A</v>
      </c>
      <c r="C1340" s="198" t="e">
        <f t="shared" si="51"/>
        <v>#N/A</v>
      </c>
      <c r="D1340" s="526" t="e">
        <v>#N/A</v>
      </c>
      <c r="E1340" s="526" t="e">
        <v>#N/A</v>
      </c>
      <c r="F1340" s="526" t="e">
        <v>#N/A</v>
      </c>
      <c r="G1340" s="526" t="e">
        <v>#N/A</v>
      </c>
      <c r="H1340" s="412" t="e">
        <v>#N/A</v>
      </c>
      <c r="I1340" s="411" t="e">
        <v>#N/A</v>
      </c>
      <c r="J1340" s="411" t="e">
        <v>#N/A</v>
      </c>
      <c r="K1340" s="411" t="e">
        <v>#N/A</v>
      </c>
      <c r="L1340" s="526" t="e">
        <v>#N/A</v>
      </c>
    </row>
    <row r="1341" spans="1:12" ht="15" x14ac:dyDescent="0.25">
      <c r="A1341">
        <v>266723</v>
      </c>
      <c r="B1341" t="e">
        <f t="shared" si="50"/>
        <v>#N/A</v>
      </c>
      <c r="C1341" s="198" t="e">
        <f t="shared" si="51"/>
        <v>#N/A</v>
      </c>
      <c r="D1341" s="526" t="e">
        <v>#N/A</v>
      </c>
      <c r="E1341" s="526" t="e">
        <v>#N/A</v>
      </c>
      <c r="F1341" s="526" t="e">
        <v>#N/A</v>
      </c>
      <c r="G1341" s="526" t="e">
        <v>#N/A</v>
      </c>
      <c r="H1341" s="412" t="e">
        <v>#N/A</v>
      </c>
      <c r="I1341" s="411" t="e">
        <v>#N/A</v>
      </c>
      <c r="J1341" s="411" t="e">
        <v>#N/A</v>
      </c>
      <c r="K1341" s="411" t="e">
        <v>#N/A</v>
      </c>
      <c r="L1341" s="526" t="e">
        <v>#N/A</v>
      </c>
    </row>
    <row r="1342" spans="1:12" ht="15" x14ac:dyDescent="0.25">
      <c r="A1342">
        <v>266741</v>
      </c>
      <c r="B1342" t="e">
        <f t="shared" si="50"/>
        <v>#N/A</v>
      </c>
      <c r="C1342" s="198" t="e">
        <f t="shared" si="51"/>
        <v>#N/A</v>
      </c>
      <c r="D1342" s="526" t="e">
        <v>#N/A</v>
      </c>
      <c r="E1342" s="526" t="e">
        <v>#N/A</v>
      </c>
      <c r="F1342" s="526" t="e">
        <v>#N/A</v>
      </c>
      <c r="G1342" s="526" t="e">
        <v>#N/A</v>
      </c>
      <c r="H1342" s="412" t="e">
        <v>#N/A</v>
      </c>
      <c r="I1342" s="411" t="e">
        <v>#N/A</v>
      </c>
      <c r="J1342" s="411" t="e">
        <v>#N/A</v>
      </c>
      <c r="K1342" s="411" t="e">
        <v>#N/A</v>
      </c>
      <c r="L1342" s="526" t="e">
        <v>#N/A</v>
      </c>
    </row>
    <row r="1343" spans="1:12" ht="15" x14ac:dyDescent="0.25">
      <c r="A1343">
        <v>266742</v>
      </c>
      <c r="B1343" t="e">
        <f t="shared" si="50"/>
        <v>#N/A</v>
      </c>
      <c r="C1343" s="198" t="e">
        <f t="shared" si="51"/>
        <v>#N/A</v>
      </c>
      <c r="D1343" s="526" t="e">
        <v>#N/A</v>
      </c>
      <c r="E1343" s="526" t="e">
        <v>#N/A</v>
      </c>
      <c r="F1343" s="526" t="e">
        <v>#N/A</v>
      </c>
      <c r="G1343" s="526" t="e">
        <v>#N/A</v>
      </c>
      <c r="H1343" s="412" t="e">
        <v>#N/A</v>
      </c>
      <c r="I1343" s="411" t="e">
        <v>#N/A</v>
      </c>
      <c r="J1343" s="411" t="e">
        <v>#N/A</v>
      </c>
      <c r="K1343" s="411" t="e">
        <v>#N/A</v>
      </c>
      <c r="L1343" s="526" t="e">
        <v>#N/A</v>
      </c>
    </row>
    <row r="1344" spans="1:12" ht="15" x14ac:dyDescent="0.25">
      <c r="A1344">
        <v>266745</v>
      </c>
      <c r="B1344" t="e">
        <f t="shared" si="50"/>
        <v>#N/A</v>
      </c>
      <c r="C1344" s="198" t="e">
        <f t="shared" si="51"/>
        <v>#N/A</v>
      </c>
      <c r="D1344" s="526" t="e">
        <v>#N/A</v>
      </c>
      <c r="E1344" s="526" t="e">
        <v>#N/A</v>
      </c>
      <c r="F1344" s="526" t="e">
        <v>#N/A</v>
      </c>
      <c r="G1344" s="526" t="e">
        <v>#N/A</v>
      </c>
      <c r="H1344" s="412" t="e">
        <v>#N/A</v>
      </c>
      <c r="I1344" s="411" t="e">
        <v>#N/A</v>
      </c>
      <c r="J1344" s="411" t="e">
        <v>#N/A</v>
      </c>
      <c r="K1344" s="411" t="e">
        <v>#N/A</v>
      </c>
      <c r="L1344" s="526" t="e">
        <v>#N/A</v>
      </c>
    </row>
    <row r="1345" spans="1:12" ht="15" x14ac:dyDescent="0.25">
      <c r="A1345">
        <v>266994</v>
      </c>
      <c r="B1345" t="e">
        <f t="shared" si="50"/>
        <v>#N/A</v>
      </c>
      <c r="C1345" s="198" t="e">
        <f t="shared" si="51"/>
        <v>#N/A</v>
      </c>
      <c r="D1345" s="526" t="e">
        <v>#N/A</v>
      </c>
      <c r="E1345" s="526" t="e">
        <v>#N/A</v>
      </c>
      <c r="F1345" s="526" t="e">
        <v>#N/A</v>
      </c>
      <c r="G1345" s="526" t="e">
        <v>#N/A</v>
      </c>
      <c r="H1345" s="412" t="e">
        <v>#N/A</v>
      </c>
      <c r="I1345" s="411" t="e">
        <v>#N/A</v>
      </c>
      <c r="J1345" s="411" t="e">
        <v>#N/A</v>
      </c>
      <c r="K1345" s="411" t="e">
        <v>#N/A</v>
      </c>
      <c r="L1345" s="526" t="e">
        <v>#N/A</v>
      </c>
    </row>
    <row r="1346" spans="1:12" ht="15" x14ac:dyDescent="0.25">
      <c r="A1346">
        <v>266995</v>
      </c>
      <c r="B1346" t="e">
        <f t="shared" si="50"/>
        <v>#N/A</v>
      </c>
      <c r="C1346" s="198" t="e">
        <f t="shared" si="51"/>
        <v>#N/A</v>
      </c>
      <c r="D1346" s="526" t="e">
        <v>#N/A</v>
      </c>
      <c r="E1346" s="526" t="e">
        <v>#N/A</v>
      </c>
      <c r="F1346" s="526" t="e">
        <v>#N/A</v>
      </c>
      <c r="G1346" s="526" t="e">
        <v>#N/A</v>
      </c>
      <c r="H1346" s="412" t="e">
        <v>#N/A</v>
      </c>
      <c r="I1346" s="411" t="e">
        <v>#N/A</v>
      </c>
      <c r="J1346" s="411" t="e">
        <v>#N/A</v>
      </c>
      <c r="K1346" s="411" t="e">
        <v>#N/A</v>
      </c>
      <c r="L1346" s="526" t="e">
        <v>#N/A</v>
      </c>
    </row>
    <row r="1347" spans="1:12" ht="15" x14ac:dyDescent="0.25">
      <c r="A1347">
        <v>267011</v>
      </c>
      <c r="B1347" t="e">
        <f t="shared" si="50"/>
        <v>#N/A</v>
      </c>
      <c r="C1347" s="198" t="e">
        <f t="shared" si="51"/>
        <v>#N/A</v>
      </c>
      <c r="D1347" s="526" t="e">
        <v>#N/A</v>
      </c>
      <c r="E1347" s="526" t="e">
        <v>#N/A</v>
      </c>
      <c r="F1347" s="526" t="e">
        <v>#N/A</v>
      </c>
      <c r="G1347" s="526" t="e">
        <v>#N/A</v>
      </c>
      <c r="H1347" s="412" t="e">
        <v>#N/A</v>
      </c>
      <c r="I1347" s="411" t="e">
        <v>#N/A</v>
      </c>
      <c r="J1347" s="411" t="e">
        <v>#N/A</v>
      </c>
      <c r="K1347" s="411" t="e">
        <v>#N/A</v>
      </c>
      <c r="L1347" s="526" t="e">
        <v>#N/A</v>
      </c>
    </row>
    <row r="1348" spans="1:12" ht="15" x14ac:dyDescent="0.25">
      <c r="A1348">
        <v>267012</v>
      </c>
      <c r="B1348" t="e">
        <f t="shared" ref="B1348:B1397" si="52">IF($A$2=1,D1348,IF($A$2=2,F1348,IF($A$2=3,G1348,IF($A$2=4,E1348,"zadat jazyk"))))</f>
        <v>#N/A</v>
      </c>
      <c r="C1348" s="198" t="e">
        <f t="shared" ref="C1348:C1397" si="53">IF($A$2=1,H1348,IF($A$2=2,I1348,IF($A$2=3,J1348,IF($A$2=4,K1348,"zadat jazyk"))))</f>
        <v>#N/A</v>
      </c>
      <c r="D1348" s="526" t="e">
        <v>#N/A</v>
      </c>
      <c r="E1348" s="526" t="e">
        <v>#N/A</v>
      </c>
      <c r="F1348" s="526" t="e">
        <v>#N/A</v>
      </c>
      <c r="G1348" s="526" t="e">
        <v>#N/A</v>
      </c>
      <c r="H1348" s="412" t="e">
        <v>#N/A</v>
      </c>
      <c r="I1348" s="411" t="e">
        <v>#N/A</v>
      </c>
      <c r="J1348" s="411" t="e">
        <v>#N/A</v>
      </c>
      <c r="K1348" s="411" t="e">
        <v>#N/A</v>
      </c>
      <c r="L1348" s="526" t="e">
        <v>#N/A</v>
      </c>
    </row>
    <row r="1349" spans="1:12" ht="15" x14ac:dyDescent="0.25">
      <c r="A1349">
        <v>267013</v>
      </c>
      <c r="B1349" t="e">
        <f t="shared" si="52"/>
        <v>#N/A</v>
      </c>
      <c r="C1349" s="198" t="e">
        <f t="shared" si="53"/>
        <v>#N/A</v>
      </c>
      <c r="D1349" s="526" t="e">
        <v>#N/A</v>
      </c>
      <c r="E1349" s="526" t="e">
        <v>#N/A</v>
      </c>
      <c r="F1349" s="526" t="e">
        <v>#N/A</v>
      </c>
      <c r="G1349" s="526" t="e">
        <v>#N/A</v>
      </c>
      <c r="H1349" s="412" t="e">
        <v>#N/A</v>
      </c>
      <c r="I1349" s="411" t="e">
        <v>#N/A</v>
      </c>
      <c r="J1349" s="411" t="e">
        <v>#N/A</v>
      </c>
      <c r="K1349" s="411" t="e">
        <v>#N/A</v>
      </c>
      <c r="L1349" s="526" t="e">
        <v>#N/A</v>
      </c>
    </row>
    <row r="1350" spans="1:12" ht="15" x14ac:dyDescent="0.25">
      <c r="A1350">
        <v>267014</v>
      </c>
      <c r="B1350" t="e">
        <f t="shared" si="52"/>
        <v>#N/A</v>
      </c>
      <c r="C1350" s="198" t="e">
        <f t="shared" si="53"/>
        <v>#N/A</v>
      </c>
      <c r="D1350" s="526" t="e">
        <v>#N/A</v>
      </c>
      <c r="E1350" s="526" t="e">
        <v>#N/A</v>
      </c>
      <c r="F1350" s="526" t="e">
        <v>#N/A</v>
      </c>
      <c r="G1350" s="526" t="e">
        <v>#N/A</v>
      </c>
      <c r="H1350" s="412" t="e">
        <v>#N/A</v>
      </c>
      <c r="I1350" s="411" t="e">
        <v>#N/A</v>
      </c>
      <c r="J1350" s="411" t="e">
        <v>#N/A</v>
      </c>
      <c r="K1350" s="411" t="e">
        <v>#N/A</v>
      </c>
      <c r="L1350" s="526" t="e">
        <v>#N/A</v>
      </c>
    </row>
    <row r="1351" spans="1:12" ht="15" x14ac:dyDescent="0.25">
      <c r="A1351">
        <v>267015</v>
      </c>
      <c r="B1351" t="e">
        <f t="shared" si="52"/>
        <v>#N/A</v>
      </c>
      <c r="C1351" s="198" t="e">
        <f t="shared" si="53"/>
        <v>#N/A</v>
      </c>
      <c r="D1351" s="526" t="e">
        <v>#N/A</v>
      </c>
      <c r="E1351" s="526" t="e">
        <v>#N/A</v>
      </c>
      <c r="F1351" s="526" t="e">
        <v>#N/A</v>
      </c>
      <c r="G1351" s="526" t="e">
        <v>#N/A</v>
      </c>
      <c r="H1351" s="412" t="e">
        <v>#N/A</v>
      </c>
      <c r="I1351" s="411" t="e">
        <v>#N/A</v>
      </c>
      <c r="J1351" s="411" t="e">
        <v>#N/A</v>
      </c>
      <c r="K1351" s="411" t="e">
        <v>#N/A</v>
      </c>
      <c r="L1351" s="526" t="e">
        <v>#N/A</v>
      </c>
    </row>
    <row r="1352" spans="1:12" ht="15" x14ac:dyDescent="0.25">
      <c r="A1352">
        <v>267016</v>
      </c>
      <c r="B1352" t="e">
        <f t="shared" si="52"/>
        <v>#N/A</v>
      </c>
      <c r="C1352" s="198" t="e">
        <f t="shared" si="53"/>
        <v>#N/A</v>
      </c>
      <c r="D1352" s="526" t="e">
        <v>#N/A</v>
      </c>
      <c r="E1352" s="526" t="e">
        <v>#N/A</v>
      </c>
      <c r="F1352" s="526" t="e">
        <v>#N/A</v>
      </c>
      <c r="G1352" s="526" t="e">
        <v>#N/A</v>
      </c>
      <c r="H1352" s="412" t="e">
        <v>#N/A</v>
      </c>
      <c r="I1352" s="411" t="e">
        <v>#N/A</v>
      </c>
      <c r="J1352" s="411" t="e">
        <v>#N/A</v>
      </c>
      <c r="K1352" s="411" t="e">
        <v>#N/A</v>
      </c>
      <c r="L1352" s="526" t="e">
        <v>#N/A</v>
      </c>
    </row>
    <row r="1353" spans="1:12" ht="15" x14ac:dyDescent="0.25">
      <c r="A1353">
        <v>267338</v>
      </c>
      <c r="B1353" t="e">
        <f t="shared" si="52"/>
        <v>#N/A</v>
      </c>
      <c r="C1353" s="198" t="e">
        <f t="shared" si="53"/>
        <v>#N/A</v>
      </c>
      <c r="D1353" s="526" t="e">
        <v>#N/A</v>
      </c>
      <c r="E1353" s="526" t="e">
        <v>#N/A</v>
      </c>
      <c r="F1353" s="526" t="e">
        <v>#N/A</v>
      </c>
      <c r="G1353" s="526" t="e">
        <v>#N/A</v>
      </c>
      <c r="H1353" s="412" t="e">
        <v>#N/A</v>
      </c>
      <c r="I1353" s="411" t="e">
        <v>#N/A</v>
      </c>
      <c r="J1353" s="411" t="e">
        <v>#N/A</v>
      </c>
      <c r="K1353" s="411" t="e">
        <v>#N/A</v>
      </c>
      <c r="L1353" s="526" t="e">
        <v>#N/A</v>
      </c>
    </row>
    <row r="1354" spans="1:12" ht="15" x14ac:dyDescent="0.25">
      <c r="A1354">
        <v>267339</v>
      </c>
      <c r="B1354" t="e">
        <f t="shared" si="52"/>
        <v>#N/A</v>
      </c>
      <c r="C1354" s="198" t="e">
        <f t="shared" si="53"/>
        <v>#N/A</v>
      </c>
      <c r="D1354" s="526" t="e">
        <v>#N/A</v>
      </c>
      <c r="E1354" s="526" t="e">
        <v>#N/A</v>
      </c>
      <c r="F1354" s="526" t="e">
        <v>#N/A</v>
      </c>
      <c r="G1354" s="526" t="e">
        <v>#N/A</v>
      </c>
      <c r="H1354" s="412" t="e">
        <v>#N/A</v>
      </c>
      <c r="I1354" s="411" t="e">
        <v>#N/A</v>
      </c>
      <c r="J1354" s="411" t="e">
        <v>#N/A</v>
      </c>
      <c r="K1354" s="411" t="e">
        <v>#N/A</v>
      </c>
      <c r="L1354" s="526" t="e">
        <v>#N/A</v>
      </c>
    </row>
    <row r="1355" spans="1:12" ht="15" x14ac:dyDescent="0.25">
      <c r="A1355">
        <v>267340</v>
      </c>
      <c r="B1355" t="e">
        <f t="shared" si="52"/>
        <v>#N/A</v>
      </c>
      <c r="C1355" s="198" t="e">
        <f t="shared" si="53"/>
        <v>#N/A</v>
      </c>
      <c r="D1355" s="526" t="e">
        <v>#N/A</v>
      </c>
      <c r="E1355" s="526" t="e">
        <v>#N/A</v>
      </c>
      <c r="F1355" s="526" t="e">
        <v>#N/A</v>
      </c>
      <c r="G1355" s="526" t="e">
        <v>#N/A</v>
      </c>
      <c r="H1355" s="412" t="e">
        <v>#N/A</v>
      </c>
      <c r="I1355" s="411" t="e">
        <v>#N/A</v>
      </c>
      <c r="J1355" s="411" t="e">
        <v>#N/A</v>
      </c>
      <c r="K1355" s="411" t="e">
        <v>#N/A</v>
      </c>
      <c r="L1355" s="526" t="e">
        <v>#N/A</v>
      </c>
    </row>
    <row r="1356" spans="1:12" ht="15" x14ac:dyDescent="0.25">
      <c r="A1356">
        <v>267341</v>
      </c>
      <c r="B1356" t="e">
        <f t="shared" si="52"/>
        <v>#N/A</v>
      </c>
      <c r="C1356" s="198" t="e">
        <f t="shared" si="53"/>
        <v>#N/A</v>
      </c>
      <c r="D1356" s="526" t="e">
        <v>#N/A</v>
      </c>
      <c r="E1356" s="526" t="e">
        <v>#N/A</v>
      </c>
      <c r="F1356" s="526" t="e">
        <v>#N/A</v>
      </c>
      <c r="G1356" s="526" t="e">
        <v>#N/A</v>
      </c>
      <c r="H1356" s="412" t="e">
        <v>#N/A</v>
      </c>
      <c r="I1356" s="411" t="e">
        <v>#N/A</v>
      </c>
      <c r="J1356" s="411" t="e">
        <v>#N/A</v>
      </c>
      <c r="K1356" s="411" t="e">
        <v>#N/A</v>
      </c>
      <c r="L1356" s="526" t="e">
        <v>#N/A</v>
      </c>
    </row>
    <row r="1357" spans="1:12" ht="15" x14ac:dyDescent="0.25">
      <c r="A1357">
        <v>267342</v>
      </c>
      <c r="B1357" t="e">
        <f t="shared" si="52"/>
        <v>#N/A</v>
      </c>
      <c r="C1357" s="198" t="e">
        <f t="shared" si="53"/>
        <v>#N/A</v>
      </c>
      <c r="D1357" s="526" t="e">
        <v>#N/A</v>
      </c>
      <c r="E1357" s="526" t="e">
        <v>#N/A</v>
      </c>
      <c r="F1357" s="526" t="e">
        <v>#N/A</v>
      </c>
      <c r="G1357" s="526" t="e">
        <v>#N/A</v>
      </c>
      <c r="H1357" s="412" t="e">
        <v>#N/A</v>
      </c>
      <c r="I1357" s="411" t="e">
        <v>#N/A</v>
      </c>
      <c r="J1357" s="411" t="e">
        <v>#N/A</v>
      </c>
      <c r="K1357" s="411" t="e">
        <v>#N/A</v>
      </c>
      <c r="L1357" s="526" t="e">
        <v>#N/A</v>
      </c>
    </row>
    <row r="1358" spans="1:12" ht="15" x14ac:dyDescent="0.25">
      <c r="A1358">
        <v>267555</v>
      </c>
      <c r="B1358" t="e">
        <f t="shared" si="52"/>
        <v>#N/A</v>
      </c>
      <c r="C1358" s="198" t="e">
        <f t="shared" si="53"/>
        <v>#N/A</v>
      </c>
      <c r="D1358" s="526" t="e">
        <v>#N/A</v>
      </c>
      <c r="E1358" s="526" t="e">
        <v>#N/A</v>
      </c>
      <c r="F1358" s="526" t="e">
        <v>#N/A</v>
      </c>
      <c r="G1358" s="526" t="e">
        <v>#N/A</v>
      </c>
      <c r="H1358" s="412" t="e">
        <v>#N/A</v>
      </c>
      <c r="I1358" s="411" t="e">
        <v>#N/A</v>
      </c>
      <c r="J1358" s="411" t="e">
        <v>#N/A</v>
      </c>
      <c r="K1358" s="411" t="e">
        <v>#N/A</v>
      </c>
      <c r="L1358" s="526" t="e">
        <v>#N/A</v>
      </c>
    </row>
    <row r="1359" spans="1:12" ht="15" x14ac:dyDescent="0.25">
      <c r="A1359">
        <v>267566</v>
      </c>
      <c r="B1359" t="e">
        <f t="shared" si="52"/>
        <v>#N/A</v>
      </c>
      <c r="C1359" s="198" t="e">
        <f t="shared" si="53"/>
        <v>#N/A</v>
      </c>
      <c r="D1359" s="526" t="e">
        <v>#N/A</v>
      </c>
      <c r="E1359" s="526" t="e">
        <v>#N/A</v>
      </c>
      <c r="F1359" s="526" t="e">
        <v>#N/A</v>
      </c>
      <c r="G1359" s="526" t="e">
        <v>#N/A</v>
      </c>
      <c r="H1359" s="412" t="e">
        <v>#N/A</v>
      </c>
      <c r="I1359" s="411" t="e">
        <v>#N/A</v>
      </c>
      <c r="J1359" s="411" t="e">
        <v>#N/A</v>
      </c>
      <c r="K1359" s="411" t="e">
        <v>#N/A</v>
      </c>
      <c r="L1359" s="526" t="e">
        <v>#N/A</v>
      </c>
    </row>
    <row r="1360" spans="1:12" ht="15" x14ac:dyDescent="0.25">
      <c r="A1360">
        <v>267881</v>
      </c>
      <c r="B1360" t="e">
        <f t="shared" si="52"/>
        <v>#N/A</v>
      </c>
      <c r="C1360" s="198" t="e">
        <f t="shared" si="53"/>
        <v>#N/A</v>
      </c>
      <c r="D1360" s="526" t="e">
        <v>#N/A</v>
      </c>
      <c r="E1360" s="526" t="e">
        <v>#N/A</v>
      </c>
      <c r="F1360" s="526" t="e">
        <v>#N/A</v>
      </c>
      <c r="G1360" s="526" t="e">
        <v>#N/A</v>
      </c>
      <c r="H1360" s="412" t="e">
        <v>#N/A</v>
      </c>
      <c r="I1360" s="411" t="e">
        <v>#N/A</v>
      </c>
      <c r="J1360" s="411" t="e">
        <v>#N/A</v>
      </c>
      <c r="K1360" s="411" t="e">
        <v>#N/A</v>
      </c>
      <c r="L1360" s="526" t="e">
        <v>#N/A</v>
      </c>
    </row>
    <row r="1361" spans="1:12" ht="15" x14ac:dyDescent="0.25">
      <c r="A1361">
        <v>267942</v>
      </c>
      <c r="B1361" t="e">
        <f t="shared" si="52"/>
        <v>#N/A</v>
      </c>
      <c r="C1361" s="198" t="e">
        <f t="shared" si="53"/>
        <v>#N/A</v>
      </c>
      <c r="D1361" s="526" t="e">
        <v>#N/A</v>
      </c>
      <c r="E1361" s="526" t="e">
        <v>#N/A</v>
      </c>
      <c r="F1361" s="526" t="e">
        <v>#N/A</v>
      </c>
      <c r="G1361" s="526" t="e">
        <v>#N/A</v>
      </c>
      <c r="H1361" s="412" t="e">
        <v>#N/A</v>
      </c>
      <c r="I1361" s="411" t="e">
        <v>#N/A</v>
      </c>
      <c r="J1361" s="411" t="e">
        <v>#N/A</v>
      </c>
      <c r="K1361" s="411" t="e">
        <v>#N/A</v>
      </c>
      <c r="L1361" s="526" t="e">
        <v>#N/A</v>
      </c>
    </row>
    <row r="1362" spans="1:12" ht="15" x14ac:dyDescent="0.25">
      <c r="A1362">
        <v>268674</v>
      </c>
      <c r="B1362" t="e">
        <f t="shared" si="52"/>
        <v>#N/A</v>
      </c>
      <c r="C1362" s="198" t="e">
        <f t="shared" si="53"/>
        <v>#N/A</v>
      </c>
      <c r="D1362" s="526" t="e">
        <v>#N/A</v>
      </c>
      <c r="E1362" s="526" t="e">
        <v>#N/A</v>
      </c>
      <c r="F1362" s="526" t="e">
        <v>#N/A</v>
      </c>
      <c r="G1362" s="526" t="e">
        <v>#N/A</v>
      </c>
      <c r="H1362" s="412" t="e">
        <v>#N/A</v>
      </c>
      <c r="I1362" s="411" t="e">
        <v>#N/A</v>
      </c>
      <c r="J1362" s="411" t="e">
        <v>#N/A</v>
      </c>
      <c r="K1362" s="411" t="e">
        <v>#N/A</v>
      </c>
      <c r="L1362" s="526" t="e">
        <v>#N/A</v>
      </c>
    </row>
    <row r="1363" spans="1:12" ht="15" x14ac:dyDescent="0.25">
      <c r="A1363">
        <v>268675</v>
      </c>
      <c r="B1363" t="e">
        <f t="shared" si="52"/>
        <v>#N/A</v>
      </c>
      <c r="C1363" s="198" t="e">
        <f t="shared" si="53"/>
        <v>#N/A</v>
      </c>
      <c r="D1363" s="526" t="e">
        <v>#N/A</v>
      </c>
      <c r="E1363" s="526" t="e">
        <v>#N/A</v>
      </c>
      <c r="F1363" s="526" t="e">
        <v>#N/A</v>
      </c>
      <c r="G1363" s="526" t="e">
        <v>#N/A</v>
      </c>
      <c r="H1363" s="412" t="e">
        <v>#N/A</v>
      </c>
      <c r="I1363" s="411" t="e">
        <v>#N/A</v>
      </c>
      <c r="J1363" s="411" t="e">
        <v>#N/A</v>
      </c>
      <c r="K1363" s="411" t="e">
        <v>#N/A</v>
      </c>
      <c r="L1363" s="526" t="e">
        <v>#N/A</v>
      </c>
    </row>
    <row r="1364" spans="1:12" ht="15" x14ac:dyDescent="0.25">
      <c r="A1364">
        <v>268676</v>
      </c>
      <c r="B1364" t="e">
        <f t="shared" si="52"/>
        <v>#N/A</v>
      </c>
      <c r="C1364" s="198" t="e">
        <f t="shared" si="53"/>
        <v>#N/A</v>
      </c>
      <c r="D1364" s="526" t="e">
        <v>#N/A</v>
      </c>
      <c r="E1364" s="526" t="e">
        <v>#N/A</v>
      </c>
      <c r="F1364" s="526" t="e">
        <v>#N/A</v>
      </c>
      <c r="G1364" s="526" t="e">
        <v>#N/A</v>
      </c>
      <c r="H1364" s="412" t="e">
        <v>#N/A</v>
      </c>
      <c r="I1364" s="411" t="e">
        <v>#N/A</v>
      </c>
      <c r="J1364" s="411" t="e">
        <v>#N/A</v>
      </c>
      <c r="K1364" s="411" t="e">
        <v>#N/A</v>
      </c>
      <c r="L1364" s="526" t="e">
        <v>#N/A</v>
      </c>
    </row>
    <row r="1365" spans="1:12" ht="15" x14ac:dyDescent="0.25">
      <c r="A1365">
        <v>268677</v>
      </c>
      <c r="B1365" t="e">
        <f t="shared" si="52"/>
        <v>#N/A</v>
      </c>
      <c r="C1365" s="198" t="e">
        <f t="shared" si="53"/>
        <v>#N/A</v>
      </c>
      <c r="D1365" s="526" t="e">
        <v>#N/A</v>
      </c>
      <c r="E1365" s="526" t="e">
        <v>#N/A</v>
      </c>
      <c r="F1365" s="526" t="e">
        <v>#N/A</v>
      </c>
      <c r="G1365" s="526" t="e">
        <v>#N/A</v>
      </c>
      <c r="H1365" s="412" t="e">
        <v>#N/A</v>
      </c>
      <c r="I1365" s="411" t="e">
        <v>#N/A</v>
      </c>
      <c r="J1365" s="411" t="e">
        <v>#N/A</v>
      </c>
      <c r="K1365" s="411" t="e">
        <v>#N/A</v>
      </c>
      <c r="L1365" s="526" t="e">
        <v>#N/A</v>
      </c>
    </row>
    <row r="1366" spans="1:12" ht="15" x14ac:dyDescent="0.25">
      <c r="A1366">
        <v>268938</v>
      </c>
      <c r="B1366" t="e">
        <f t="shared" si="52"/>
        <v>#N/A</v>
      </c>
      <c r="C1366" s="198" t="e">
        <f t="shared" si="53"/>
        <v>#N/A</v>
      </c>
      <c r="D1366" s="526" t="e">
        <v>#N/A</v>
      </c>
      <c r="E1366" s="526" t="e">
        <v>#N/A</v>
      </c>
      <c r="F1366" s="526" t="e">
        <v>#N/A</v>
      </c>
      <c r="G1366" s="526" t="e">
        <v>#N/A</v>
      </c>
      <c r="H1366" s="412" t="e">
        <v>#N/A</v>
      </c>
      <c r="I1366" s="411" t="e">
        <v>#N/A</v>
      </c>
      <c r="J1366" s="411" t="e">
        <v>#N/A</v>
      </c>
      <c r="K1366" s="411" t="e">
        <v>#N/A</v>
      </c>
      <c r="L1366" s="526" t="e">
        <v>#N/A</v>
      </c>
    </row>
    <row r="1367" spans="1:12" ht="15" x14ac:dyDescent="0.25">
      <c r="A1367">
        <v>268939</v>
      </c>
      <c r="B1367" t="e">
        <f t="shared" si="52"/>
        <v>#N/A</v>
      </c>
      <c r="C1367" s="198" t="e">
        <f t="shared" si="53"/>
        <v>#N/A</v>
      </c>
      <c r="D1367" s="526" t="e">
        <v>#N/A</v>
      </c>
      <c r="E1367" s="526" t="e">
        <v>#N/A</v>
      </c>
      <c r="F1367" s="526" t="e">
        <v>#N/A</v>
      </c>
      <c r="G1367" s="526" t="e">
        <v>#N/A</v>
      </c>
      <c r="H1367" s="412" t="e">
        <v>#N/A</v>
      </c>
      <c r="I1367" s="411" t="e">
        <v>#N/A</v>
      </c>
      <c r="J1367" s="411" t="e">
        <v>#N/A</v>
      </c>
      <c r="K1367" s="411" t="e">
        <v>#N/A</v>
      </c>
      <c r="L1367" s="526" t="e">
        <v>#N/A</v>
      </c>
    </row>
    <row r="1368" spans="1:12" ht="15" x14ac:dyDescent="0.25">
      <c r="A1368">
        <v>390594</v>
      </c>
      <c r="B1368" t="e">
        <f t="shared" si="52"/>
        <v>#N/A</v>
      </c>
      <c r="C1368" s="198" t="e">
        <f t="shared" si="53"/>
        <v>#N/A</v>
      </c>
      <c r="D1368" s="526" t="e">
        <v>#N/A</v>
      </c>
      <c r="E1368" s="526" t="e">
        <v>#N/A</v>
      </c>
      <c r="F1368" s="526" t="e">
        <v>#N/A</v>
      </c>
      <c r="G1368" s="526" t="e">
        <v>#N/A</v>
      </c>
      <c r="H1368" s="412" t="e">
        <v>#N/A</v>
      </c>
      <c r="I1368" s="411" t="e">
        <v>#N/A</v>
      </c>
      <c r="J1368" s="411" t="e">
        <v>#N/A</v>
      </c>
      <c r="K1368" s="411" t="e">
        <v>#N/A</v>
      </c>
      <c r="L1368" s="526" t="e">
        <v>#N/A</v>
      </c>
    </row>
    <row r="1369" spans="1:12" ht="15" x14ac:dyDescent="0.25">
      <c r="A1369">
        <v>390595</v>
      </c>
      <c r="B1369" t="e">
        <f t="shared" si="52"/>
        <v>#N/A</v>
      </c>
      <c r="C1369" s="198" t="e">
        <f t="shared" si="53"/>
        <v>#N/A</v>
      </c>
      <c r="D1369" s="526" t="e">
        <v>#N/A</v>
      </c>
      <c r="E1369" s="526" t="e">
        <v>#N/A</v>
      </c>
      <c r="F1369" s="526" t="e">
        <v>#N/A</v>
      </c>
      <c r="G1369" s="526" t="e">
        <v>#N/A</v>
      </c>
      <c r="H1369" s="412" t="e">
        <v>#N/A</v>
      </c>
      <c r="I1369" s="411" t="e">
        <v>#N/A</v>
      </c>
      <c r="J1369" s="411" t="e">
        <v>#N/A</v>
      </c>
      <c r="K1369" s="411" t="e">
        <v>#N/A</v>
      </c>
      <c r="L1369" s="526" t="e">
        <v>#N/A</v>
      </c>
    </row>
    <row r="1370" spans="1:12" ht="15" x14ac:dyDescent="0.25">
      <c r="A1370">
        <v>390596</v>
      </c>
      <c r="B1370" t="e">
        <f t="shared" si="52"/>
        <v>#N/A</v>
      </c>
      <c r="C1370" s="198" t="e">
        <f t="shared" si="53"/>
        <v>#N/A</v>
      </c>
      <c r="D1370" s="526" t="e">
        <v>#N/A</v>
      </c>
      <c r="E1370" s="526" t="e">
        <v>#N/A</v>
      </c>
      <c r="F1370" s="526" t="e">
        <v>#N/A</v>
      </c>
      <c r="G1370" s="526" t="e">
        <v>#N/A</v>
      </c>
      <c r="H1370" s="412" t="e">
        <v>#N/A</v>
      </c>
      <c r="I1370" s="411" t="e">
        <v>#N/A</v>
      </c>
      <c r="J1370" s="411" t="e">
        <v>#N/A</v>
      </c>
      <c r="K1370" s="411" t="e">
        <v>#N/A</v>
      </c>
      <c r="L1370" s="526" t="e">
        <v>#N/A</v>
      </c>
    </row>
    <row r="1371" spans="1:12" ht="15" x14ac:dyDescent="0.25">
      <c r="A1371">
        <v>390597</v>
      </c>
      <c r="B1371" t="e">
        <f t="shared" si="52"/>
        <v>#N/A</v>
      </c>
      <c r="C1371" s="198" t="e">
        <f t="shared" si="53"/>
        <v>#N/A</v>
      </c>
      <c r="D1371" s="526" t="e">
        <v>#N/A</v>
      </c>
      <c r="E1371" s="526" t="e">
        <v>#N/A</v>
      </c>
      <c r="F1371" s="526" t="e">
        <v>#N/A</v>
      </c>
      <c r="G1371" s="526" t="e">
        <v>#N/A</v>
      </c>
      <c r="H1371" s="412" t="e">
        <v>#N/A</v>
      </c>
      <c r="I1371" s="411" t="e">
        <v>#N/A</v>
      </c>
      <c r="J1371" s="411" t="e">
        <v>#N/A</v>
      </c>
      <c r="K1371" s="411" t="e">
        <v>#N/A</v>
      </c>
      <c r="L1371" s="526" t="e">
        <v>#N/A</v>
      </c>
    </row>
    <row r="1372" spans="1:12" ht="15" x14ac:dyDescent="0.25">
      <c r="A1372">
        <v>390598</v>
      </c>
      <c r="B1372" t="e">
        <f t="shared" si="52"/>
        <v>#N/A</v>
      </c>
      <c r="C1372" s="198" t="e">
        <f t="shared" si="53"/>
        <v>#N/A</v>
      </c>
      <c r="D1372" s="526" t="e">
        <v>#N/A</v>
      </c>
      <c r="E1372" s="526" t="e">
        <v>#N/A</v>
      </c>
      <c r="F1372" s="526" t="e">
        <v>#N/A</v>
      </c>
      <c r="G1372" s="526" t="e">
        <v>#N/A</v>
      </c>
      <c r="H1372" s="412" t="e">
        <v>#N/A</v>
      </c>
      <c r="I1372" s="411" t="e">
        <v>#N/A</v>
      </c>
      <c r="J1372" s="411" t="e">
        <v>#N/A</v>
      </c>
      <c r="K1372" s="411" t="e">
        <v>#N/A</v>
      </c>
      <c r="L1372" s="526" t="e">
        <v>#N/A</v>
      </c>
    </row>
    <row r="1373" spans="1:12" ht="15" x14ac:dyDescent="0.25">
      <c r="A1373">
        <v>390599</v>
      </c>
      <c r="B1373" t="e">
        <f t="shared" si="52"/>
        <v>#N/A</v>
      </c>
      <c r="C1373" s="198" t="e">
        <f t="shared" si="53"/>
        <v>#N/A</v>
      </c>
      <c r="D1373" s="526" t="e">
        <v>#N/A</v>
      </c>
      <c r="E1373" s="526" t="e">
        <v>#N/A</v>
      </c>
      <c r="F1373" s="526" t="e">
        <v>#N/A</v>
      </c>
      <c r="G1373" s="526" t="e">
        <v>#N/A</v>
      </c>
      <c r="H1373" s="412" t="e">
        <v>#N/A</v>
      </c>
      <c r="I1373" s="411" t="e">
        <v>#N/A</v>
      </c>
      <c r="J1373" s="411" t="e">
        <v>#N/A</v>
      </c>
      <c r="K1373" s="411" t="e">
        <v>#N/A</v>
      </c>
      <c r="L1373" s="526" t="e">
        <v>#N/A</v>
      </c>
    </row>
    <row r="1374" spans="1:12" ht="15" x14ac:dyDescent="0.25">
      <c r="A1374">
        <v>390600</v>
      </c>
      <c r="B1374" t="e">
        <f t="shared" si="52"/>
        <v>#N/A</v>
      </c>
      <c r="C1374" s="198" t="e">
        <f t="shared" si="53"/>
        <v>#N/A</v>
      </c>
      <c r="D1374" s="526" t="e">
        <v>#N/A</v>
      </c>
      <c r="E1374" s="526" t="e">
        <v>#N/A</v>
      </c>
      <c r="F1374" s="526" t="e">
        <v>#N/A</v>
      </c>
      <c r="G1374" s="526" t="e">
        <v>#N/A</v>
      </c>
      <c r="H1374" s="412" t="e">
        <v>#N/A</v>
      </c>
      <c r="I1374" s="411" t="e">
        <v>#N/A</v>
      </c>
      <c r="J1374" s="411" t="e">
        <v>#N/A</v>
      </c>
      <c r="K1374" s="411" t="e">
        <v>#N/A</v>
      </c>
      <c r="L1374" s="526" t="e">
        <v>#N/A</v>
      </c>
    </row>
    <row r="1375" spans="1:12" ht="15" x14ac:dyDescent="0.25">
      <c r="A1375">
        <v>390601</v>
      </c>
      <c r="B1375" t="e">
        <f t="shared" si="52"/>
        <v>#N/A</v>
      </c>
      <c r="C1375" s="198" t="e">
        <f t="shared" si="53"/>
        <v>#N/A</v>
      </c>
      <c r="D1375" s="526" t="e">
        <v>#N/A</v>
      </c>
      <c r="E1375" s="526" t="e">
        <v>#N/A</v>
      </c>
      <c r="F1375" s="526" t="e">
        <v>#N/A</v>
      </c>
      <c r="G1375" s="526" t="e">
        <v>#N/A</v>
      </c>
      <c r="H1375" s="412" t="e">
        <v>#N/A</v>
      </c>
      <c r="I1375" s="411" t="e">
        <v>#N/A</v>
      </c>
      <c r="J1375" s="411" t="e">
        <v>#N/A</v>
      </c>
      <c r="K1375" s="411" t="e">
        <v>#N/A</v>
      </c>
      <c r="L1375" s="526" t="e">
        <v>#N/A</v>
      </c>
    </row>
    <row r="1376" spans="1:12" ht="15" x14ac:dyDescent="0.25">
      <c r="A1376">
        <v>390800</v>
      </c>
      <c r="B1376" t="e">
        <f t="shared" si="52"/>
        <v>#N/A</v>
      </c>
      <c r="C1376" s="198" t="e">
        <f t="shared" si="53"/>
        <v>#N/A</v>
      </c>
      <c r="D1376" s="526" t="e">
        <v>#N/A</v>
      </c>
      <c r="E1376" s="526" t="e">
        <v>#N/A</v>
      </c>
      <c r="F1376" s="526" t="e">
        <v>#N/A</v>
      </c>
      <c r="G1376" s="526" t="e">
        <v>#N/A</v>
      </c>
      <c r="H1376" s="412" t="e">
        <v>#N/A</v>
      </c>
      <c r="I1376" s="411" t="e">
        <v>#N/A</v>
      </c>
      <c r="J1376" s="411" t="e">
        <v>#N/A</v>
      </c>
      <c r="K1376" s="411" t="e">
        <v>#N/A</v>
      </c>
      <c r="L1376" s="526" t="e">
        <v>#N/A</v>
      </c>
    </row>
    <row r="1377" spans="1:12" ht="15" x14ac:dyDescent="0.25">
      <c r="A1377">
        <v>390801</v>
      </c>
      <c r="B1377" t="e">
        <f t="shared" si="52"/>
        <v>#N/A</v>
      </c>
      <c r="C1377" s="198" t="e">
        <f t="shared" si="53"/>
        <v>#N/A</v>
      </c>
      <c r="D1377" s="526" t="e">
        <v>#N/A</v>
      </c>
      <c r="E1377" s="526" t="e">
        <v>#N/A</v>
      </c>
      <c r="F1377" s="526" t="e">
        <v>#N/A</v>
      </c>
      <c r="G1377" s="526" t="e">
        <v>#N/A</v>
      </c>
      <c r="H1377" s="412" t="e">
        <v>#N/A</v>
      </c>
      <c r="I1377" s="411" t="e">
        <v>#N/A</v>
      </c>
      <c r="J1377" s="411" t="e">
        <v>#N/A</v>
      </c>
      <c r="K1377" s="411" t="e">
        <v>#N/A</v>
      </c>
      <c r="L1377" s="526" t="e">
        <v>#N/A</v>
      </c>
    </row>
    <row r="1378" spans="1:12" ht="15" x14ac:dyDescent="0.25">
      <c r="A1378">
        <v>390802</v>
      </c>
      <c r="B1378" t="e">
        <f t="shared" si="52"/>
        <v>#N/A</v>
      </c>
      <c r="C1378" s="198" t="e">
        <f t="shared" si="53"/>
        <v>#N/A</v>
      </c>
      <c r="D1378" s="526" t="e">
        <v>#N/A</v>
      </c>
      <c r="E1378" s="526" t="e">
        <v>#N/A</v>
      </c>
      <c r="F1378" s="526" t="e">
        <v>#N/A</v>
      </c>
      <c r="G1378" s="526" t="e">
        <v>#N/A</v>
      </c>
      <c r="H1378" s="412" t="e">
        <v>#N/A</v>
      </c>
      <c r="I1378" s="411" t="e">
        <v>#N/A</v>
      </c>
      <c r="J1378" s="411" t="e">
        <v>#N/A</v>
      </c>
      <c r="K1378" s="411" t="e">
        <v>#N/A</v>
      </c>
      <c r="L1378" s="526" t="e">
        <v>#N/A</v>
      </c>
    </row>
    <row r="1379" spans="1:12" ht="15" x14ac:dyDescent="0.25">
      <c r="A1379">
        <v>390803</v>
      </c>
      <c r="B1379" t="e">
        <f t="shared" si="52"/>
        <v>#N/A</v>
      </c>
      <c r="C1379" s="198" t="e">
        <f t="shared" si="53"/>
        <v>#N/A</v>
      </c>
      <c r="D1379" s="526" t="e">
        <v>#N/A</v>
      </c>
      <c r="E1379" s="526" t="e">
        <v>#N/A</v>
      </c>
      <c r="F1379" s="526" t="e">
        <v>#N/A</v>
      </c>
      <c r="G1379" s="526" t="e">
        <v>#N/A</v>
      </c>
      <c r="H1379" s="412" t="e">
        <v>#N/A</v>
      </c>
      <c r="I1379" s="411" t="e">
        <v>#N/A</v>
      </c>
      <c r="J1379" s="411" t="e">
        <v>#N/A</v>
      </c>
      <c r="K1379" s="411" t="e">
        <v>#N/A</v>
      </c>
      <c r="L1379" s="526" t="e">
        <v>#N/A</v>
      </c>
    </row>
    <row r="1380" spans="1:12" ht="15" x14ac:dyDescent="0.25">
      <c r="A1380">
        <v>390804</v>
      </c>
      <c r="B1380" t="e">
        <f t="shared" si="52"/>
        <v>#N/A</v>
      </c>
      <c r="C1380" s="198" t="e">
        <f t="shared" si="53"/>
        <v>#N/A</v>
      </c>
      <c r="D1380" s="526" t="e">
        <v>#N/A</v>
      </c>
      <c r="E1380" s="526" t="e">
        <v>#N/A</v>
      </c>
      <c r="F1380" s="526" t="e">
        <v>#N/A</v>
      </c>
      <c r="G1380" s="526" t="e">
        <v>#N/A</v>
      </c>
      <c r="H1380" s="412" t="e">
        <v>#N/A</v>
      </c>
      <c r="I1380" s="411" t="e">
        <v>#N/A</v>
      </c>
      <c r="J1380" s="411" t="e">
        <v>#N/A</v>
      </c>
      <c r="K1380" s="411" t="e">
        <v>#N/A</v>
      </c>
      <c r="L1380" s="526" t="e">
        <v>#N/A</v>
      </c>
    </row>
    <row r="1381" spans="1:12" ht="15" x14ac:dyDescent="0.25">
      <c r="A1381">
        <v>390805</v>
      </c>
      <c r="B1381" t="e">
        <f t="shared" si="52"/>
        <v>#N/A</v>
      </c>
      <c r="C1381" s="198" t="e">
        <f t="shared" si="53"/>
        <v>#N/A</v>
      </c>
      <c r="D1381" s="526" t="e">
        <v>#N/A</v>
      </c>
      <c r="E1381" s="526" t="e">
        <v>#N/A</v>
      </c>
      <c r="F1381" s="526" t="e">
        <v>#N/A</v>
      </c>
      <c r="G1381" s="526" t="e">
        <v>#N/A</v>
      </c>
      <c r="H1381" s="412" t="e">
        <v>#N/A</v>
      </c>
      <c r="I1381" s="411" t="e">
        <v>#N/A</v>
      </c>
      <c r="J1381" s="411" t="e">
        <v>#N/A</v>
      </c>
      <c r="K1381" s="411" t="e">
        <v>#N/A</v>
      </c>
      <c r="L1381" s="526" t="e">
        <v>#N/A</v>
      </c>
    </row>
    <row r="1382" spans="1:12" ht="15" x14ac:dyDescent="0.25">
      <c r="A1382">
        <v>390806</v>
      </c>
      <c r="B1382" t="e">
        <f t="shared" si="52"/>
        <v>#N/A</v>
      </c>
      <c r="C1382" s="198" t="e">
        <f t="shared" si="53"/>
        <v>#N/A</v>
      </c>
      <c r="D1382" s="526" t="e">
        <v>#N/A</v>
      </c>
      <c r="E1382" s="526" t="e">
        <v>#N/A</v>
      </c>
      <c r="F1382" s="526" t="e">
        <v>#N/A</v>
      </c>
      <c r="G1382" s="526" t="e">
        <v>#N/A</v>
      </c>
      <c r="H1382" s="412" t="e">
        <v>#N/A</v>
      </c>
      <c r="I1382" s="411" t="e">
        <v>#N/A</v>
      </c>
      <c r="J1382" s="411" t="e">
        <v>#N/A</v>
      </c>
      <c r="K1382" s="411" t="e">
        <v>#N/A</v>
      </c>
      <c r="L1382" s="526" t="e">
        <v>#N/A</v>
      </c>
    </row>
    <row r="1383" spans="1:12" ht="15" x14ac:dyDescent="0.25">
      <c r="A1383">
        <v>390807</v>
      </c>
      <c r="B1383" t="e">
        <f t="shared" si="52"/>
        <v>#N/A</v>
      </c>
      <c r="C1383" s="198" t="e">
        <f t="shared" si="53"/>
        <v>#N/A</v>
      </c>
      <c r="D1383" s="526" t="e">
        <v>#N/A</v>
      </c>
      <c r="E1383" s="526" t="e">
        <v>#N/A</v>
      </c>
      <c r="F1383" s="526" t="e">
        <v>#N/A</v>
      </c>
      <c r="G1383" s="526" t="e">
        <v>#N/A</v>
      </c>
      <c r="H1383" s="412" t="e">
        <v>#N/A</v>
      </c>
      <c r="I1383" s="411" t="e">
        <v>#N/A</v>
      </c>
      <c r="J1383" s="411" t="e">
        <v>#N/A</v>
      </c>
      <c r="K1383" s="411" t="e">
        <v>#N/A</v>
      </c>
      <c r="L1383" s="526" t="e">
        <v>#N/A</v>
      </c>
    </row>
    <row r="1384" spans="1:12" ht="15" x14ac:dyDescent="0.25">
      <c r="A1384">
        <v>390808</v>
      </c>
      <c r="B1384" t="e">
        <f t="shared" si="52"/>
        <v>#N/A</v>
      </c>
      <c r="C1384" s="198" t="e">
        <f t="shared" si="53"/>
        <v>#N/A</v>
      </c>
      <c r="D1384" s="526" t="e">
        <v>#N/A</v>
      </c>
      <c r="E1384" s="526" t="e">
        <v>#N/A</v>
      </c>
      <c r="F1384" s="526" t="e">
        <v>#N/A</v>
      </c>
      <c r="G1384" s="526" t="e">
        <v>#N/A</v>
      </c>
      <c r="H1384" s="412" t="e">
        <v>#N/A</v>
      </c>
      <c r="I1384" s="411" t="e">
        <v>#N/A</v>
      </c>
      <c r="J1384" s="411" t="e">
        <v>#N/A</v>
      </c>
      <c r="K1384" s="411" t="e">
        <v>#N/A</v>
      </c>
      <c r="L1384" s="526" t="e">
        <v>#N/A</v>
      </c>
    </row>
    <row r="1385" spans="1:12" ht="15" x14ac:dyDescent="0.25">
      <c r="A1385">
        <v>390809</v>
      </c>
      <c r="B1385" t="e">
        <f t="shared" si="52"/>
        <v>#N/A</v>
      </c>
      <c r="C1385" s="198" t="e">
        <f t="shared" si="53"/>
        <v>#N/A</v>
      </c>
      <c r="D1385" s="526" t="e">
        <v>#N/A</v>
      </c>
      <c r="E1385" s="526" t="e">
        <v>#N/A</v>
      </c>
      <c r="F1385" s="526" t="e">
        <v>#N/A</v>
      </c>
      <c r="G1385" s="526" t="e">
        <v>#N/A</v>
      </c>
      <c r="H1385" s="412" t="e">
        <v>#N/A</v>
      </c>
      <c r="I1385" s="411" t="e">
        <v>#N/A</v>
      </c>
      <c r="J1385" s="411" t="e">
        <v>#N/A</v>
      </c>
      <c r="K1385" s="411" t="e">
        <v>#N/A</v>
      </c>
      <c r="L1385" s="526" t="e">
        <v>#N/A</v>
      </c>
    </row>
    <row r="1386" spans="1:12" ht="15" x14ac:dyDescent="0.25">
      <c r="A1386">
        <v>390810</v>
      </c>
      <c r="B1386" t="e">
        <f t="shared" si="52"/>
        <v>#N/A</v>
      </c>
      <c r="C1386" s="198" t="e">
        <f t="shared" si="53"/>
        <v>#N/A</v>
      </c>
      <c r="D1386" s="526" t="e">
        <v>#N/A</v>
      </c>
      <c r="E1386" s="526" t="e">
        <v>#N/A</v>
      </c>
      <c r="F1386" s="526" t="e">
        <v>#N/A</v>
      </c>
      <c r="G1386" s="526" t="e">
        <v>#N/A</v>
      </c>
      <c r="H1386" s="412" t="e">
        <v>#N/A</v>
      </c>
      <c r="I1386" s="411" t="e">
        <v>#N/A</v>
      </c>
      <c r="J1386" s="411" t="e">
        <v>#N/A</v>
      </c>
      <c r="K1386" s="411" t="e">
        <v>#N/A</v>
      </c>
      <c r="L1386" s="526" t="e">
        <v>#N/A</v>
      </c>
    </row>
    <row r="1387" spans="1:12" ht="15" x14ac:dyDescent="0.25">
      <c r="A1387">
        <v>390811</v>
      </c>
      <c r="B1387" t="e">
        <f t="shared" si="52"/>
        <v>#N/A</v>
      </c>
      <c r="C1387" s="198" t="e">
        <f t="shared" si="53"/>
        <v>#N/A</v>
      </c>
      <c r="D1387" s="526" t="e">
        <v>#N/A</v>
      </c>
      <c r="E1387" s="526" t="e">
        <v>#N/A</v>
      </c>
      <c r="F1387" s="526" t="e">
        <v>#N/A</v>
      </c>
      <c r="G1387" s="526" t="e">
        <v>#N/A</v>
      </c>
      <c r="H1387" s="412" t="e">
        <v>#N/A</v>
      </c>
      <c r="I1387" s="411" t="e">
        <v>#N/A</v>
      </c>
      <c r="J1387" s="411" t="e">
        <v>#N/A</v>
      </c>
      <c r="K1387" s="411" t="e">
        <v>#N/A</v>
      </c>
      <c r="L1387" s="526" t="e">
        <v>#N/A</v>
      </c>
    </row>
    <row r="1388" spans="1:12" ht="15" x14ac:dyDescent="0.25">
      <c r="A1388">
        <v>227385</v>
      </c>
      <c r="B1388" t="e">
        <f t="shared" si="52"/>
        <v>#N/A</v>
      </c>
      <c r="C1388" s="198" t="e">
        <f t="shared" si="53"/>
        <v>#N/A</v>
      </c>
      <c r="D1388" s="526" t="e">
        <v>#N/A</v>
      </c>
      <c r="E1388" s="526" t="e">
        <v>#N/A</v>
      </c>
      <c r="F1388" s="526" t="e">
        <v>#N/A</v>
      </c>
      <c r="G1388" s="526" t="e">
        <v>#N/A</v>
      </c>
      <c r="H1388" s="412" t="e">
        <v>#N/A</v>
      </c>
      <c r="I1388" s="411" t="e">
        <v>#N/A</v>
      </c>
      <c r="J1388" s="411" t="e">
        <v>#N/A</v>
      </c>
      <c r="K1388" s="411" t="e">
        <v>#N/A</v>
      </c>
      <c r="L1388" s="526" t="e">
        <v>#N/A</v>
      </c>
    </row>
    <row r="1389" spans="1:12" ht="15" x14ac:dyDescent="0.25">
      <c r="A1389">
        <v>227387</v>
      </c>
      <c r="B1389" t="e">
        <f t="shared" si="52"/>
        <v>#N/A</v>
      </c>
      <c r="C1389" s="198" t="e">
        <f t="shared" si="53"/>
        <v>#N/A</v>
      </c>
      <c r="D1389" s="526" t="e">
        <v>#N/A</v>
      </c>
      <c r="E1389" s="526" t="e">
        <v>#N/A</v>
      </c>
      <c r="F1389" s="526" t="e">
        <v>#N/A</v>
      </c>
      <c r="G1389" s="526" t="e">
        <v>#N/A</v>
      </c>
      <c r="H1389" s="412" t="e">
        <v>#N/A</v>
      </c>
      <c r="I1389" s="411" t="e">
        <v>#N/A</v>
      </c>
      <c r="J1389" s="411" t="e">
        <v>#N/A</v>
      </c>
      <c r="K1389" s="411" t="e">
        <v>#N/A</v>
      </c>
      <c r="L1389" s="526" t="e">
        <v>#N/A</v>
      </c>
    </row>
    <row r="1390" spans="1:12" ht="15" x14ac:dyDescent="0.25">
      <c r="A1390">
        <v>227390</v>
      </c>
      <c r="B1390" t="e">
        <f t="shared" si="52"/>
        <v>#N/A</v>
      </c>
      <c r="C1390" s="198" t="e">
        <f t="shared" si="53"/>
        <v>#N/A</v>
      </c>
      <c r="D1390" s="526" t="e">
        <v>#N/A</v>
      </c>
      <c r="E1390" s="526" t="e">
        <v>#N/A</v>
      </c>
      <c r="F1390" s="526" t="e">
        <v>#N/A</v>
      </c>
      <c r="G1390" s="526" t="e">
        <v>#N/A</v>
      </c>
      <c r="H1390" s="412" t="e">
        <v>#N/A</v>
      </c>
      <c r="I1390" s="411" t="e">
        <v>#N/A</v>
      </c>
      <c r="J1390" s="411" t="e">
        <v>#N/A</v>
      </c>
      <c r="K1390" s="411" t="e">
        <v>#N/A</v>
      </c>
      <c r="L1390" s="526" t="e">
        <v>#N/A</v>
      </c>
    </row>
    <row r="1391" spans="1:12" ht="15" x14ac:dyDescent="0.25">
      <c r="A1391">
        <v>227391</v>
      </c>
      <c r="B1391" t="e">
        <f t="shared" si="52"/>
        <v>#N/A</v>
      </c>
      <c r="C1391" s="198" t="e">
        <f t="shared" si="53"/>
        <v>#N/A</v>
      </c>
      <c r="D1391" s="526" t="e">
        <v>#N/A</v>
      </c>
      <c r="E1391" s="526" t="e">
        <v>#N/A</v>
      </c>
      <c r="F1391" s="526" t="e">
        <v>#N/A</v>
      </c>
      <c r="G1391" s="526" t="e">
        <v>#N/A</v>
      </c>
      <c r="H1391" s="412" t="e">
        <v>#N/A</v>
      </c>
      <c r="I1391" s="411" t="e">
        <v>#N/A</v>
      </c>
      <c r="J1391" s="411" t="e">
        <v>#N/A</v>
      </c>
      <c r="K1391" s="411" t="e">
        <v>#N/A</v>
      </c>
      <c r="L1391" s="526" t="e">
        <v>#N/A</v>
      </c>
    </row>
    <row r="1392" spans="1:12" ht="15" x14ac:dyDescent="0.25">
      <c r="A1392">
        <v>462027</v>
      </c>
      <c r="B1392" t="str">
        <f t="shared" si="52"/>
        <v>SEVROLL 04299-A maska Elegant II 4,05m oliva new</v>
      </c>
      <c r="C1392" s="198" t="e">
        <f t="shared" si="53"/>
        <v>#N/A</v>
      </c>
      <c r="D1392" s="526" t="s">
        <v>1392</v>
      </c>
      <c r="E1392" s="526" t="s">
        <v>1841</v>
      </c>
      <c r="F1392" s="526" t="s">
        <v>1392</v>
      </c>
      <c r="G1392" s="526" t="s">
        <v>5867</v>
      </c>
      <c r="H1392" s="412" t="e">
        <v>#N/A</v>
      </c>
      <c r="I1392" s="411" t="e">
        <v>#N/A</v>
      </c>
      <c r="J1392" s="411" t="e">
        <v>#N/A</v>
      </c>
      <c r="K1392" s="411" t="e">
        <v>#N/A</v>
      </c>
      <c r="L1392" s="526" t="e">
        <v>#N/A</v>
      </c>
    </row>
    <row r="1393" spans="1:12" ht="15" x14ac:dyDescent="0.25">
      <c r="A1393">
        <v>462028</v>
      </c>
      <c r="B1393" t="str">
        <f t="shared" si="52"/>
        <v>SEVROLL 04301-A maska Elegant II 6m oliva new</v>
      </c>
      <c r="C1393" s="198" t="e">
        <f t="shared" si="53"/>
        <v>#N/A</v>
      </c>
      <c r="D1393" s="526" t="s">
        <v>1393</v>
      </c>
      <c r="E1393" s="526" t="s">
        <v>1842</v>
      </c>
      <c r="F1393" s="526" t="s">
        <v>1393</v>
      </c>
      <c r="G1393" s="526" t="s">
        <v>5868</v>
      </c>
      <c r="H1393" s="412" t="e">
        <v>#N/A</v>
      </c>
      <c r="I1393" s="411" t="e">
        <v>#N/A</v>
      </c>
      <c r="J1393" s="411" t="e">
        <v>#N/A</v>
      </c>
      <c r="K1393" s="411" t="e">
        <v>#N/A</v>
      </c>
      <c r="L1393" s="526" t="e">
        <v>#N/A</v>
      </c>
    </row>
    <row r="1394" spans="1:12" ht="15" x14ac:dyDescent="0.25">
      <c r="A1394">
        <v>462029</v>
      </c>
      <c r="B1394" t="str">
        <f t="shared" si="52"/>
        <v>SEVROLL 04466-M Blue horné vedenie  2m oliva new</v>
      </c>
      <c r="C1394" s="198" t="e">
        <f t="shared" si="53"/>
        <v>#N/A</v>
      </c>
      <c r="D1394" s="526" t="s">
        <v>1394</v>
      </c>
      <c r="E1394" s="526" t="s">
        <v>1843</v>
      </c>
      <c r="F1394" s="526" t="s">
        <v>5869</v>
      </c>
      <c r="G1394" s="526" t="s">
        <v>5870</v>
      </c>
      <c r="H1394" s="412" t="e">
        <v>#N/A</v>
      </c>
      <c r="I1394" s="411" t="e">
        <v>#N/A</v>
      </c>
      <c r="J1394" s="411" t="e">
        <v>#N/A</v>
      </c>
      <c r="K1394" s="411" t="e">
        <v>#N/A</v>
      </c>
      <c r="L1394" s="526" t="e">
        <v>#N/A</v>
      </c>
    </row>
    <row r="1395" spans="1:12" ht="15" x14ac:dyDescent="0.25">
      <c r="A1395">
        <v>462030</v>
      </c>
      <c r="B1395" t="str">
        <f t="shared" si="52"/>
        <v>SEVROLL Blue horné vedenie 2,5m oliva new new</v>
      </c>
      <c r="C1395" s="198" t="e">
        <f t="shared" si="53"/>
        <v>#N/A</v>
      </c>
      <c r="D1395" s="526" t="s">
        <v>1395</v>
      </c>
      <c r="E1395" s="526" t="s">
        <v>1844</v>
      </c>
      <c r="F1395" s="526" t="s">
        <v>2186</v>
      </c>
      <c r="G1395" s="526" t="s">
        <v>2408</v>
      </c>
      <c r="H1395" s="412" t="e">
        <v>#N/A</v>
      </c>
      <c r="I1395" s="411" t="e">
        <v>#N/A</v>
      </c>
      <c r="J1395" s="411" t="e">
        <v>#N/A</v>
      </c>
      <c r="K1395" s="411" t="e">
        <v>#N/A</v>
      </c>
      <c r="L1395" s="526" t="e">
        <v>#N/A</v>
      </c>
    </row>
    <row r="1396" spans="1:12" ht="15" x14ac:dyDescent="0.25">
      <c r="A1396">
        <v>462031</v>
      </c>
      <c r="B1396" t="str">
        <f t="shared" si="52"/>
        <v>SEVROLL 04468-M Blue horné vedenie  3m oliva new</v>
      </c>
      <c r="C1396" s="198" t="e">
        <f t="shared" si="53"/>
        <v>#N/A</v>
      </c>
      <c r="D1396" s="526" t="s">
        <v>1396</v>
      </c>
      <c r="E1396" s="526" t="s">
        <v>1845</v>
      </c>
      <c r="F1396" s="526" t="s">
        <v>5871</v>
      </c>
      <c r="G1396" s="526" t="s">
        <v>5872</v>
      </c>
      <c r="H1396" s="412" t="e">
        <v>#N/A</v>
      </c>
      <c r="I1396" s="411" t="e">
        <v>#N/A</v>
      </c>
      <c r="J1396" s="411" t="e">
        <v>#N/A</v>
      </c>
      <c r="K1396" s="411" t="e">
        <v>#N/A</v>
      </c>
      <c r="L1396" s="526" t="e">
        <v>#N/A</v>
      </c>
    </row>
    <row r="1397" spans="1:12" ht="15" x14ac:dyDescent="0.25">
      <c r="A1397">
        <v>462032</v>
      </c>
      <c r="B1397" t="str">
        <f t="shared" si="52"/>
        <v>SEVROLL 04469-M Blue horné vedenie  4m oliva new</v>
      </c>
      <c r="C1397" s="198" t="e">
        <f t="shared" si="53"/>
        <v>#N/A</v>
      </c>
      <c r="D1397" s="526" t="s">
        <v>1397</v>
      </c>
      <c r="E1397" s="526" t="s">
        <v>1846</v>
      </c>
      <c r="F1397" s="526" t="s">
        <v>5873</v>
      </c>
      <c r="G1397" s="526" t="s">
        <v>5874</v>
      </c>
      <c r="H1397" s="412" t="e">
        <v>#N/A</v>
      </c>
      <c r="I1397" s="411" t="e">
        <v>#N/A</v>
      </c>
      <c r="J1397" s="411" t="e">
        <v>#N/A</v>
      </c>
      <c r="K1397" s="411" t="e">
        <v>#N/A</v>
      </c>
      <c r="L1397" s="526" t="e">
        <v>#N/A</v>
      </c>
    </row>
    <row r="1398" spans="1:12" ht="15" x14ac:dyDescent="0.25">
      <c r="A1398">
        <v>462033</v>
      </c>
      <c r="B1398" t="str">
        <f t="shared" ref="B1398:B1432" si="54">IF($A$2=1,D1398,IF($A$2=2,F1398,IF($A$2=3,G1398,IF($A$2=4,E1398,"zadat jazyk"))))</f>
        <v>SEVROLL Blue-V spodné vedenie 2,5m oliva new new</v>
      </c>
      <c r="C1398" s="198" t="e">
        <f t="shared" ref="C1398:C1432" si="55">IF($A$2=1,H1398,IF($A$2=2,I1398,IF($A$2=3,J1398,IF($A$2=4,K1398,"zadat jazyk"))))</f>
        <v>#N/A</v>
      </c>
      <c r="D1398" s="526" t="s">
        <v>1398</v>
      </c>
      <c r="E1398" s="526" t="s">
        <v>1847</v>
      </c>
      <c r="F1398" s="526" t="s">
        <v>2187</v>
      </c>
      <c r="G1398" s="526" t="s">
        <v>2409</v>
      </c>
      <c r="H1398" s="412" t="e">
        <v>#N/A</v>
      </c>
      <c r="I1398" s="411" t="e">
        <v>#N/A</v>
      </c>
      <c r="J1398" s="411" t="e">
        <v>#N/A</v>
      </c>
      <c r="K1398" s="411" t="e">
        <v>#N/A</v>
      </c>
      <c r="L1398" s="526" t="e">
        <v>#N/A</v>
      </c>
    </row>
    <row r="1399" spans="1:12" ht="15" x14ac:dyDescent="0.25">
      <c r="A1399">
        <v>462034</v>
      </c>
      <c r="B1399" t="str">
        <f t="shared" si="54"/>
        <v>SEVROLL Blue-V spodné vedenie 1,5m oliva new new</v>
      </c>
      <c r="C1399" s="198" t="e">
        <f t="shared" si="55"/>
        <v>#N/A</v>
      </c>
      <c r="D1399" s="526" t="s">
        <v>1399</v>
      </c>
      <c r="E1399" s="526" t="s">
        <v>1848</v>
      </c>
      <c r="F1399" s="526" t="s">
        <v>2188</v>
      </c>
      <c r="G1399" s="526" t="s">
        <v>2410</v>
      </c>
      <c r="H1399" s="412" t="e">
        <v>#N/A</v>
      </c>
      <c r="I1399" s="411" t="e">
        <v>#N/A</v>
      </c>
      <c r="J1399" s="411" t="e">
        <v>#N/A</v>
      </c>
      <c r="K1399" s="411" t="e">
        <v>#N/A</v>
      </c>
      <c r="L1399" s="526" t="e">
        <v>#N/A</v>
      </c>
    </row>
    <row r="1400" spans="1:12" ht="15" x14ac:dyDescent="0.25">
      <c r="A1400">
        <v>462035</v>
      </c>
      <c r="B1400" t="str">
        <f t="shared" si="54"/>
        <v>SEVROLL 04492-M Blue-V spodné vedenie  3m oliva new</v>
      </c>
      <c r="C1400" s="198" t="e">
        <f t="shared" si="55"/>
        <v>#N/A</v>
      </c>
      <c r="D1400" s="526" t="s">
        <v>1400</v>
      </c>
      <c r="E1400" s="526" t="s">
        <v>1849</v>
      </c>
      <c r="F1400" s="526" t="s">
        <v>5875</v>
      </c>
      <c r="G1400" s="526" t="s">
        <v>5876</v>
      </c>
      <c r="H1400" s="412" t="e">
        <v>#N/A</v>
      </c>
      <c r="I1400" s="411" t="e">
        <v>#N/A</v>
      </c>
      <c r="J1400" s="411" t="e">
        <v>#N/A</v>
      </c>
      <c r="K1400" s="411" t="e">
        <v>#N/A</v>
      </c>
      <c r="L1400" s="526" t="e">
        <v>#N/A</v>
      </c>
    </row>
    <row r="1401" spans="1:12" ht="15" x14ac:dyDescent="0.25">
      <c r="A1401">
        <v>462036</v>
      </c>
      <c r="B1401" t="str">
        <f t="shared" si="54"/>
        <v>SEVROLL 04493-M Blue-V spodné vedenie  4m oliva new</v>
      </c>
      <c r="C1401" s="198" t="e">
        <f t="shared" si="55"/>
        <v>#N/A</v>
      </c>
      <c r="D1401" s="526" t="s">
        <v>1401</v>
      </c>
      <c r="E1401" s="526" t="s">
        <v>1850</v>
      </c>
      <c r="F1401" s="526" t="s">
        <v>5877</v>
      </c>
      <c r="G1401" s="526" t="s">
        <v>5878</v>
      </c>
      <c r="H1401" s="412" t="e">
        <v>#N/A</v>
      </c>
      <c r="I1401" s="411" t="e">
        <v>#N/A</v>
      </c>
      <c r="J1401" s="411" t="e">
        <v>#N/A</v>
      </c>
      <c r="K1401" s="411" t="e">
        <v>#N/A</v>
      </c>
      <c r="L1401" s="526" t="e">
        <v>#N/A</v>
      </c>
    </row>
    <row r="1402" spans="1:12" ht="15" x14ac:dyDescent="0.25">
      <c r="A1402">
        <v>462037</v>
      </c>
      <c r="B1402" t="str">
        <f t="shared" si="54"/>
        <v>SEVROLL Blue-C spodné vedenie 2m oliva new new</v>
      </c>
      <c r="C1402" s="198" t="e">
        <f t="shared" si="55"/>
        <v>#N/A</v>
      </c>
      <c r="D1402" s="526" t="s">
        <v>1402</v>
      </c>
      <c r="E1402" s="526" t="s">
        <v>1851</v>
      </c>
      <c r="F1402" s="526" t="s">
        <v>2189</v>
      </c>
      <c r="G1402" s="526" t="s">
        <v>2411</v>
      </c>
      <c r="H1402" s="412" t="e">
        <v>#N/A</v>
      </c>
      <c r="I1402" s="411" t="e">
        <v>#N/A</v>
      </c>
      <c r="J1402" s="411" t="e">
        <v>#N/A</v>
      </c>
      <c r="K1402" s="411" t="e">
        <v>#N/A</v>
      </c>
      <c r="L1402" s="526" t="e">
        <v>#N/A</v>
      </c>
    </row>
    <row r="1403" spans="1:12" ht="15" x14ac:dyDescent="0.25">
      <c r="A1403">
        <v>462038</v>
      </c>
      <c r="B1403" t="str">
        <f t="shared" si="54"/>
        <v>SEVROLL Blue-C spodné vedenie 2,5m oliva new new</v>
      </c>
      <c r="C1403" s="198" t="e">
        <f t="shared" si="55"/>
        <v>#N/A</v>
      </c>
      <c r="D1403" s="526" t="s">
        <v>1403</v>
      </c>
      <c r="E1403" s="526" t="s">
        <v>1852</v>
      </c>
      <c r="F1403" s="526" t="s">
        <v>2190</v>
      </c>
      <c r="G1403" s="526" t="s">
        <v>2412</v>
      </c>
      <c r="H1403" s="412" t="e">
        <v>#N/A</v>
      </c>
      <c r="I1403" s="411" t="e">
        <v>#N/A</v>
      </c>
      <c r="J1403" s="411" t="e">
        <v>#N/A</v>
      </c>
      <c r="K1403" s="411" t="e">
        <v>#N/A</v>
      </c>
      <c r="L1403" s="526" t="e">
        <v>#N/A</v>
      </c>
    </row>
    <row r="1404" spans="1:12" ht="15" x14ac:dyDescent="0.25">
      <c r="A1404">
        <v>462039</v>
      </c>
      <c r="B1404" t="str">
        <f t="shared" si="54"/>
        <v>SEVROLL Blue-C spodné vedenie 3m oliva new new</v>
      </c>
      <c r="C1404" s="198" t="e">
        <f t="shared" si="55"/>
        <v>#N/A</v>
      </c>
      <c r="D1404" s="526" t="s">
        <v>1404</v>
      </c>
      <c r="E1404" s="526" t="s">
        <v>1853</v>
      </c>
      <c r="F1404" s="526" t="s">
        <v>2191</v>
      </c>
      <c r="G1404" s="526" t="s">
        <v>2413</v>
      </c>
      <c r="H1404" s="412" t="e">
        <v>#N/A</v>
      </c>
      <c r="I1404" s="411" t="e">
        <v>#N/A</v>
      </c>
      <c r="J1404" s="411" t="e">
        <v>#N/A</v>
      </c>
      <c r="K1404" s="411" t="e">
        <v>#N/A</v>
      </c>
      <c r="L1404" s="526" t="e">
        <v>#N/A</v>
      </c>
    </row>
    <row r="1405" spans="1:12" ht="15" x14ac:dyDescent="0.25">
      <c r="A1405">
        <v>462040</v>
      </c>
      <c r="B1405" t="str">
        <f t="shared" si="54"/>
        <v>SEVROLL Blue-C spodné vedenie 4m oliva new new</v>
      </c>
      <c r="C1405" s="198" t="e">
        <f t="shared" si="55"/>
        <v>#N/A</v>
      </c>
      <c r="D1405" s="526" t="s">
        <v>1405</v>
      </c>
      <c r="E1405" s="526" t="s">
        <v>1854</v>
      </c>
      <c r="F1405" s="526" t="s">
        <v>2192</v>
      </c>
      <c r="G1405" s="526" t="s">
        <v>2414</v>
      </c>
      <c r="H1405" s="412" t="e">
        <v>#N/A</v>
      </c>
      <c r="I1405" s="411" t="e">
        <v>#N/A</v>
      </c>
      <c r="J1405" s="411" t="e">
        <v>#N/A</v>
      </c>
      <c r="K1405" s="411" t="e">
        <v>#N/A</v>
      </c>
      <c r="L1405" s="526" t="e">
        <v>#N/A</v>
      </c>
    </row>
    <row r="1406" spans="1:12" ht="15" x14ac:dyDescent="0.25">
      <c r="A1406">
        <v>462041</v>
      </c>
      <c r="B1406" t="str">
        <f t="shared" si="54"/>
        <v>SEVROLL Blue-C spodné vedenie 6m oliva new new</v>
      </c>
      <c r="C1406" s="198" t="e">
        <f t="shared" si="55"/>
        <v>#N/A</v>
      </c>
      <c r="D1406" s="526" t="s">
        <v>1406</v>
      </c>
      <c r="E1406" s="526" t="s">
        <v>1855</v>
      </c>
      <c r="F1406" s="526" t="s">
        <v>2193</v>
      </c>
      <c r="G1406" s="526" t="s">
        <v>2415</v>
      </c>
      <c r="H1406" s="412" t="e">
        <v>#N/A</v>
      </c>
      <c r="I1406" s="411" t="e">
        <v>#N/A</v>
      </c>
      <c r="J1406" s="411" t="e">
        <v>#N/A</v>
      </c>
      <c r="K1406" s="411" t="e">
        <v>#N/A</v>
      </c>
      <c r="L1406" s="526" t="e">
        <v>#N/A</v>
      </c>
    </row>
    <row r="1407" spans="1:12" ht="15" x14ac:dyDescent="0.25">
      <c r="A1407">
        <v>462042</v>
      </c>
      <c r="B1407" t="str">
        <f t="shared" si="54"/>
        <v>SEVROLL 04278-A Elegant II spodné vedenie  6m oliva new</v>
      </c>
      <c r="C1407" s="198" t="e">
        <f t="shared" si="55"/>
        <v>#N/A</v>
      </c>
      <c r="D1407" s="526" t="s">
        <v>1407</v>
      </c>
      <c r="E1407" s="526" t="s">
        <v>1856</v>
      </c>
      <c r="F1407" s="526" t="s">
        <v>5879</v>
      </c>
      <c r="G1407" s="526" t="s">
        <v>5880</v>
      </c>
      <c r="H1407" s="412" t="e">
        <v>#N/A</v>
      </c>
      <c r="I1407" s="411" t="e">
        <v>#N/A</v>
      </c>
      <c r="J1407" s="411" t="e">
        <v>#N/A</v>
      </c>
      <c r="K1407" s="411" t="e">
        <v>#N/A</v>
      </c>
      <c r="L1407" s="526" t="e">
        <v>#N/A</v>
      </c>
    </row>
    <row r="1408" spans="1:12" ht="15" x14ac:dyDescent="0.25">
      <c r="A1408">
        <v>462043</v>
      </c>
      <c r="B1408" t="str">
        <f t="shared" si="54"/>
        <v>SEVROLL 04905-A Vitara úchytová lišta 2,7m oliva new</v>
      </c>
      <c r="C1408" s="198" t="e">
        <f t="shared" si="55"/>
        <v>#N/A</v>
      </c>
      <c r="D1408" s="526" t="s">
        <v>1408</v>
      </c>
      <c r="E1408" s="526" t="s">
        <v>1857</v>
      </c>
      <c r="F1408" s="526" t="s">
        <v>1408</v>
      </c>
      <c r="G1408" s="526" t="s">
        <v>2416</v>
      </c>
      <c r="H1408" s="412" t="e">
        <v>#N/A</v>
      </c>
      <c r="I1408" s="411" t="e">
        <v>#N/A</v>
      </c>
      <c r="J1408" s="411" t="e">
        <v>#N/A</v>
      </c>
      <c r="K1408" s="411" t="e">
        <v>#N/A</v>
      </c>
      <c r="L1408" s="526" t="e">
        <v>#N/A</v>
      </c>
    </row>
    <row r="1409" spans="1:12" ht="15" x14ac:dyDescent="0.25">
      <c r="A1409">
        <v>462044</v>
      </c>
      <c r="B1409" t="str">
        <f t="shared" si="54"/>
        <v>SEVROLL Maxim horné vedenie 1,8m oliva new new</v>
      </c>
      <c r="C1409" s="198" t="e">
        <f t="shared" si="55"/>
        <v>#N/A</v>
      </c>
      <c r="D1409" s="526" t="s">
        <v>1409</v>
      </c>
      <c r="E1409" s="526" t="s">
        <v>1858</v>
      </c>
      <c r="F1409" s="526" t="s">
        <v>2194</v>
      </c>
      <c r="G1409" s="526" t="s">
        <v>2417</v>
      </c>
      <c r="H1409" s="412" t="e">
        <v>#N/A</v>
      </c>
      <c r="I1409" s="411" t="e">
        <v>#N/A</v>
      </c>
      <c r="J1409" s="411" t="e">
        <v>#N/A</v>
      </c>
      <c r="K1409" s="411" t="e">
        <v>#N/A</v>
      </c>
      <c r="L1409" s="526" t="e">
        <v>#N/A</v>
      </c>
    </row>
    <row r="1410" spans="1:12" ht="15" x14ac:dyDescent="0.25">
      <c r="A1410">
        <v>462045</v>
      </c>
      <c r="B1410" t="str">
        <f t="shared" si="54"/>
        <v>SEVROLL Porto úchytová lišta 3m oliva new new</v>
      </c>
      <c r="C1410" s="198" t="e">
        <f t="shared" si="55"/>
        <v>#N/A</v>
      </c>
      <c r="D1410" s="526" t="s">
        <v>1410</v>
      </c>
      <c r="E1410" s="526" t="s">
        <v>1859</v>
      </c>
      <c r="F1410" s="526" t="s">
        <v>2195</v>
      </c>
      <c r="G1410" s="526" t="s">
        <v>2418</v>
      </c>
      <c r="H1410" s="412" t="e">
        <v>#N/A</v>
      </c>
      <c r="I1410" s="411" t="e">
        <v>#N/A</v>
      </c>
      <c r="J1410" s="411" t="e">
        <v>#N/A</v>
      </c>
      <c r="K1410" s="411" t="e">
        <v>#N/A</v>
      </c>
      <c r="L1410" s="526" t="e">
        <v>#N/A</v>
      </c>
    </row>
    <row r="1411" spans="1:12" ht="15" x14ac:dyDescent="0.25">
      <c r="A1411">
        <v>462046</v>
      </c>
      <c r="B1411" t="str">
        <f t="shared" si="54"/>
        <v>SEVROLL Maxim horné vedenie 1,8m oliva new new</v>
      </c>
      <c r="C1411" s="198" t="e">
        <f t="shared" si="55"/>
        <v>#N/A</v>
      </c>
      <c r="D1411" s="526" t="s">
        <v>1411</v>
      </c>
      <c r="E1411" s="526" t="s">
        <v>1860</v>
      </c>
      <c r="F1411" s="526" t="s">
        <v>2194</v>
      </c>
      <c r="G1411" s="526" t="s">
        <v>2417</v>
      </c>
      <c r="H1411" s="412" t="e">
        <v>#N/A</v>
      </c>
      <c r="I1411" s="411" t="e">
        <v>#N/A</v>
      </c>
      <c r="J1411" s="411" t="e">
        <v>#N/A</v>
      </c>
      <c r="K1411" s="411" t="e">
        <v>#N/A</v>
      </c>
      <c r="L1411" s="526" t="e">
        <v>#N/A</v>
      </c>
    </row>
    <row r="1412" spans="1:12" ht="15" x14ac:dyDescent="0.25">
      <c r="A1412">
        <v>462140</v>
      </c>
      <c r="B1412" t="str">
        <f t="shared" si="54"/>
        <v>SEVROLL Alfa II úchytová lišta 100mm čierna mat (vzorka)</v>
      </c>
      <c r="C1412" s="198">
        <f t="shared" si="55"/>
        <v>0.31680999999999998</v>
      </c>
      <c r="D1412" s="526" t="s">
        <v>1412</v>
      </c>
      <c r="E1412" s="526" t="s">
        <v>1861</v>
      </c>
      <c r="F1412" s="526" t="s">
        <v>5881</v>
      </c>
      <c r="G1412" s="526" t="s">
        <v>2419</v>
      </c>
      <c r="H1412" s="412">
        <v>8.0211299999999994</v>
      </c>
      <c r="I1412" s="411">
        <v>0.31680999999999998</v>
      </c>
      <c r="J1412" s="411">
        <v>1.54355</v>
      </c>
      <c r="K1412" s="411">
        <v>137.10875999999999</v>
      </c>
      <c r="L1412" s="526" t="s">
        <v>556</v>
      </c>
    </row>
    <row r="1413" spans="1:12" ht="15" x14ac:dyDescent="0.25">
      <c r="A1413">
        <v>462141</v>
      </c>
      <c r="B1413" t="str">
        <f t="shared" si="54"/>
        <v>SEVROLL Faworyt II úchytová liš.100mm biela mat</v>
      </c>
      <c r="C1413" s="198">
        <f t="shared" si="55"/>
        <v>0.31263999999999997</v>
      </c>
      <c r="D1413" s="526" t="s">
        <v>1413</v>
      </c>
      <c r="E1413" s="526" t="s">
        <v>1862</v>
      </c>
      <c r="F1413" s="526" t="s">
        <v>2196</v>
      </c>
      <c r="G1413" s="526" t="s">
        <v>2420</v>
      </c>
      <c r="H1413" s="412">
        <v>7.9156300000000002</v>
      </c>
      <c r="I1413" s="411">
        <v>0.31263999999999997</v>
      </c>
      <c r="J1413" s="411">
        <v>1.5232399999999999</v>
      </c>
      <c r="K1413" s="411">
        <v>135.30548999999999</v>
      </c>
      <c r="L1413" s="526" t="s">
        <v>556</v>
      </c>
    </row>
    <row r="1414" spans="1:12" ht="15" x14ac:dyDescent="0.25">
      <c r="A1414">
        <v>462142</v>
      </c>
      <c r="B1414" t="str">
        <f t="shared" si="54"/>
        <v>SEVROLL Fox II úchytová lišta 100mm čierna lesk (vzorka)</v>
      </c>
      <c r="C1414" s="198">
        <f t="shared" si="55"/>
        <v>0.37302999999999997</v>
      </c>
      <c r="D1414" s="526" t="s">
        <v>1414</v>
      </c>
      <c r="E1414" s="526" t="s">
        <v>1863</v>
      </c>
      <c r="F1414" s="526" t="s">
        <v>5882</v>
      </c>
      <c r="G1414" s="526" t="s">
        <v>2421</v>
      </c>
      <c r="H1414" s="412">
        <v>9.4446300000000001</v>
      </c>
      <c r="I1414" s="411">
        <v>0.37302999999999997</v>
      </c>
      <c r="J1414" s="411">
        <v>1.8174399999999999</v>
      </c>
      <c r="K1414" s="411">
        <v>161.44137000000001</v>
      </c>
      <c r="L1414" s="526" t="s">
        <v>556</v>
      </c>
    </row>
    <row r="1415" spans="1:12" ht="15" x14ac:dyDescent="0.25">
      <c r="A1415">
        <v>462153</v>
      </c>
      <c r="B1415" t="str">
        <f t="shared" si="54"/>
        <v/>
      </c>
      <c r="C1415" s="198">
        <f t="shared" si="55"/>
        <v>0.24016999999999999</v>
      </c>
      <c r="D1415" s="526" t="s">
        <v>1415</v>
      </c>
      <c r="E1415" s="526" t="s">
        <v>1864</v>
      </c>
      <c r="F1415" s="526" t="s">
        <v>71</v>
      </c>
      <c r="G1415" s="526" t="s">
        <v>71</v>
      </c>
      <c r="H1415" s="412">
        <v>6.0808299999999997</v>
      </c>
      <c r="I1415" s="411">
        <v>0.24016999999999999</v>
      </c>
      <c r="J1415" s="411">
        <v>1.17014</v>
      </c>
      <c r="K1415" s="411">
        <v>103.94232</v>
      </c>
      <c r="L1415" s="526" t="s">
        <v>556</v>
      </c>
    </row>
    <row r="1416" spans="1:12" ht="15" x14ac:dyDescent="0.25">
      <c r="A1416">
        <v>462154</v>
      </c>
      <c r="B1416" t="str">
        <f t="shared" si="54"/>
        <v/>
      </c>
      <c r="C1416" s="198">
        <f t="shared" si="55"/>
        <v>0.45943000000000001</v>
      </c>
      <c r="D1416" s="526" t="s">
        <v>1416</v>
      </c>
      <c r="E1416" s="526" t="s">
        <v>1865</v>
      </c>
      <c r="F1416" s="526" t="s">
        <v>71</v>
      </c>
      <c r="G1416" s="526" t="s">
        <v>71</v>
      </c>
      <c r="H1416" s="412">
        <v>11.632020000000001</v>
      </c>
      <c r="I1416" s="411">
        <v>0.45943000000000001</v>
      </c>
      <c r="J1416" s="411">
        <v>2.2383799999999998</v>
      </c>
      <c r="K1416" s="411">
        <v>198.83131</v>
      </c>
      <c r="L1416" s="526" t="s">
        <v>556</v>
      </c>
    </row>
    <row r="1417" spans="1:12" ht="15" x14ac:dyDescent="0.25">
      <c r="A1417">
        <v>462518</v>
      </c>
      <c r="B1417" t="str">
        <f t="shared" si="54"/>
        <v/>
      </c>
      <c r="C1417" s="198">
        <f t="shared" si="55"/>
        <v>0</v>
      </c>
      <c r="D1417" s="526" t="s">
        <v>1417</v>
      </c>
      <c r="E1417" s="526" t="s">
        <v>71</v>
      </c>
      <c r="F1417" s="526" t="s">
        <v>71</v>
      </c>
      <c r="G1417" s="526" t="s">
        <v>71</v>
      </c>
      <c r="H1417" s="412">
        <v>0</v>
      </c>
      <c r="I1417" s="411">
        <v>0</v>
      </c>
      <c r="J1417" s="411">
        <v>231.57578000000001</v>
      </c>
      <c r="K1417" s="411">
        <v>0</v>
      </c>
      <c r="L1417" s="526" t="s">
        <v>554</v>
      </c>
    </row>
    <row r="1418" spans="1:12" ht="15" x14ac:dyDescent="0.25">
      <c r="A1418">
        <v>462519</v>
      </c>
      <c r="B1418" t="str">
        <f t="shared" si="54"/>
        <v/>
      </c>
      <c r="C1418" s="198">
        <f t="shared" si="55"/>
        <v>2.5000000000000001E-4</v>
      </c>
      <c r="D1418" s="526" t="s">
        <v>1418</v>
      </c>
      <c r="E1418" s="526" t="s">
        <v>71</v>
      </c>
      <c r="F1418" s="526" t="s">
        <v>71</v>
      </c>
      <c r="G1418" s="526" t="s">
        <v>71</v>
      </c>
      <c r="H1418" s="412">
        <v>7.1199999999999996E-3</v>
      </c>
      <c r="I1418" s="411">
        <v>2.5000000000000001E-4</v>
      </c>
      <c r="J1418" s="411">
        <v>337.33834999999999</v>
      </c>
      <c r="K1418" s="411">
        <v>9.9879999999999997E-2</v>
      </c>
      <c r="L1418" s="526" t="s">
        <v>556</v>
      </c>
    </row>
    <row r="1419" spans="1:12" ht="15" x14ac:dyDescent="0.25">
      <c r="A1419">
        <v>462520</v>
      </c>
      <c r="B1419" t="str">
        <f t="shared" si="54"/>
        <v/>
      </c>
      <c r="C1419" s="198">
        <f t="shared" si="55"/>
        <v>0</v>
      </c>
      <c r="D1419" s="526" t="s">
        <v>1419</v>
      </c>
      <c r="E1419" s="526" t="s">
        <v>71</v>
      </c>
      <c r="F1419" s="526" t="s">
        <v>71</v>
      </c>
      <c r="G1419" s="526" t="s">
        <v>71</v>
      </c>
      <c r="H1419" s="412">
        <v>0</v>
      </c>
      <c r="I1419" s="411">
        <v>0</v>
      </c>
      <c r="J1419" s="411">
        <v>442.46870999999999</v>
      </c>
      <c r="K1419" s="411">
        <v>0</v>
      </c>
      <c r="L1419" s="526" t="s">
        <v>554</v>
      </c>
    </row>
    <row r="1420" spans="1:12" ht="15" x14ac:dyDescent="0.25">
      <c r="A1420">
        <v>462521</v>
      </c>
      <c r="B1420" t="str">
        <f t="shared" si="54"/>
        <v/>
      </c>
      <c r="C1420" s="198">
        <f t="shared" si="55"/>
        <v>0</v>
      </c>
      <c r="D1420" s="526" t="s">
        <v>1420</v>
      </c>
      <c r="E1420" s="526" t="s">
        <v>71</v>
      </c>
      <c r="F1420" s="526" t="s">
        <v>71</v>
      </c>
      <c r="G1420" s="526" t="s">
        <v>71</v>
      </c>
      <c r="H1420" s="412">
        <v>0</v>
      </c>
      <c r="I1420" s="411">
        <v>0</v>
      </c>
      <c r="J1420" s="411">
        <v>568.46256000000005</v>
      </c>
      <c r="K1420" s="411">
        <v>0</v>
      </c>
      <c r="L1420" s="526" t="s">
        <v>554</v>
      </c>
    </row>
    <row r="1421" spans="1:12" ht="15" x14ac:dyDescent="0.25">
      <c r="A1421">
        <v>462556</v>
      </c>
      <c r="B1421" t="str">
        <f t="shared" si="54"/>
        <v>SEVROLL 04490-M Blue-V spodné vedenie  2m oliva new</v>
      </c>
      <c r="C1421" s="198" t="e">
        <f t="shared" si="55"/>
        <v>#N/A</v>
      </c>
      <c r="D1421" s="526" t="s">
        <v>1421</v>
      </c>
      <c r="E1421" s="526" t="s">
        <v>1866</v>
      </c>
      <c r="F1421" s="526" t="s">
        <v>5883</v>
      </c>
      <c r="G1421" s="526" t="s">
        <v>2422</v>
      </c>
      <c r="H1421" s="412" t="e">
        <v>#N/A</v>
      </c>
      <c r="I1421" s="411" t="e">
        <v>#N/A</v>
      </c>
      <c r="J1421" s="411" t="e">
        <v>#N/A</v>
      </c>
      <c r="K1421" s="411" t="e">
        <v>#N/A</v>
      </c>
      <c r="L1421" s="526" t="e">
        <v>#N/A</v>
      </c>
    </row>
    <row r="1422" spans="1:12" ht="15" x14ac:dyDescent="0.25">
      <c r="A1422">
        <v>462558</v>
      </c>
      <c r="B1422" t="str">
        <f t="shared" si="54"/>
        <v>SEVROLL 85615-A Lux III úchytová lišta 2,7m oliva new</v>
      </c>
      <c r="C1422" s="198" t="e">
        <f t="shared" si="55"/>
        <v>#N/A</v>
      </c>
      <c r="D1422" s="526" t="s">
        <v>1422</v>
      </c>
      <c r="E1422" s="526" t="s">
        <v>1867</v>
      </c>
      <c r="F1422" s="526" t="s">
        <v>1422</v>
      </c>
      <c r="G1422" s="526" t="s">
        <v>2423</v>
      </c>
      <c r="H1422" s="412" t="e">
        <v>#N/A</v>
      </c>
      <c r="I1422" s="411" t="e">
        <v>#N/A</v>
      </c>
      <c r="J1422" s="411" t="e">
        <v>#N/A</v>
      </c>
      <c r="K1422" s="411" t="e">
        <v>#N/A</v>
      </c>
      <c r="L1422" s="526" t="e">
        <v>#N/A</v>
      </c>
    </row>
    <row r="1423" spans="1:12" ht="15" x14ac:dyDescent="0.25">
      <c r="A1423">
        <v>462559</v>
      </c>
      <c r="B1423" t="str">
        <f t="shared" si="54"/>
        <v>SEVROLL 00029-A 161 U PROFna DTD 18mm-3m, OLIVA new</v>
      </c>
      <c r="C1423" s="198" t="e">
        <f t="shared" si="55"/>
        <v>#N/A</v>
      </c>
      <c r="D1423" s="526" t="s">
        <v>1423</v>
      </c>
      <c r="E1423" s="526" t="s">
        <v>1868</v>
      </c>
      <c r="F1423" s="526" t="s">
        <v>2197</v>
      </c>
      <c r="G1423" s="526" t="s">
        <v>2424</v>
      </c>
      <c r="H1423" s="412" t="e">
        <v>#N/A</v>
      </c>
      <c r="I1423" s="411" t="e">
        <v>#N/A</v>
      </c>
      <c r="J1423" s="411" t="e">
        <v>#N/A</v>
      </c>
      <c r="K1423" s="411" t="e">
        <v>#N/A</v>
      </c>
      <c r="L1423" s="526" t="e">
        <v>#N/A</v>
      </c>
    </row>
    <row r="1424" spans="1:12" ht="15" x14ac:dyDescent="0.25">
      <c r="A1424">
        <v>462566</v>
      </c>
      <c r="B1424" t="str">
        <f t="shared" si="54"/>
        <v>SEVROLL 00095-A uholník Mini 17x11mm 3m oliva new</v>
      </c>
      <c r="C1424" s="198" t="e">
        <f t="shared" si="55"/>
        <v>#N/A</v>
      </c>
      <c r="D1424" s="526" t="s">
        <v>5884</v>
      </c>
      <c r="E1424" s="526" t="s">
        <v>5885</v>
      </c>
      <c r="F1424" s="526" t="s">
        <v>5886</v>
      </c>
      <c r="G1424" s="526" t="s">
        <v>5887</v>
      </c>
      <c r="H1424" s="412" t="e">
        <v>#N/A</v>
      </c>
      <c r="I1424" s="411" t="e">
        <v>#N/A</v>
      </c>
      <c r="J1424" s="411" t="e">
        <v>#N/A</v>
      </c>
      <c r="K1424" s="411" t="e">
        <v>#N/A</v>
      </c>
      <c r="L1424" s="526" t="e">
        <v>#N/A</v>
      </c>
    </row>
    <row r="1425" spans="1:12" ht="15" x14ac:dyDescent="0.25">
      <c r="A1425">
        <v>462567</v>
      </c>
      <c r="B1425" t="str">
        <f t="shared" si="54"/>
        <v>SEVROLL horná vodiaca lišta Simple/Blue 3m (pre lamino 10mm) oliva new</v>
      </c>
      <c r="C1425" s="198" t="e">
        <f t="shared" si="55"/>
        <v>#N/A</v>
      </c>
      <c r="D1425" s="526" t="s">
        <v>1424</v>
      </c>
      <c r="E1425" s="526" t="s">
        <v>1869</v>
      </c>
      <c r="F1425" s="526" t="s">
        <v>2198</v>
      </c>
      <c r="G1425" s="526" t="s">
        <v>2425</v>
      </c>
      <c r="H1425" s="412" t="e">
        <v>#N/A</v>
      </c>
      <c r="I1425" s="411" t="e">
        <v>#N/A</v>
      </c>
      <c r="J1425" s="411" t="e">
        <v>#N/A</v>
      </c>
      <c r="K1425" s="411" t="e">
        <v>#N/A</v>
      </c>
      <c r="L1425" s="526" t="e">
        <v>#N/A</v>
      </c>
    </row>
    <row r="1426" spans="1:12" ht="15" x14ac:dyDescent="0.25">
      <c r="A1426">
        <v>462571</v>
      </c>
      <c r="B1426" t="str">
        <f t="shared" si="54"/>
        <v>SEVROLL 04571-A Focus II 18mm úchytová lišta 2,7m oliva new</v>
      </c>
      <c r="C1426" s="198" t="e">
        <f t="shared" si="55"/>
        <v>#N/A</v>
      </c>
      <c r="D1426" s="526" t="s">
        <v>1425</v>
      </c>
      <c r="E1426" s="526" t="s">
        <v>1870</v>
      </c>
      <c r="F1426" s="526" t="s">
        <v>1425</v>
      </c>
      <c r="G1426" s="526" t="s">
        <v>2426</v>
      </c>
      <c r="H1426" s="412" t="e">
        <v>#N/A</v>
      </c>
      <c r="I1426" s="411" t="e">
        <v>#N/A</v>
      </c>
      <c r="J1426" s="411" t="e">
        <v>#N/A</v>
      </c>
      <c r="K1426" s="411" t="e">
        <v>#N/A</v>
      </c>
      <c r="L1426" s="526" t="e">
        <v>#N/A</v>
      </c>
    </row>
    <row r="1427" spans="1:12" ht="15" x14ac:dyDescent="0.25">
      <c r="A1427">
        <v>462572</v>
      </c>
      <c r="B1427" t="str">
        <f t="shared" si="54"/>
        <v>SEVROLL 04920-A Lynx úchytová lišta 2,7m oliva new</v>
      </c>
      <c r="C1427" s="198" t="e">
        <f t="shared" si="55"/>
        <v>#N/A</v>
      </c>
      <c r="D1427" s="526" t="s">
        <v>1426</v>
      </c>
      <c r="E1427" s="526" t="s">
        <v>1871</v>
      </c>
      <c r="F1427" s="526" t="s">
        <v>1426</v>
      </c>
      <c r="G1427" s="526" t="s">
        <v>2427</v>
      </c>
      <c r="H1427" s="412" t="e">
        <v>#N/A</v>
      </c>
      <c r="I1427" s="411" t="e">
        <v>#N/A</v>
      </c>
      <c r="J1427" s="411" t="e">
        <v>#N/A</v>
      </c>
      <c r="K1427" s="411" t="e">
        <v>#N/A</v>
      </c>
      <c r="L1427" s="526" t="e">
        <v>#N/A</v>
      </c>
    </row>
    <row r="1428" spans="1:12" ht="15" x14ac:dyDescent="0.25">
      <c r="A1428">
        <v>462573</v>
      </c>
      <c r="B1428" t="str">
        <f t="shared" si="54"/>
        <v>SEVROLL 04296-A  maska Elegant II 1,7m oliva new</v>
      </c>
      <c r="C1428" s="198" t="e">
        <f t="shared" si="55"/>
        <v>#N/A</v>
      </c>
      <c r="D1428" s="526" t="s">
        <v>1427</v>
      </c>
      <c r="E1428" s="526" t="s">
        <v>1872</v>
      </c>
      <c r="F1428" s="526" t="s">
        <v>1427</v>
      </c>
      <c r="G1428" s="526" t="s">
        <v>2428</v>
      </c>
      <c r="H1428" s="412" t="e">
        <v>#N/A</v>
      </c>
      <c r="I1428" s="411" t="e">
        <v>#N/A</v>
      </c>
      <c r="J1428" s="411" t="e">
        <v>#N/A</v>
      </c>
      <c r="K1428" s="411" t="e">
        <v>#N/A</v>
      </c>
      <c r="L1428" s="526" t="e">
        <v>#N/A</v>
      </c>
    </row>
    <row r="1429" spans="1:12" ht="15" x14ac:dyDescent="0.25">
      <c r="A1429">
        <v>88162</v>
      </c>
      <c r="B1429" t="e">
        <f t="shared" si="54"/>
        <v>#N/A</v>
      </c>
      <c r="C1429" s="198" t="e">
        <f t="shared" si="55"/>
        <v>#N/A</v>
      </c>
      <c r="D1429" s="526" t="e">
        <v>#N/A</v>
      </c>
      <c r="E1429" s="526" t="e">
        <v>#N/A</v>
      </c>
      <c r="F1429" s="526" t="e">
        <v>#N/A</v>
      </c>
      <c r="G1429" s="526" t="e">
        <v>#N/A</v>
      </c>
      <c r="H1429" s="412" t="e">
        <v>#N/A</v>
      </c>
      <c r="I1429" s="411" t="e">
        <v>#N/A</v>
      </c>
      <c r="J1429" s="411" t="e">
        <v>#N/A</v>
      </c>
      <c r="K1429" s="411" t="e">
        <v>#N/A</v>
      </c>
      <c r="L1429" s="526" t="e">
        <v>#N/A</v>
      </c>
    </row>
    <row r="1430" spans="1:12" ht="15" x14ac:dyDescent="0.25">
      <c r="A1430">
        <v>88193</v>
      </c>
      <c r="B1430" t="e">
        <f t="shared" si="54"/>
        <v>#N/A</v>
      </c>
      <c r="C1430" s="198" t="e">
        <f t="shared" si="55"/>
        <v>#N/A</v>
      </c>
      <c r="D1430" s="526" t="e">
        <v>#N/A</v>
      </c>
      <c r="E1430" s="526" t="e">
        <v>#N/A</v>
      </c>
      <c r="F1430" s="526" t="e">
        <v>#N/A</v>
      </c>
      <c r="G1430" s="526" t="e">
        <v>#N/A</v>
      </c>
      <c r="H1430" s="412" t="e">
        <v>#N/A</v>
      </c>
      <c r="I1430" s="411" t="e">
        <v>#N/A</v>
      </c>
      <c r="J1430" s="411" t="e">
        <v>#N/A</v>
      </c>
      <c r="K1430" s="411" t="e">
        <v>#N/A</v>
      </c>
      <c r="L1430" s="526" t="e">
        <v>#N/A</v>
      </c>
    </row>
    <row r="1431" spans="1:12" ht="15" x14ac:dyDescent="0.25">
      <c r="A1431">
        <v>88163</v>
      </c>
      <c r="B1431" t="e">
        <f t="shared" si="54"/>
        <v>#N/A</v>
      </c>
      <c r="C1431" s="198" t="e">
        <f t="shared" si="55"/>
        <v>#N/A</v>
      </c>
      <c r="D1431" s="526" t="e">
        <v>#N/A</v>
      </c>
      <c r="E1431" s="526" t="e">
        <v>#N/A</v>
      </c>
      <c r="F1431" s="526" t="e">
        <v>#N/A</v>
      </c>
      <c r="G1431" s="526" t="e">
        <v>#N/A</v>
      </c>
      <c r="H1431" s="412" t="e">
        <v>#N/A</v>
      </c>
      <c r="I1431" s="411" t="e">
        <v>#N/A</v>
      </c>
      <c r="J1431" s="411" t="e">
        <v>#N/A</v>
      </c>
      <c r="K1431" s="411" t="e">
        <v>#N/A</v>
      </c>
      <c r="L1431" s="526" t="e">
        <v>#N/A</v>
      </c>
    </row>
    <row r="1432" spans="1:12" ht="15" x14ac:dyDescent="0.25">
      <c r="A1432">
        <v>88164</v>
      </c>
      <c r="B1432" t="e">
        <f t="shared" si="54"/>
        <v>#N/A</v>
      </c>
      <c r="C1432" s="198" t="e">
        <f t="shared" si="55"/>
        <v>#N/A</v>
      </c>
      <c r="D1432" s="526" t="e">
        <v>#N/A</v>
      </c>
      <c r="E1432" s="526" t="e">
        <v>#N/A</v>
      </c>
      <c r="F1432" s="526" t="e">
        <v>#N/A</v>
      </c>
      <c r="G1432" s="526" t="e">
        <v>#N/A</v>
      </c>
      <c r="H1432" s="412" t="e">
        <v>#N/A</v>
      </c>
      <c r="I1432" s="411" t="e">
        <v>#N/A</v>
      </c>
      <c r="J1432" s="411" t="e">
        <v>#N/A</v>
      </c>
      <c r="K1432" s="411" t="e">
        <v>#N/A</v>
      </c>
      <c r="L1432" s="526" t="e">
        <v>#N/A</v>
      </c>
    </row>
    <row r="1433" spans="1:12" ht="15" x14ac:dyDescent="0.25">
      <c r="A1433">
        <v>88393</v>
      </c>
      <c r="B1433" t="e">
        <f t="shared" ref="B1433:B1485" si="56">IF($A$2=1,D1433,IF($A$2=2,F1433,IF($A$2=3,G1433,IF($A$2=4,E1433,"zadat jazyk"))))</f>
        <v>#N/A</v>
      </c>
      <c r="C1433" s="198" t="e">
        <f t="shared" ref="C1433:C1485" si="57">IF($A$2=1,H1433,IF($A$2=2,I1433,IF($A$2=3,J1433,IF($A$2=4,K1433,"zadat jazyk"))))</f>
        <v>#N/A</v>
      </c>
      <c r="D1433" s="526" t="e">
        <v>#N/A</v>
      </c>
      <c r="E1433" s="526" t="e">
        <v>#N/A</v>
      </c>
      <c r="F1433" s="526" t="e">
        <v>#N/A</v>
      </c>
      <c r="G1433" s="526" t="e">
        <v>#N/A</v>
      </c>
      <c r="H1433" s="412" t="e">
        <v>#N/A</v>
      </c>
      <c r="I1433" s="411" t="e">
        <v>#N/A</v>
      </c>
      <c r="J1433" s="411" t="e">
        <v>#N/A</v>
      </c>
      <c r="K1433" s="411" t="e">
        <v>#N/A</v>
      </c>
      <c r="L1433" s="526" t="e">
        <v>#N/A</v>
      </c>
    </row>
    <row r="1434" spans="1:12" ht="15" x14ac:dyDescent="0.25">
      <c r="A1434">
        <v>88394</v>
      </c>
      <c r="B1434" t="e">
        <f t="shared" si="56"/>
        <v>#N/A</v>
      </c>
      <c r="C1434" s="198" t="e">
        <f t="shared" si="57"/>
        <v>#N/A</v>
      </c>
      <c r="D1434" s="526" t="e">
        <v>#N/A</v>
      </c>
      <c r="E1434" s="526" t="e">
        <v>#N/A</v>
      </c>
      <c r="F1434" s="526" t="e">
        <v>#N/A</v>
      </c>
      <c r="G1434" s="526" t="e">
        <v>#N/A</v>
      </c>
      <c r="H1434" s="412" t="e">
        <v>#N/A</v>
      </c>
      <c r="I1434" s="411" t="e">
        <v>#N/A</v>
      </c>
      <c r="J1434" s="411" t="e">
        <v>#N/A</v>
      </c>
      <c r="K1434" s="411" t="e">
        <v>#N/A</v>
      </c>
      <c r="L1434" s="526" t="e">
        <v>#N/A</v>
      </c>
    </row>
    <row r="1435" spans="1:12" ht="15" x14ac:dyDescent="0.25">
      <c r="A1435">
        <v>88396</v>
      </c>
      <c r="B1435" t="e">
        <f t="shared" si="56"/>
        <v>#N/A</v>
      </c>
      <c r="C1435" s="198" t="e">
        <f t="shared" si="57"/>
        <v>#N/A</v>
      </c>
      <c r="D1435" s="526" t="e">
        <v>#N/A</v>
      </c>
      <c r="E1435" s="526" t="e">
        <v>#N/A</v>
      </c>
      <c r="F1435" s="526" t="e">
        <v>#N/A</v>
      </c>
      <c r="G1435" s="526" t="e">
        <v>#N/A</v>
      </c>
      <c r="H1435" s="412" t="e">
        <v>#N/A</v>
      </c>
      <c r="I1435" s="411" t="e">
        <v>#N/A</v>
      </c>
      <c r="J1435" s="411" t="e">
        <v>#N/A</v>
      </c>
      <c r="K1435" s="411" t="e">
        <v>#N/A</v>
      </c>
      <c r="L1435" s="526" t="e">
        <v>#N/A</v>
      </c>
    </row>
    <row r="1436" spans="1:12" ht="15" x14ac:dyDescent="0.25">
      <c r="A1436">
        <v>88398</v>
      </c>
      <c r="B1436" t="e">
        <f t="shared" si="56"/>
        <v>#N/A</v>
      </c>
      <c r="C1436" s="198" t="e">
        <f t="shared" si="57"/>
        <v>#N/A</v>
      </c>
      <c r="D1436" s="526" t="e">
        <v>#N/A</v>
      </c>
      <c r="E1436" s="526" t="e">
        <v>#N/A</v>
      </c>
      <c r="F1436" s="526" t="e">
        <v>#N/A</v>
      </c>
      <c r="G1436" s="526" t="e">
        <v>#N/A</v>
      </c>
      <c r="H1436" s="412" t="e">
        <v>#N/A</v>
      </c>
      <c r="I1436" s="411" t="e">
        <v>#N/A</v>
      </c>
      <c r="J1436" s="411" t="e">
        <v>#N/A</v>
      </c>
      <c r="K1436" s="411" t="e">
        <v>#N/A</v>
      </c>
      <c r="L1436" s="526" t="e">
        <v>#N/A</v>
      </c>
    </row>
    <row r="1437" spans="1:12" ht="15" x14ac:dyDescent="0.25">
      <c r="A1437">
        <v>88803</v>
      </c>
      <c r="B1437" t="e">
        <f t="shared" si="56"/>
        <v>#N/A</v>
      </c>
      <c r="C1437" s="198" t="e">
        <f t="shared" si="57"/>
        <v>#N/A</v>
      </c>
      <c r="D1437" s="526" t="e">
        <v>#N/A</v>
      </c>
      <c r="E1437" s="526" t="e">
        <v>#N/A</v>
      </c>
      <c r="F1437" s="526" t="e">
        <v>#N/A</v>
      </c>
      <c r="G1437" s="526" t="e">
        <v>#N/A</v>
      </c>
      <c r="H1437" s="412" t="e">
        <v>#N/A</v>
      </c>
      <c r="I1437" s="411" t="e">
        <v>#N/A</v>
      </c>
      <c r="J1437" s="411" t="e">
        <v>#N/A</v>
      </c>
      <c r="K1437" s="411" t="e">
        <v>#N/A</v>
      </c>
      <c r="L1437" s="526" t="e">
        <v>#N/A</v>
      </c>
    </row>
    <row r="1438" spans="1:12" ht="15" x14ac:dyDescent="0.25">
      <c r="A1438">
        <v>88968</v>
      </c>
      <c r="B1438" t="e">
        <f t="shared" si="56"/>
        <v>#N/A</v>
      </c>
      <c r="C1438" s="198" t="e">
        <f t="shared" si="57"/>
        <v>#N/A</v>
      </c>
      <c r="D1438" s="526" t="e">
        <v>#N/A</v>
      </c>
      <c r="E1438" s="526" t="e">
        <v>#N/A</v>
      </c>
      <c r="F1438" s="526" t="e">
        <v>#N/A</v>
      </c>
      <c r="G1438" s="526" t="e">
        <v>#N/A</v>
      </c>
      <c r="H1438" s="412" t="e">
        <v>#N/A</v>
      </c>
      <c r="I1438" s="411" t="e">
        <v>#N/A</v>
      </c>
      <c r="J1438" s="411" t="e">
        <v>#N/A</v>
      </c>
      <c r="K1438" s="411" t="e">
        <v>#N/A</v>
      </c>
      <c r="L1438" s="526" t="e">
        <v>#N/A</v>
      </c>
    </row>
    <row r="1439" spans="1:12" ht="15" x14ac:dyDescent="0.25">
      <c r="A1439">
        <v>87311</v>
      </c>
      <c r="B1439" t="e">
        <f t="shared" si="56"/>
        <v>#N/A</v>
      </c>
      <c r="C1439" s="198" t="e">
        <f t="shared" si="57"/>
        <v>#N/A</v>
      </c>
      <c r="D1439" s="526" t="e">
        <v>#N/A</v>
      </c>
      <c r="E1439" s="526" t="e">
        <v>#N/A</v>
      </c>
      <c r="F1439" s="526" t="e">
        <v>#N/A</v>
      </c>
      <c r="G1439" s="526" t="e">
        <v>#N/A</v>
      </c>
      <c r="H1439" s="412" t="e">
        <v>#N/A</v>
      </c>
      <c r="I1439" s="411" t="e">
        <v>#N/A</v>
      </c>
      <c r="J1439" s="411" t="e">
        <v>#N/A</v>
      </c>
      <c r="K1439" s="411" t="e">
        <v>#N/A</v>
      </c>
      <c r="L1439" s="526" t="e">
        <v>#N/A</v>
      </c>
    </row>
    <row r="1440" spans="1:12" ht="15" x14ac:dyDescent="0.25">
      <c r="A1440">
        <v>87312</v>
      </c>
      <c r="B1440" t="e">
        <f t="shared" si="56"/>
        <v>#N/A</v>
      </c>
      <c r="C1440" s="198" t="e">
        <f t="shared" si="57"/>
        <v>#N/A</v>
      </c>
      <c r="D1440" s="526" t="e">
        <v>#N/A</v>
      </c>
      <c r="E1440" s="526" t="e">
        <v>#N/A</v>
      </c>
      <c r="F1440" s="526" t="e">
        <v>#N/A</v>
      </c>
      <c r="G1440" s="526" t="e">
        <v>#N/A</v>
      </c>
      <c r="H1440" s="412" t="e">
        <v>#N/A</v>
      </c>
      <c r="I1440" s="411" t="e">
        <v>#N/A</v>
      </c>
      <c r="J1440" s="411" t="e">
        <v>#N/A</v>
      </c>
      <c r="K1440" s="411" t="e">
        <v>#N/A</v>
      </c>
      <c r="L1440" s="526" t="e">
        <v>#N/A</v>
      </c>
    </row>
    <row r="1441" spans="1:12" ht="15" x14ac:dyDescent="0.25">
      <c r="A1441">
        <v>87313</v>
      </c>
      <c r="B1441" t="e">
        <f t="shared" si="56"/>
        <v>#N/A</v>
      </c>
      <c r="C1441" s="198" t="e">
        <f t="shared" si="57"/>
        <v>#N/A</v>
      </c>
      <c r="D1441" s="526" t="e">
        <v>#N/A</v>
      </c>
      <c r="E1441" s="526" t="e">
        <v>#N/A</v>
      </c>
      <c r="F1441" s="526" t="e">
        <v>#N/A</v>
      </c>
      <c r="G1441" s="526" t="e">
        <v>#N/A</v>
      </c>
      <c r="H1441" s="412" t="e">
        <v>#N/A</v>
      </c>
      <c r="I1441" s="411" t="e">
        <v>#N/A</v>
      </c>
      <c r="J1441" s="411" t="e">
        <v>#N/A</v>
      </c>
      <c r="K1441" s="411" t="e">
        <v>#N/A</v>
      </c>
      <c r="L1441" s="526" t="e">
        <v>#N/A</v>
      </c>
    </row>
    <row r="1442" spans="1:12" ht="15" x14ac:dyDescent="0.25">
      <c r="A1442">
        <v>87314</v>
      </c>
      <c r="B1442" t="e">
        <f t="shared" si="56"/>
        <v>#N/A</v>
      </c>
      <c r="C1442" s="198" t="e">
        <f t="shared" si="57"/>
        <v>#N/A</v>
      </c>
      <c r="D1442" s="526" t="e">
        <v>#N/A</v>
      </c>
      <c r="E1442" s="526" t="e">
        <v>#N/A</v>
      </c>
      <c r="F1442" s="526" t="e">
        <v>#N/A</v>
      </c>
      <c r="G1442" s="526" t="e">
        <v>#N/A</v>
      </c>
      <c r="H1442" s="412" t="e">
        <v>#N/A</v>
      </c>
      <c r="I1442" s="411" t="e">
        <v>#N/A</v>
      </c>
      <c r="J1442" s="411" t="e">
        <v>#N/A</v>
      </c>
      <c r="K1442" s="411" t="e">
        <v>#N/A</v>
      </c>
      <c r="L1442" s="526" t="e">
        <v>#N/A</v>
      </c>
    </row>
    <row r="1443" spans="1:12" ht="15" x14ac:dyDescent="0.25">
      <c r="A1443">
        <v>87315</v>
      </c>
      <c r="B1443" t="e">
        <f t="shared" si="56"/>
        <v>#N/A</v>
      </c>
      <c r="C1443" s="198" t="e">
        <f t="shared" si="57"/>
        <v>#N/A</v>
      </c>
      <c r="D1443" s="526" t="e">
        <v>#N/A</v>
      </c>
      <c r="E1443" s="526" t="e">
        <v>#N/A</v>
      </c>
      <c r="F1443" s="526" t="e">
        <v>#N/A</v>
      </c>
      <c r="G1443" s="526" t="e">
        <v>#N/A</v>
      </c>
      <c r="H1443" s="412" t="e">
        <v>#N/A</v>
      </c>
      <c r="I1443" s="411" t="e">
        <v>#N/A</v>
      </c>
      <c r="J1443" s="411" t="e">
        <v>#N/A</v>
      </c>
      <c r="K1443" s="411" t="e">
        <v>#N/A</v>
      </c>
      <c r="L1443" s="526" t="e">
        <v>#N/A</v>
      </c>
    </row>
    <row r="1444" spans="1:12" ht="15" x14ac:dyDescent="0.25">
      <c r="A1444">
        <v>88630</v>
      </c>
      <c r="B1444" t="e">
        <f t="shared" si="56"/>
        <v>#N/A</v>
      </c>
      <c r="C1444" s="198" t="e">
        <f t="shared" si="57"/>
        <v>#N/A</v>
      </c>
      <c r="D1444" s="526" t="e">
        <v>#N/A</v>
      </c>
      <c r="E1444" s="526" t="e">
        <v>#N/A</v>
      </c>
      <c r="F1444" s="526" t="e">
        <v>#N/A</v>
      </c>
      <c r="G1444" s="526" t="e">
        <v>#N/A</v>
      </c>
      <c r="H1444" s="412" t="e">
        <v>#N/A</v>
      </c>
      <c r="I1444" s="411" t="e">
        <v>#N/A</v>
      </c>
      <c r="J1444" s="411" t="e">
        <v>#N/A</v>
      </c>
      <c r="K1444" s="411" t="e">
        <v>#N/A</v>
      </c>
      <c r="L1444" s="526" t="e">
        <v>#N/A</v>
      </c>
    </row>
    <row r="1445" spans="1:12" ht="15" x14ac:dyDescent="0.25">
      <c r="A1445">
        <v>88631</v>
      </c>
      <c r="B1445" t="e">
        <f t="shared" si="56"/>
        <v>#N/A</v>
      </c>
      <c r="C1445" s="198" t="e">
        <f t="shared" si="57"/>
        <v>#N/A</v>
      </c>
      <c r="D1445" s="526" t="e">
        <v>#N/A</v>
      </c>
      <c r="E1445" s="526" t="e">
        <v>#N/A</v>
      </c>
      <c r="F1445" s="526" t="e">
        <v>#N/A</v>
      </c>
      <c r="G1445" s="526" t="e">
        <v>#N/A</v>
      </c>
      <c r="H1445" s="412" t="e">
        <v>#N/A</v>
      </c>
      <c r="I1445" s="411" t="e">
        <v>#N/A</v>
      </c>
      <c r="J1445" s="411" t="e">
        <v>#N/A</v>
      </c>
      <c r="K1445" s="411" t="e">
        <v>#N/A</v>
      </c>
      <c r="L1445" s="526" t="e">
        <v>#N/A</v>
      </c>
    </row>
    <row r="1446" spans="1:12" ht="15" x14ac:dyDescent="0.25">
      <c r="A1446">
        <v>88632</v>
      </c>
      <c r="B1446" t="e">
        <f t="shared" si="56"/>
        <v>#N/A</v>
      </c>
      <c r="C1446" s="198" t="e">
        <f t="shared" si="57"/>
        <v>#N/A</v>
      </c>
      <c r="D1446" s="526" t="e">
        <v>#N/A</v>
      </c>
      <c r="E1446" s="526" t="e">
        <v>#N/A</v>
      </c>
      <c r="F1446" s="526" t="e">
        <v>#N/A</v>
      </c>
      <c r="G1446" s="526" t="e">
        <v>#N/A</v>
      </c>
      <c r="H1446" s="412" t="e">
        <v>#N/A</v>
      </c>
      <c r="I1446" s="411" t="e">
        <v>#N/A</v>
      </c>
      <c r="J1446" s="411" t="e">
        <v>#N/A</v>
      </c>
      <c r="K1446" s="411" t="e">
        <v>#N/A</v>
      </c>
      <c r="L1446" s="526" t="e">
        <v>#N/A</v>
      </c>
    </row>
    <row r="1447" spans="1:12" ht="15" x14ac:dyDescent="0.25">
      <c r="A1447">
        <v>88633</v>
      </c>
      <c r="B1447" t="e">
        <f t="shared" si="56"/>
        <v>#N/A</v>
      </c>
      <c r="C1447" s="198" t="e">
        <f t="shared" si="57"/>
        <v>#N/A</v>
      </c>
      <c r="D1447" s="526" t="e">
        <v>#N/A</v>
      </c>
      <c r="E1447" s="526" t="e">
        <v>#N/A</v>
      </c>
      <c r="F1447" s="526" t="e">
        <v>#N/A</v>
      </c>
      <c r="G1447" s="526" t="e">
        <v>#N/A</v>
      </c>
      <c r="H1447" s="412" t="e">
        <v>#N/A</v>
      </c>
      <c r="I1447" s="411" t="e">
        <v>#N/A</v>
      </c>
      <c r="J1447" s="411" t="e">
        <v>#N/A</v>
      </c>
      <c r="K1447" s="411" t="e">
        <v>#N/A</v>
      </c>
      <c r="L1447" s="526" t="e">
        <v>#N/A</v>
      </c>
    </row>
    <row r="1448" spans="1:12" ht="15" x14ac:dyDescent="0.25">
      <c r="A1448">
        <v>88634</v>
      </c>
      <c r="B1448" t="e">
        <f t="shared" si="56"/>
        <v>#N/A</v>
      </c>
      <c r="C1448" s="198" t="e">
        <f t="shared" si="57"/>
        <v>#N/A</v>
      </c>
      <c r="D1448" s="526" t="e">
        <v>#N/A</v>
      </c>
      <c r="E1448" s="526" t="e">
        <v>#N/A</v>
      </c>
      <c r="F1448" s="526" t="e">
        <v>#N/A</v>
      </c>
      <c r="G1448" s="526" t="e">
        <v>#N/A</v>
      </c>
      <c r="H1448" s="412" t="e">
        <v>#N/A</v>
      </c>
      <c r="I1448" s="411" t="e">
        <v>#N/A</v>
      </c>
      <c r="J1448" s="411" t="e">
        <v>#N/A</v>
      </c>
      <c r="K1448" s="411" t="e">
        <v>#N/A</v>
      </c>
      <c r="L1448" s="526" t="e">
        <v>#N/A</v>
      </c>
    </row>
    <row r="1449" spans="1:12" ht="15" x14ac:dyDescent="0.25">
      <c r="A1449">
        <v>88635</v>
      </c>
      <c r="B1449" t="e">
        <f t="shared" si="56"/>
        <v>#N/A</v>
      </c>
      <c r="C1449" s="198" t="e">
        <f t="shared" si="57"/>
        <v>#N/A</v>
      </c>
      <c r="D1449" s="526" t="e">
        <v>#N/A</v>
      </c>
      <c r="E1449" s="526" t="e">
        <v>#N/A</v>
      </c>
      <c r="F1449" s="526" t="e">
        <v>#N/A</v>
      </c>
      <c r="G1449" s="526" t="e">
        <v>#N/A</v>
      </c>
      <c r="H1449" s="412" t="e">
        <v>#N/A</v>
      </c>
      <c r="I1449" s="411" t="e">
        <v>#N/A</v>
      </c>
      <c r="J1449" s="411" t="e">
        <v>#N/A</v>
      </c>
      <c r="K1449" s="411" t="e">
        <v>#N/A</v>
      </c>
      <c r="L1449" s="526" t="e">
        <v>#N/A</v>
      </c>
    </row>
    <row r="1450" spans="1:12" ht="15" x14ac:dyDescent="0.25">
      <c r="A1450">
        <v>88636</v>
      </c>
      <c r="B1450" t="e">
        <f t="shared" si="56"/>
        <v>#N/A</v>
      </c>
      <c r="C1450" s="198" t="e">
        <f t="shared" si="57"/>
        <v>#N/A</v>
      </c>
      <c r="D1450" s="526" t="e">
        <v>#N/A</v>
      </c>
      <c r="E1450" s="526" t="e">
        <v>#N/A</v>
      </c>
      <c r="F1450" s="526" t="e">
        <v>#N/A</v>
      </c>
      <c r="G1450" s="526" t="e">
        <v>#N/A</v>
      </c>
      <c r="H1450" s="412" t="e">
        <v>#N/A</v>
      </c>
      <c r="I1450" s="411" t="e">
        <v>#N/A</v>
      </c>
      <c r="J1450" s="411" t="e">
        <v>#N/A</v>
      </c>
      <c r="K1450" s="411" t="e">
        <v>#N/A</v>
      </c>
      <c r="L1450" s="526" t="e">
        <v>#N/A</v>
      </c>
    </row>
    <row r="1451" spans="1:12" ht="15" x14ac:dyDescent="0.25">
      <c r="A1451">
        <v>88643</v>
      </c>
      <c r="B1451" t="e">
        <f t="shared" si="56"/>
        <v>#N/A</v>
      </c>
      <c r="C1451" s="198" t="e">
        <f t="shared" si="57"/>
        <v>#N/A</v>
      </c>
      <c r="D1451" s="526" t="e">
        <v>#N/A</v>
      </c>
      <c r="E1451" s="526" t="e">
        <v>#N/A</v>
      </c>
      <c r="F1451" s="526" t="e">
        <v>#N/A</v>
      </c>
      <c r="G1451" s="526" t="e">
        <v>#N/A</v>
      </c>
      <c r="H1451" s="412" t="e">
        <v>#N/A</v>
      </c>
      <c r="I1451" s="411" t="e">
        <v>#N/A</v>
      </c>
      <c r="J1451" s="411" t="e">
        <v>#N/A</v>
      </c>
      <c r="K1451" s="411" t="e">
        <v>#N/A</v>
      </c>
      <c r="L1451" s="526" t="e">
        <v>#N/A</v>
      </c>
    </row>
    <row r="1452" spans="1:12" ht="15" x14ac:dyDescent="0.25">
      <c r="A1452">
        <v>88644</v>
      </c>
      <c r="B1452" t="e">
        <f t="shared" si="56"/>
        <v>#N/A</v>
      </c>
      <c r="C1452" s="198" t="e">
        <f t="shared" si="57"/>
        <v>#N/A</v>
      </c>
      <c r="D1452" s="526" t="e">
        <v>#N/A</v>
      </c>
      <c r="E1452" s="526" t="e">
        <v>#N/A</v>
      </c>
      <c r="F1452" s="526" t="e">
        <v>#N/A</v>
      </c>
      <c r="G1452" s="526" t="e">
        <v>#N/A</v>
      </c>
      <c r="H1452" s="412" t="e">
        <v>#N/A</v>
      </c>
      <c r="I1452" s="411" t="e">
        <v>#N/A</v>
      </c>
      <c r="J1452" s="411" t="e">
        <v>#N/A</v>
      </c>
      <c r="K1452" s="411" t="e">
        <v>#N/A</v>
      </c>
      <c r="L1452" s="526" t="e">
        <v>#N/A</v>
      </c>
    </row>
    <row r="1453" spans="1:12" ht="15" x14ac:dyDescent="0.25">
      <c r="A1453">
        <v>88645</v>
      </c>
      <c r="B1453" t="e">
        <f t="shared" si="56"/>
        <v>#N/A</v>
      </c>
      <c r="C1453" s="198" t="e">
        <f t="shared" si="57"/>
        <v>#N/A</v>
      </c>
      <c r="D1453" s="526" t="e">
        <v>#N/A</v>
      </c>
      <c r="E1453" s="526" t="e">
        <v>#N/A</v>
      </c>
      <c r="F1453" s="526" t="e">
        <v>#N/A</v>
      </c>
      <c r="G1453" s="526" t="e">
        <v>#N/A</v>
      </c>
      <c r="H1453" s="412" t="e">
        <v>#N/A</v>
      </c>
      <c r="I1453" s="411" t="e">
        <v>#N/A</v>
      </c>
      <c r="J1453" s="411" t="e">
        <v>#N/A</v>
      </c>
      <c r="K1453" s="411" t="e">
        <v>#N/A</v>
      </c>
      <c r="L1453" s="526" t="e">
        <v>#N/A</v>
      </c>
    </row>
    <row r="1454" spans="1:12" ht="15" x14ac:dyDescent="0.25">
      <c r="A1454">
        <v>89690</v>
      </c>
      <c r="B1454" t="e">
        <f t="shared" si="56"/>
        <v>#N/A</v>
      </c>
      <c r="C1454" s="198" t="e">
        <f t="shared" si="57"/>
        <v>#N/A</v>
      </c>
      <c r="D1454" s="526" t="e">
        <v>#N/A</v>
      </c>
      <c r="E1454" s="526" t="e">
        <v>#N/A</v>
      </c>
      <c r="F1454" s="526" t="e">
        <v>#N/A</v>
      </c>
      <c r="G1454" s="526" t="e">
        <v>#N/A</v>
      </c>
      <c r="H1454" s="412" t="e">
        <v>#N/A</v>
      </c>
      <c r="I1454" s="411" t="e">
        <v>#N/A</v>
      </c>
      <c r="J1454" s="411" t="e">
        <v>#N/A</v>
      </c>
      <c r="K1454" s="411" t="e">
        <v>#N/A</v>
      </c>
      <c r="L1454" s="526" t="e">
        <v>#N/A</v>
      </c>
    </row>
    <row r="1455" spans="1:12" ht="15" x14ac:dyDescent="0.25">
      <c r="A1455">
        <v>266434</v>
      </c>
      <c r="B1455" t="e">
        <f t="shared" si="56"/>
        <v>#N/A</v>
      </c>
      <c r="C1455" s="198" t="e">
        <f t="shared" si="57"/>
        <v>#N/A</v>
      </c>
      <c r="D1455" s="526" t="e">
        <v>#N/A</v>
      </c>
      <c r="E1455" s="526" t="e">
        <v>#N/A</v>
      </c>
      <c r="F1455" s="526" t="e">
        <v>#N/A</v>
      </c>
      <c r="G1455" s="526" t="e">
        <v>#N/A</v>
      </c>
      <c r="H1455" s="412" t="e">
        <v>#N/A</v>
      </c>
      <c r="I1455" s="411" t="e">
        <v>#N/A</v>
      </c>
      <c r="J1455" s="411" t="e">
        <v>#N/A</v>
      </c>
      <c r="K1455" s="411" t="e">
        <v>#N/A</v>
      </c>
      <c r="L1455" s="526" t="e">
        <v>#N/A</v>
      </c>
    </row>
    <row r="1456" spans="1:12" ht="15" x14ac:dyDescent="0.25">
      <c r="A1456">
        <v>266435</v>
      </c>
      <c r="B1456" t="e">
        <f t="shared" si="56"/>
        <v>#N/A</v>
      </c>
      <c r="C1456" s="198" t="e">
        <f t="shared" si="57"/>
        <v>#N/A</v>
      </c>
      <c r="D1456" s="526" t="e">
        <v>#N/A</v>
      </c>
      <c r="E1456" s="526" t="e">
        <v>#N/A</v>
      </c>
      <c r="F1456" s="526" t="e">
        <v>#N/A</v>
      </c>
      <c r="G1456" s="526" t="e">
        <v>#N/A</v>
      </c>
      <c r="H1456" s="412" t="e">
        <v>#N/A</v>
      </c>
      <c r="I1456" s="411" t="e">
        <v>#N/A</v>
      </c>
      <c r="J1456" s="411" t="e">
        <v>#N/A</v>
      </c>
      <c r="K1456" s="411" t="e">
        <v>#N/A</v>
      </c>
      <c r="L1456" s="526" t="e">
        <v>#N/A</v>
      </c>
    </row>
    <row r="1457" spans="1:12" ht="15" x14ac:dyDescent="0.25">
      <c r="A1457">
        <v>266436</v>
      </c>
      <c r="B1457" t="e">
        <f t="shared" si="56"/>
        <v>#N/A</v>
      </c>
      <c r="C1457" s="198" t="e">
        <f t="shared" si="57"/>
        <v>#N/A</v>
      </c>
      <c r="D1457" s="526" t="e">
        <v>#N/A</v>
      </c>
      <c r="E1457" s="526" t="e">
        <v>#N/A</v>
      </c>
      <c r="F1457" s="526" t="e">
        <v>#N/A</v>
      </c>
      <c r="G1457" s="526" t="e">
        <v>#N/A</v>
      </c>
      <c r="H1457" s="412" t="e">
        <v>#N/A</v>
      </c>
      <c r="I1457" s="411" t="e">
        <v>#N/A</v>
      </c>
      <c r="J1457" s="411" t="e">
        <v>#N/A</v>
      </c>
      <c r="K1457" s="411" t="e">
        <v>#N/A</v>
      </c>
      <c r="L1457" s="526" t="e">
        <v>#N/A</v>
      </c>
    </row>
    <row r="1458" spans="1:12" ht="15" x14ac:dyDescent="0.25">
      <c r="A1458">
        <v>266437</v>
      </c>
      <c r="B1458" t="e">
        <f t="shared" si="56"/>
        <v>#N/A</v>
      </c>
      <c r="C1458" s="198" t="e">
        <f t="shared" si="57"/>
        <v>#N/A</v>
      </c>
      <c r="D1458" s="526" t="e">
        <v>#N/A</v>
      </c>
      <c r="E1458" s="526" t="e">
        <v>#N/A</v>
      </c>
      <c r="F1458" s="526" t="e">
        <v>#N/A</v>
      </c>
      <c r="G1458" s="526" t="e">
        <v>#N/A</v>
      </c>
      <c r="H1458" s="412" t="e">
        <v>#N/A</v>
      </c>
      <c r="I1458" s="411" t="e">
        <v>#N/A</v>
      </c>
      <c r="J1458" s="411" t="e">
        <v>#N/A</v>
      </c>
      <c r="K1458" s="411" t="e">
        <v>#N/A</v>
      </c>
      <c r="L1458" s="526" t="e">
        <v>#N/A</v>
      </c>
    </row>
    <row r="1459" spans="1:12" ht="15" x14ac:dyDescent="0.25">
      <c r="A1459">
        <v>375328</v>
      </c>
      <c r="B1459" t="str">
        <f t="shared" si="56"/>
        <v>SEVROLL 219-047 držiak horného vedenia pre lamino 16 - 25mm</v>
      </c>
      <c r="C1459" s="198">
        <f t="shared" si="57"/>
        <v>2.3222700000000001</v>
      </c>
      <c r="D1459" s="526" t="s">
        <v>1428</v>
      </c>
      <c r="E1459" s="526" t="s">
        <v>1873</v>
      </c>
      <c r="F1459" s="526" t="s">
        <v>5888</v>
      </c>
      <c r="G1459" s="526" t="s">
        <v>5889</v>
      </c>
      <c r="H1459" s="412">
        <v>61.294499999999999</v>
      </c>
      <c r="I1459" s="411">
        <v>2.3222700000000001</v>
      </c>
      <c r="J1459" s="411">
        <v>7.9903700000000004</v>
      </c>
      <c r="K1459" s="411">
        <v>855.17307000000005</v>
      </c>
      <c r="L1459" s="526" t="s">
        <v>554</v>
      </c>
    </row>
    <row r="1460" spans="1:12" ht="15" x14ac:dyDescent="0.25">
      <c r="A1460">
        <v>375331</v>
      </c>
      <c r="B1460" t="str">
        <f t="shared" si="56"/>
        <v>SEVROLL 214-694 krycia lišta Herkules II 1,8m strieborná</v>
      </c>
      <c r="C1460" s="198" t="e">
        <f t="shared" si="57"/>
        <v>#N/A</v>
      </c>
      <c r="D1460" s="526" t="s">
        <v>1429</v>
      </c>
      <c r="E1460" s="526" t="s">
        <v>1874</v>
      </c>
      <c r="F1460" s="526" t="s">
        <v>5890</v>
      </c>
      <c r="G1460" s="526" t="s">
        <v>5891</v>
      </c>
      <c r="H1460" s="412" t="e">
        <v>#N/A</v>
      </c>
      <c r="I1460" s="411" t="e">
        <v>#N/A</v>
      </c>
      <c r="J1460" s="411" t="e">
        <v>#N/A</v>
      </c>
      <c r="K1460" s="411" t="e">
        <v>#N/A</v>
      </c>
      <c r="L1460" s="526" t="e">
        <v>#N/A</v>
      </c>
    </row>
    <row r="1461" spans="1:12" ht="15" x14ac:dyDescent="0.25">
      <c r="A1461">
        <v>375471</v>
      </c>
      <c r="B1461" t="e">
        <f t="shared" si="56"/>
        <v>#N/A</v>
      </c>
      <c r="C1461" s="198" t="e">
        <f t="shared" si="57"/>
        <v>#N/A</v>
      </c>
      <c r="D1461" s="526" t="e">
        <v>#N/A</v>
      </c>
      <c r="E1461" s="526" t="e">
        <v>#N/A</v>
      </c>
      <c r="F1461" s="526" t="e">
        <v>#N/A</v>
      </c>
      <c r="G1461" s="526" t="e">
        <v>#N/A</v>
      </c>
      <c r="H1461" s="412" t="e">
        <v>#N/A</v>
      </c>
      <c r="I1461" s="411" t="e">
        <v>#N/A</v>
      </c>
      <c r="J1461" s="411" t="e">
        <v>#N/A</v>
      </c>
      <c r="K1461" s="411" t="e">
        <v>#N/A</v>
      </c>
      <c r="L1461" s="526" t="e">
        <v>#N/A</v>
      </c>
    </row>
    <row r="1462" spans="1:12" ht="15" x14ac:dyDescent="0.25">
      <c r="A1462">
        <v>375472</v>
      </c>
      <c r="B1462" t="e">
        <f t="shared" si="56"/>
        <v>#N/A</v>
      </c>
      <c r="C1462" s="198" t="e">
        <f t="shared" si="57"/>
        <v>#N/A</v>
      </c>
      <c r="D1462" s="526" t="e">
        <v>#N/A</v>
      </c>
      <c r="E1462" s="526" t="e">
        <v>#N/A</v>
      </c>
      <c r="F1462" s="526" t="e">
        <v>#N/A</v>
      </c>
      <c r="G1462" s="526" t="e">
        <v>#N/A</v>
      </c>
      <c r="H1462" s="412" t="e">
        <v>#N/A</v>
      </c>
      <c r="I1462" s="411" t="e">
        <v>#N/A</v>
      </c>
      <c r="J1462" s="411" t="e">
        <v>#N/A</v>
      </c>
      <c r="K1462" s="411" t="e">
        <v>#N/A</v>
      </c>
      <c r="L1462" s="526" t="e">
        <v>#N/A</v>
      </c>
    </row>
    <row r="1463" spans="1:12" ht="15" x14ac:dyDescent="0.25">
      <c r="A1463">
        <v>87340</v>
      </c>
      <c r="B1463" t="e">
        <f t="shared" si="56"/>
        <v>#N/A</v>
      </c>
      <c r="C1463" s="198" t="e">
        <f t="shared" si="57"/>
        <v>#N/A</v>
      </c>
      <c r="D1463" s="526" t="e">
        <v>#N/A</v>
      </c>
      <c r="E1463" s="526" t="e">
        <v>#N/A</v>
      </c>
      <c r="F1463" s="526" t="e">
        <v>#N/A</v>
      </c>
      <c r="G1463" s="526" t="e">
        <v>#N/A</v>
      </c>
      <c r="H1463" s="412" t="e">
        <v>#N/A</v>
      </c>
      <c r="I1463" s="411" t="e">
        <v>#N/A</v>
      </c>
      <c r="J1463" s="411" t="e">
        <v>#N/A</v>
      </c>
      <c r="K1463" s="411" t="e">
        <v>#N/A</v>
      </c>
      <c r="L1463" s="526" t="e">
        <v>#N/A</v>
      </c>
    </row>
    <row r="1464" spans="1:12" ht="15" x14ac:dyDescent="0.25">
      <c r="A1464">
        <v>87341</v>
      </c>
      <c r="B1464" t="e">
        <f t="shared" si="56"/>
        <v>#N/A</v>
      </c>
      <c r="C1464" s="198" t="e">
        <f t="shared" si="57"/>
        <v>#N/A</v>
      </c>
      <c r="D1464" s="526" t="e">
        <v>#N/A</v>
      </c>
      <c r="E1464" s="526" t="e">
        <v>#N/A</v>
      </c>
      <c r="F1464" s="526" t="e">
        <v>#N/A</v>
      </c>
      <c r="G1464" s="526" t="e">
        <v>#N/A</v>
      </c>
      <c r="H1464" s="412" t="e">
        <v>#N/A</v>
      </c>
      <c r="I1464" s="411" t="e">
        <v>#N/A</v>
      </c>
      <c r="J1464" s="411" t="e">
        <v>#N/A</v>
      </c>
      <c r="K1464" s="411" t="e">
        <v>#N/A</v>
      </c>
      <c r="L1464" s="526" t="e">
        <v>#N/A</v>
      </c>
    </row>
    <row r="1465" spans="1:12" ht="15" x14ac:dyDescent="0.25">
      <c r="A1465">
        <v>87342</v>
      </c>
      <c r="B1465" t="e">
        <f t="shared" si="56"/>
        <v>#N/A</v>
      </c>
      <c r="C1465" s="198" t="e">
        <f t="shared" si="57"/>
        <v>#N/A</v>
      </c>
      <c r="D1465" s="526" t="e">
        <v>#N/A</v>
      </c>
      <c r="E1465" s="526" t="e">
        <v>#N/A</v>
      </c>
      <c r="F1465" s="526" t="e">
        <v>#N/A</v>
      </c>
      <c r="G1465" s="526" t="e">
        <v>#N/A</v>
      </c>
      <c r="H1465" s="412" t="e">
        <v>#N/A</v>
      </c>
      <c r="I1465" s="411" t="e">
        <v>#N/A</v>
      </c>
      <c r="J1465" s="411" t="e">
        <v>#N/A</v>
      </c>
      <c r="K1465" s="411" t="e">
        <v>#N/A</v>
      </c>
      <c r="L1465" s="526" t="e">
        <v>#N/A</v>
      </c>
    </row>
    <row r="1466" spans="1:12" ht="15" x14ac:dyDescent="0.25">
      <c r="A1466">
        <v>87343</v>
      </c>
      <c r="B1466" t="e">
        <f t="shared" si="56"/>
        <v>#N/A</v>
      </c>
      <c r="C1466" s="198" t="e">
        <f t="shared" si="57"/>
        <v>#N/A</v>
      </c>
      <c r="D1466" s="526" t="e">
        <v>#N/A</v>
      </c>
      <c r="E1466" s="526" t="e">
        <v>#N/A</v>
      </c>
      <c r="F1466" s="526" t="e">
        <v>#N/A</v>
      </c>
      <c r="G1466" s="526" t="e">
        <v>#N/A</v>
      </c>
      <c r="H1466" s="412" t="e">
        <v>#N/A</v>
      </c>
      <c r="I1466" s="411" t="e">
        <v>#N/A</v>
      </c>
      <c r="J1466" s="411" t="e">
        <v>#N/A</v>
      </c>
      <c r="K1466" s="411" t="e">
        <v>#N/A</v>
      </c>
      <c r="L1466" s="526" t="e">
        <v>#N/A</v>
      </c>
    </row>
    <row r="1467" spans="1:12" ht="15" x14ac:dyDescent="0.25">
      <c r="A1467">
        <v>88150</v>
      </c>
      <c r="B1467" t="e">
        <f t="shared" si="56"/>
        <v>#N/A</v>
      </c>
      <c r="C1467" s="198" t="e">
        <f t="shared" si="57"/>
        <v>#N/A</v>
      </c>
      <c r="D1467" s="526" t="e">
        <v>#N/A</v>
      </c>
      <c r="E1467" s="526" t="e">
        <v>#N/A</v>
      </c>
      <c r="F1467" s="526" t="e">
        <v>#N/A</v>
      </c>
      <c r="G1467" s="526" t="e">
        <v>#N/A</v>
      </c>
      <c r="H1467" s="412" t="e">
        <v>#N/A</v>
      </c>
      <c r="I1467" s="411" t="e">
        <v>#N/A</v>
      </c>
      <c r="J1467" s="411" t="e">
        <v>#N/A</v>
      </c>
      <c r="K1467" s="411" t="e">
        <v>#N/A</v>
      </c>
      <c r="L1467" s="526" t="e">
        <v>#N/A</v>
      </c>
    </row>
    <row r="1468" spans="1:12" ht="15" x14ac:dyDescent="0.25">
      <c r="A1468">
        <v>88151</v>
      </c>
      <c r="B1468" t="e">
        <f t="shared" si="56"/>
        <v>#N/A</v>
      </c>
      <c r="C1468" s="198" t="e">
        <f t="shared" si="57"/>
        <v>#N/A</v>
      </c>
      <c r="D1468" s="526" t="e">
        <v>#N/A</v>
      </c>
      <c r="E1468" s="526" t="e">
        <v>#N/A</v>
      </c>
      <c r="F1468" s="526" t="e">
        <v>#N/A</v>
      </c>
      <c r="G1468" s="526" t="e">
        <v>#N/A</v>
      </c>
      <c r="H1468" s="412" t="e">
        <v>#N/A</v>
      </c>
      <c r="I1468" s="411" t="e">
        <v>#N/A</v>
      </c>
      <c r="J1468" s="411" t="e">
        <v>#N/A</v>
      </c>
      <c r="K1468" s="411" t="e">
        <v>#N/A</v>
      </c>
      <c r="L1468" s="526" t="e">
        <v>#N/A</v>
      </c>
    </row>
    <row r="1469" spans="1:12" ht="15" x14ac:dyDescent="0.25">
      <c r="A1469">
        <v>88152</v>
      </c>
      <c r="B1469" t="e">
        <f t="shared" si="56"/>
        <v>#N/A</v>
      </c>
      <c r="C1469" s="198" t="e">
        <f t="shared" si="57"/>
        <v>#N/A</v>
      </c>
      <c r="D1469" s="526" t="e">
        <v>#N/A</v>
      </c>
      <c r="E1469" s="526" t="e">
        <v>#N/A</v>
      </c>
      <c r="F1469" s="526" t="e">
        <v>#N/A</v>
      </c>
      <c r="G1469" s="526" t="e">
        <v>#N/A</v>
      </c>
      <c r="H1469" s="412" t="e">
        <v>#N/A</v>
      </c>
      <c r="I1469" s="411" t="e">
        <v>#N/A</v>
      </c>
      <c r="J1469" s="411" t="e">
        <v>#N/A</v>
      </c>
      <c r="K1469" s="411" t="e">
        <v>#N/A</v>
      </c>
      <c r="L1469" s="526" t="e">
        <v>#N/A</v>
      </c>
    </row>
    <row r="1470" spans="1:12" ht="15" x14ac:dyDescent="0.25">
      <c r="A1470">
        <v>88153</v>
      </c>
      <c r="B1470" t="e">
        <f t="shared" si="56"/>
        <v>#N/A</v>
      </c>
      <c r="C1470" s="198" t="e">
        <f t="shared" si="57"/>
        <v>#N/A</v>
      </c>
      <c r="D1470" s="526" t="e">
        <v>#N/A</v>
      </c>
      <c r="E1470" s="526" t="e">
        <v>#N/A</v>
      </c>
      <c r="F1470" s="526" t="e">
        <v>#N/A</v>
      </c>
      <c r="G1470" s="526" t="e">
        <v>#N/A</v>
      </c>
      <c r="H1470" s="412" t="e">
        <v>#N/A</v>
      </c>
      <c r="I1470" s="411" t="e">
        <v>#N/A</v>
      </c>
      <c r="J1470" s="411" t="e">
        <v>#N/A</v>
      </c>
      <c r="K1470" s="411" t="e">
        <v>#N/A</v>
      </c>
      <c r="L1470" s="526" t="e">
        <v>#N/A</v>
      </c>
    </row>
    <row r="1471" spans="1:12" ht="15" x14ac:dyDescent="0.25">
      <c r="A1471">
        <v>88154</v>
      </c>
      <c r="B1471" t="e">
        <f t="shared" si="56"/>
        <v>#N/A</v>
      </c>
      <c r="C1471" s="198" t="e">
        <f t="shared" si="57"/>
        <v>#N/A</v>
      </c>
      <c r="D1471" s="526" t="e">
        <v>#N/A</v>
      </c>
      <c r="E1471" s="526" t="e">
        <v>#N/A</v>
      </c>
      <c r="F1471" s="526" t="e">
        <v>#N/A</v>
      </c>
      <c r="G1471" s="526" t="e">
        <v>#N/A</v>
      </c>
      <c r="H1471" s="412" t="e">
        <v>#N/A</v>
      </c>
      <c r="I1471" s="411" t="e">
        <v>#N/A</v>
      </c>
      <c r="J1471" s="411" t="e">
        <v>#N/A</v>
      </c>
      <c r="K1471" s="411" t="e">
        <v>#N/A</v>
      </c>
      <c r="L1471" s="526" t="e">
        <v>#N/A</v>
      </c>
    </row>
    <row r="1472" spans="1:12" ht="15" x14ac:dyDescent="0.25">
      <c r="A1472">
        <v>88155</v>
      </c>
      <c r="B1472" t="e">
        <f t="shared" si="56"/>
        <v>#N/A</v>
      </c>
      <c r="C1472" s="198" t="e">
        <f t="shared" si="57"/>
        <v>#N/A</v>
      </c>
      <c r="D1472" s="526" t="e">
        <v>#N/A</v>
      </c>
      <c r="E1472" s="526" t="e">
        <v>#N/A</v>
      </c>
      <c r="F1472" s="526" t="e">
        <v>#N/A</v>
      </c>
      <c r="G1472" s="526" t="e">
        <v>#N/A</v>
      </c>
      <c r="H1472" s="412" t="e">
        <v>#N/A</v>
      </c>
      <c r="I1472" s="411" t="e">
        <v>#N/A</v>
      </c>
      <c r="J1472" s="411" t="e">
        <v>#N/A</v>
      </c>
      <c r="K1472" s="411" t="e">
        <v>#N/A</v>
      </c>
      <c r="L1472" s="526" t="e">
        <v>#N/A</v>
      </c>
    </row>
    <row r="1473" spans="1:12" ht="15" x14ac:dyDescent="0.25">
      <c r="A1473">
        <v>88156</v>
      </c>
      <c r="B1473" t="e">
        <f t="shared" si="56"/>
        <v>#N/A</v>
      </c>
      <c r="C1473" s="198" t="e">
        <f t="shared" si="57"/>
        <v>#N/A</v>
      </c>
      <c r="D1473" s="526" t="e">
        <v>#N/A</v>
      </c>
      <c r="E1473" s="526" t="e">
        <v>#N/A</v>
      </c>
      <c r="F1473" s="526" t="e">
        <v>#N/A</v>
      </c>
      <c r="G1473" s="526" t="e">
        <v>#N/A</v>
      </c>
      <c r="H1473" s="412" t="e">
        <v>#N/A</v>
      </c>
      <c r="I1473" s="411" t="e">
        <v>#N/A</v>
      </c>
      <c r="J1473" s="411" t="e">
        <v>#N/A</v>
      </c>
      <c r="K1473" s="411" t="e">
        <v>#N/A</v>
      </c>
      <c r="L1473" s="526" t="e">
        <v>#N/A</v>
      </c>
    </row>
    <row r="1474" spans="1:12" ht="15" x14ac:dyDescent="0.25">
      <c r="A1474">
        <v>88157</v>
      </c>
      <c r="B1474" t="e">
        <f t="shared" si="56"/>
        <v>#N/A</v>
      </c>
      <c r="C1474" s="198" t="e">
        <f t="shared" si="57"/>
        <v>#N/A</v>
      </c>
      <c r="D1474" s="526" t="e">
        <v>#N/A</v>
      </c>
      <c r="E1474" s="526" t="e">
        <v>#N/A</v>
      </c>
      <c r="F1474" s="526" t="e">
        <v>#N/A</v>
      </c>
      <c r="G1474" s="526" t="e">
        <v>#N/A</v>
      </c>
      <c r="H1474" s="412" t="e">
        <v>#N/A</v>
      </c>
      <c r="I1474" s="411" t="e">
        <v>#N/A</v>
      </c>
      <c r="J1474" s="411" t="e">
        <v>#N/A</v>
      </c>
      <c r="K1474" s="411" t="e">
        <v>#N/A</v>
      </c>
      <c r="L1474" s="526" t="e">
        <v>#N/A</v>
      </c>
    </row>
    <row r="1475" spans="1:12" ht="15" x14ac:dyDescent="0.25">
      <c r="A1475">
        <v>87305</v>
      </c>
      <c r="B1475" t="e">
        <f t="shared" si="56"/>
        <v>#N/A</v>
      </c>
      <c r="C1475" s="198" t="e">
        <f t="shared" si="57"/>
        <v>#N/A</v>
      </c>
      <c r="D1475" s="526" t="e">
        <v>#N/A</v>
      </c>
      <c r="E1475" s="526" t="e">
        <v>#N/A</v>
      </c>
      <c r="F1475" s="526" t="e">
        <v>#N/A</v>
      </c>
      <c r="G1475" s="526" t="e">
        <v>#N/A</v>
      </c>
      <c r="H1475" s="412" t="e">
        <v>#N/A</v>
      </c>
      <c r="I1475" s="411" t="e">
        <v>#N/A</v>
      </c>
      <c r="J1475" s="411" t="e">
        <v>#N/A</v>
      </c>
      <c r="K1475" s="411" t="e">
        <v>#N/A</v>
      </c>
      <c r="L1475" s="526" t="e">
        <v>#N/A</v>
      </c>
    </row>
    <row r="1476" spans="1:12" ht="15" x14ac:dyDescent="0.25">
      <c r="A1476">
        <v>87306</v>
      </c>
      <c r="B1476" t="e">
        <f t="shared" si="56"/>
        <v>#N/A</v>
      </c>
      <c r="C1476" s="198" t="e">
        <f t="shared" si="57"/>
        <v>#N/A</v>
      </c>
      <c r="D1476" s="526" t="e">
        <v>#N/A</v>
      </c>
      <c r="E1476" s="526" t="e">
        <v>#N/A</v>
      </c>
      <c r="F1476" s="526" t="e">
        <v>#N/A</v>
      </c>
      <c r="G1476" s="526" t="e">
        <v>#N/A</v>
      </c>
      <c r="H1476" s="412" t="e">
        <v>#N/A</v>
      </c>
      <c r="I1476" s="411" t="e">
        <v>#N/A</v>
      </c>
      <c r="J1476" s="411" t="e">
        <v>#N/A</v>
      </c>
      <c r="K1476" s="411" t="e">
        <v>#N/A</v>
      </c>
      <c r="L1476" s="526" t="e">
        <v>#N/A</v>
      </c>
    </row>
    <row r="1477" spans="1:12" ht="15" x14ac:dyDescent="0.25">
      <c r="A1477">
        <v>87372</v>
      </c>
      <c r="B1477" t="e">
        <f t="shared" si="56"/>
        <v>#N/A</v>
      </c>
      <c r="C1477" s="198" t="e">
        <f t="shared" si="57"/>
        <v>#N/A</v>
      </c>
      <c r="D1477" s="526" t="e">
        <v>#N/A</v>
      </c>
      <c r="E1477" s="526" t="e">
        <v>#N/A</v>
      </c>
      <c r="F1477" s="526" t="e">
        <v>#N/A</v>
      </c>
      <c r="G1477" s="526" t="e">
        <v>#N/A</v>
      </c>
      <c r="H1477" s="412" t="e">
        <v>#N/A</v>
      </c>
      <c r="I1477" s="411" t="e">
        <v>#N/A</v>
      </c>
      <c r="J1477" s="411" t="e">
        <v>#N/A</v>
      </c>
      <c r="K1477" s="411" t="e">
        <v>#N/A</v>
      </c>
      <c r="L1477" s="526" t="e">
        <v>#N/A</v>
      </c>
    </row>
    <row r="1478" spans="1:12" ht="15" x14ac:dyDescent="0.25">
      <c r="A1478">
        <v>88159</v>
      </c>
      <c r="B1478" t="e">
        <f t="shared" si="56"/>
        <v>#N/A</v>
      </c>
      <c r="C1478" s="198" t="e">
        <f t="shared" si="57"/>
        <v>#N/A</v>
      </c>
      <c r="D1478" s="526" t="e">
        <v>#N/A</v>
      </c>
      <c r="E1478" s="526" t="e">
        <v>#N/A</v>
      </c>
      <c r="F1478" s="526" t="e">
        <v>#N/A</v>
      </c>
      <c r="G1478" s="526" t="e">
        <v>#N/A</v>
      </c>
      <c r="H1478" s="412" t="e">
        <v>#N/A</v>
      </c>
      <c r="I1478" s="411" t="e">
        <v>#N/A</v>
      </c>
      <c r="J1478" s="411" t="e">
        <v>#N/A</v>
      </c>
      <c r="K1478" s="411" t="e">
        <v>#N/A</v>
      </c>
      <c r="L1478" s="526" t="e">
        <v>#N/A</v>
      </c>
    </row>
    <row r="1479" spans="1:12" ht="15" x14ac:dyDescent="0.25">
      <c r="A1479">
        <v>87358</v>
      </c>
      <c r="B1479" t="e">
        <f t="shared" si="56"/>
        <v>#N/A</v>
      </c>
      <c r="C1479" s="198" t="e">
        <f t="shared" si="57"/>
        <v>#N/A</v>
      </c>
      <c r="D1479" s="526" t="e">
        <v>#N/A</v>
      </c>
      <c r="E1479" s="526" t="e">
        <v>#N/A</v>
      </c>
      <c r="F1479" s="526" t="e">
        <v>#N/A</v>
      </c>
      <c r="G1479" s="526" t="e">
        <v>#N/A</v>
      </c>
      <c r="H1479" s="412" t="e">
        <v>#N/A</v>
      </c>
      <c r="I1479" s="411" t="e">
        <v>#N/A</v>
      </c>
      <c r="J1479" s="411" t="e">
        <v>#N/A</v>
      </c>
      <c r="K1479" s="411" t="e">
        <v>#N/A</v>
      </c>
      <c r="L1479" s="526" t="e">
        <v>#N/A</v>
      </c>
    </row>
    <row r="1480" spans="1:12" ht="15" x14ac:dyDescent="0.25">
      <c r="A1480">
        <v>87359</v>
      </c>
      <c r="B1480" t="e">
        <f t="shared" si="56"/>
        <v>#N/A</v>
      </c>
      <c r="C1480" s="198" t="e">
        <f t="shared" si="57"/>
        <v>#N/A</v>
      </c>
      <c r="D1480" s="526" t="e">
        <v>#N/A</v>
      </c>
      <c r="E1480" s="526" t="e">
        <v>#N/A</v>
      </c>
      <c r="F1480" s="526" t="e">
        <v>#N/A</v>
      </c>
      <c r="G1480" s="526" t="e">
        <v>#N/A</v>
      </c>
      <c r="H1480" s="412" t="e">
        <v>#N/A</v>
      </c>
      <c r="I1480" s="411" t="e">
        <v>#N/A</v>
      </c>
      <c r="J1480" s="411" t="e">
        <v>#N/A</v>
      </c>
      <c r="K1480" s="411" t="e">
        <v>#N/A</v>
      </c>
      <c r="L1480" s="526" t="e">
        <v>#N/A</v>
      </c>
    </row>
    <row r="1481" spans="1:12" ht="15" x14ac:dyDescent="0.25">
      <c r="A1481">
        <v>92115</v>
      </c>
      <c r="B1481" t="e">
        <f t="shared" si="56"/>
        <v>#N/A</v>
      </c>
      <c r="C1481" s="198" t="e">
        <f t="shared" si="57"/>
        <v>#N/A</v>
      </c>
      <c r="D1481" s="526" t="e">
        <v>#N/A</v>
      </c>
      <c r="E1481" s="526" t="e">
        <v>#N/A</v>
      </c>
      <c r="F1481" s="526" t="e">
        <v>#N/A</v>
      </c>
      <c r="G1481" s="526" t="e">
        <v>#N/A</v>
      </c>
      <c r="H1481" s="412" t="e">
        <v>#N/A</v>
      </c>
      <c r="I1481" s="411" t="e">
        <v>#N/A</v>
      </c>
      <c r="J1481" s="411" t="e">
        <v>#N/A</v>
      </c>
      <c r="K1481" s="411" t="e">
        <v>#N/A</v>
      </c>
      <c r="L1481" s="526" t="e">
        <v>#N/A</v>
      </c>
    </row>
    <row r="1482" spans="1:12" ht="15" x14ac:dyDescent="0.25">
      <c r="A1482">
        <v>92116</v>
      </c>
      <c r="B1482" t="e">
        <f t="shared" si="56"/>
        <v>#N/A</v>
      </c>
      <c r="C1482" s="198" t="e">
        <f t="shared" si="57"/>
        <v>#N/A</v>
      </c>
      <c r="D1482" s="526" t="e">
        <v>#N/A</v>
      </c>
      <c r="E1482" s="526" t="e">
        <v>#N/A</v>
      </c>
      <c r="F1482" s="526" t="e">
        <v>#N/A</v>
      </c>
      <c r="G1482" s="526" t="e">
        <v>#N/A</v>
      </c>
      <c r="H1482" s="412" t="e">
        <v>#N/A</v>
      </c>
      <c r="I1482" s="411" t="e">
        <v>#N/A</v>
      </c>
      <c r="J1482" s="411" t="e">
        <v>#N/A</v>
      </c>
      <c r="K1482" s="411" t="e">
        <v>#N/A</v>
      </c>
      <c r="L1482" s="526" t="e">
        <v>#N/A</v>
      </c>
    </row>
    <row r="1483" spans="1:12" ht="15" x14ac:dyDescent="0.25">
      <c r="A1483">
        <v>92117</v>
      </c>
      <c r="B1483" t="e">
        <f t="shared" si="56"/>
        <v>#N/A</v>
      </c>
      <c r="C1483" s="198" t="e">
        <f t="shared" si="57"/>
        <v>#N/A</v>
      </c>
      <c r="D1483" s="526" t="e">
        <v>#N/A</v>
      </c>
      <c r="E1483" s="526" t="e">
        <v>#N/A</v>
      </c>
      <c r="F1483" s="526" t="e">
        <v>#N/A</v>
      </c>
      <c r="G1483" s="526" t="e">
        <v>#N/A</v>
      </c>
      <c r="H1483" s="412" t="e">
        <v>#N/A</v>
      </c>
      <c r="I1483" s="411" t="e">
        <v>#N/A</v>
      </c>
      <c r="J1483" s="411" t="e">
        <v>#N/A</v>
      </c>
      <c r="K1483" s="411" t="e">
        <v>#N/A</v>
      </c>
      <c r="L1483" s="526" t="e">
        <v>#N/A</v>
      </c>
    </row>
    <row r="1484" spans="1:12" ht="15" x14ac:dyDescent="0.25">
      <c r="A1484">
        <v>92118</v>
      </c>
      <c r="B1484" t="e">
        <f t="shared" si="56"/>
        <v>#N/A</v>
      </c>
      <c r="C1484" s="198" t="e">
        <f t="shared" si="57"/>
        <v>#N/A</v>
      </c>
      <c r="D1484" s="526" t="e">
        <v>#N/A</v>
      </c>
      <c r="E1484" s="526" t="e">
        <v>#N/A</v>
      </c>
      <c r="F1484" s="526" t="e">
        <v>#N/A</v>
      </c>
      <c r="G1484" s="526" t="e">
        <v>#N/A</v>
      </c>
      <c r="H1484" s="412" t="e">
        <v>#N/A</v>
      </c>
      <c r="I1484" s="411" t="e">
        <v>#N/A</v>
      </c>
      <c r="J1484" s="411" t="e">
        <v>#N/A</v>
      </c>
      <c r="K1484" s="411" t="e">
        <v>#N/A</v>
      </c>
      <c r="L1484" s="526" t="e">
        <v>#N/A</v>
      </c>
    </row>
    <row r="1485" spans="1:12" ht="15" x14ac:dyDescent="0.25">
      <c r="A1485">
        <v>92119</v>
      </c>
      <c r="B1485" t="e">
        <f t="shared" si="56"/>
        <v>#N/A</v>
      </c>
      <c r="C1485" s="198" t="e">
        <f t="shared" si="57"/>
        <v>#N/A</v>
      </c>
      <c r="D1485" s="526" t="e">
        <v>#N/A</v>
      </c>
      <c r="E1485" s="526" t="e">
        <v>#N/A</v>
      </c>
      <c r="F1485" s="526" t="e">
        <v>#N/A</v>
      </c>
      <c r="G1485" s="526" t="e">
        <v>#N/A</v>
      </c>
      <c r="H1485" s="412" t="e">
        <v>#N/A</v>
      </c>
      <c r="I1485" s="411" t="e">
        <v>#N/A</v>
      </c>
      <c r="J1485" s="411" t="e">
        <v>#N/A</v>
      </c>
      <c r="K1485" s="411" t="e">
        <v>#N/A</v>
      </c>
      <c r="L1485" s="526" t="e">
        <v>#N/A</v>
      </c>
    </row>
    <row r="1486" spans="1:12" ht="15" x14ac:dyDescent="0.25">
      <c r="A1486">
        <v>92120</v>
      </c>
      <c r="B1486" t="e">
        <f t="shared" ref="B1486:B1500" si="58">IF($A$2=1,D1486,IF($A$2=2,F1486,IF($A$2=3,G1486,IF($A$2=4,E1486,"zadat jazyk"))))</f>
        <v>#N/A</v>
      </c>
      <c r="C1486" s="198" t="e">
        <f t="shared" ref="C1486:C1500" si="59">IF($A$2=1,H1486,IF($A$2=2,I1486,IF($A$2=3,J1486,IF($A$2=4,K1486,"zadat jazyk"))))</f>
        <v>#N/A</v>
      </c>
      <c r="D1486" s="526" t="e">
        <v>#N/A</v>
      </c>
      <c r="E1486" s="526" t="e">
        <v>#N/A</v>
      </c>
      <c r="F1486" s="526" t="e">
        <v>#N/A</v>
      </c>
      <c r="G1486" s="526" t="e">
        <v>#N/A</v>
      </c>
      <c r="H1486" s="412" t="e">
        <v>#N/A</v>
      </c>
      <c r="I1486" s="411" t="e">
        <v>#N/A</v>
      </c>
      <c r="J1486" s="411" t="e">
        <v>#N/A</v>
      </c>
      <c r="K1486" s="411" t="e">
        <v>#N/A</v>
      </c>
      <c r="L1486" s="526" t="e">
        <v>#N/A</v>
      </c>
    </row>
    <row r="1487" spans="1:12" ht="15" x14ac:dyDescent="0.25">
      <c r="A1487">
        <v>92107</v>
      </c>
      <c r="B1487" t="e">
        <f t="shared" si="58"/>
        <v>#N/A</v>
      </c>
      <c r="C1487" s="198" t="e">
        <f t="shared" si="59"/>
        <v>#N/A</v>
      </c>
      <c r="D1487" s="526" t="e">
        <v>#N/A</v>
      </c>
      <c r="E1487" s="526" t="e">
        <v>#N/A</v>
      </c>
      <c r="F1487" s="526" t="e">
        <v>#N/A</v>
      </c>
      <c r="G1487" s="526" t="e">
        <v>#N/A</v>
      </c>
      <c r="H1487" s="412" t="e">
        <v>#N/A</v>
      </c>
      <c r="I1487" s="411" t="e">
        <v>#N/A</v>
      </c>
      <c r="J1487" s="411" t="e">
        <v>#N/A</v>
      </c>
      <c r="K1487" s="411" t="e">
        <v>#N/A</v>
      </c>
      <c r="L1487" s="526" t="e">
        <v>#N/A</v>
      </c>
    </row>
    <row r="1488" spans="1:12" ht="15" x14ac:dyDescent="0.25">
      <c r="A1488">
        <v>92108</v>
      </c>
      <c r="B1488" t="e">
        <f t="shared" si="58"/>
        <v>#N/A</v>
      </c>
      <c r="C1488" s="198" t="e">
        <f t="shared" si="59"/>
        <v>#N/A</v>
      </c>
      <c r="D1488" s="526" t="e">
        <v>#N/A</v>
      </c>
      <c r="E1488" s="526" t="e">
        <v>#N/A</v>
      </c>
      <c r="F1488" s="526" t="e">
        <v>#N/A</v>
      </c>
      <c r="G1488" s="526" t="e">
        <v>#N/A</v>
      </c>
      <c r="H1488" s="412" t="e">
        <v>#N/A</v>
      </c>
      <c r="I1488" s="411" t="e">
        <v>#N/A</v>
      </c>
      <c r="J1488" s="411" t="e">
        <v>#N/A</v>
      </c>
      <c r="K1488" s="411" t="e">
        <v>#N/A</v>
      </c>
      <c r="L1488" s="526" t="e">
        <v>#N/A</v>
      </c>
    </row>
    <row r="1489" spans="1:12" ht="15" x14ac:dyDescent="0.25">
      <c r="A1489">
        <v>92109</v>
      </c>
      <c r="B1489" t="e">
        <f t="shared" si="58"/>
        <v>#N/A</v>
      </c>
      <c r="C1489" s="198" t="e">
        <f t="shared" si="59"/>
        <v>#N/A</v>
      </c>
      <c r="D1489" s="526" t="e">
        <v>#N/A</v>
      </c>
      <c r="E1489" s="526" t="e">
        <v>#N/A</v>
      </c>
      <c r="F1489" s="526" t="e">
        <v>#N/A</v>
      </c>
      <c r="G1489" s="526" t="e">
        <v>#N/A</v>
      </c>
      <c r="H1489" s="412" t="e">
        <v>#N/A</v>
      </c>
      <c r="I1489" s="411" t="e">
        <v>#N/A</v>
      </c>
      <c r="J1489" s="411" t="e">
        <v>#N/A</v>
      </c>
      <c r="K1489" s="411" t="e">
        <v>#N/A</v>
      </c>
      <c r="L1489" s="526" t="e">
        <v>#N/A</v>
      </c>
    </row>
    <row r="1490" spans="1:12" ht="15" x14ac:dyDescent="0.25">
      <c r="A1490">
        <v>85861</v>
      </c>
      <c r="B1490" t="e">
        <f t="shared" si="58"/>
        <v>#N/A</v>
      </c>
      <c r="C1490" s="198" t="e">
        <f t="shared" si="59"/>
        <v>#N/A</v>
      </c>
      <c r="D1490" s="526" t="e">
        <v>#N/A</v>
      </c>
      <c r="E1490" s="526" t="e">
        <v>#N/A</v>
      </c>
      <c r="F1490" s="526" t="e">
        <v>#N/A</v>
      </c>
      <c r="G1490" s="526" t="e">
        <v>#N/A</v>
      </c>
      <c r="H1490" s="412" t="e">
        <v>#N/A</v>
      </c>
      <c r="I1490" s="411" t="e">
        <v>#N/A</v>
      </c>
      <c r="J1490" s="411" t="e">
        <v>#N/A</v>
      </c>
      <c r="K1490" s="411" t="e">
        <v>#N/A</v>
      </c>
      <c r="L1490" s="526" t="e">
        <v>#N/A</v>
      </c>
    </row>
    <row r="1491" spans="1:12" ht="15" x14ac:dyDescent="0.25">
      <c r="A1491">
        <v>85864</v>
      </c>
      <c r="B1491" t="e">
        <f t="shared" si="58"/>
        <v>#N/A</v>
      </c>
      <c r="C1491" s="198" t="e">
        <f t="shared" si="59"/>
        <v>#N/A</v>
      </c>
      <c r="D1491" s="526" t="e">
        <v>#N/A</v>
      </c>
      <c r="E1491" s="526" t="e">
        <v>#N/A</v>
      </c>
      <c r="F1491" s="526" t="e">
        <v>#N/A</v>
      </c>
      <c r="G1491" s="526" t="e">
        <v>#N/A</v>
      </c>
      <c r="H1491" s="412" t="e">
        <v>#N/A</v>
      </c>
      <c r="I1491" s="411" t="e">
        <v>#N/A</v>
      </c>
      <c r="J1491" s="411" t="e">
        <v>#N/A</v>
      </c>
      <c r="K1491" s="411" t="e">
        <v>#N/A</v>
      </c>
      <c r="L1491" s="526" t="e">
        <v>#N/A</v>
      </c>
    </row>
    <row r="1492" spans="1:12" ht="15" x14ac:dyDescent="0.25">
      <c r="A1492">
        <v>175828</v>
      </c>
      <c r="B1492" t="e">
        <f t="shared" si="58"/>
        <v>#N/A</v>
      </c>
      <c r="C1492" s="198" t="e">
        <f t="shared" si="59"/>
        <v>#N/A</v>
      </c>
      <c r="D1492" s="526" t="e">
        <v>#N/A</v>
      </c>
      <c r="E1492" s="526" t="e">
        <v>#N/A</v>
      </c>
      <c r="F1492" s="526" t="e">
        <v>#N/A</v>
      </c>
      <c r="G1492" s="526" t="e">
        <v>#N/A</v>
      </c>
      <c r="H1492" s="412" t="e">
        <v>#N/A</v>
      </c>
      <c r="I1492" s="411" t="e">
        <v>#N/A</v>
      </c>
      <c r="J1492" s="411" t="e">
        <v>#N/A</v>
      </c>
      <c r="K1492" s="411" t="e">
        <v>#N/A</v>
      </c>
      <c r="L1492" s="526" t="e">
        <v>#N/A</v>
      </c>
    </row>
    <row r="1493" spans="1:12" ht="15" x14ac:dyDescent="0.25">
      <c r="A1493">
        <v>176321</v>
      </c>
      <c r="B1493" t="e">
        <f t="shared" si="58"/>
        <v>#N/A</v>
      </c>
      <c r="C1493" s="198" t="e">
        <f t="shared" si="59"/>
        <v>#N/A</v>
      </c>
      <c r="D1493" s="526" t="e">
        <v>#N/A</v>
      </c>
      <c r="E1493" s="526" t="e">
        <v>#N/A</v>
      </c>
      <c r="F1493" s="526" t="e">
        <v>#N/A</v>
      </c>
      <c r="G1493" s="526" t="e">
        <v>#N/A</v>
      </c>
      <c r="H1493" s="412" t="e">
        <v>#N/A</v>
      </c>
      <c r="I1493" s="411" t="e">
        <v>#N/A</v>
      </c>
      <c r="J1493" s="411" t="e">
        <v>#N/A</v>
      </c>
      <c r="K1493" s="411" t="e">
        <v>#N/A</v>
      </c>
      <c r="L1493" s="526" t="e">
        <v>#N/A</v>
      </c>
    </row>
    <row r="1494" spans="1:12" ht="15" x14ac:dyDescent="0.25">
      <c r="A1494">
        <v>340563</v>
      </c>
      <c r="B1494" t="e">
        <f t="shared" si="58"/>
        <v>#N/A</v>
      </c>
      <c r="C1494" s="198" t="e">
        <f t="shared" si="59"/>
        <v>#N/A</v>
      </c>
      <c r="D1494" s="526" t="e">
        <v>#N/A</v>
      </c>
      <c r="E1494" s="526" t="e">
        <v>#N/A</v>
      </c>
      <c r="F1494" s="526" t="e">
        <v>#N/A</v>
      </c>
      <c r="G1494" s="526" t="e">
        <v>#N/A</v>
      </c>
      <c r="H1494" s="412" t="e">
        <v>#N/A</v>
      </c>
      <c r="I1494" s="411" t="e">
        <v>#N/A</v>
      </c>
      <c r="J1494" s="411" t="e">
        <v>#N/A</v>
      </c>
      <c r="K1494" s="411" t="e">
        <v>#N/A</v>
      </c>
      <c r="L1494" s="526" t="e">
        <v>#N/A</v>
      </c>
    </row>
    <row r="1495" spans="1:12" ht="15" x14ac:dyDescent="0.25">
      <c r="A1495">
        <v>340564</v>
      </c>
      <c r="B1495" t="e">
        <f t="shared" si="58"/>
        <v>#N/A</v>
      </c>
      <c r="C1495" s="198" t="e">
        <f t="shared" si="59"/>
        <v>#N/A</v>
      </c>
      <c r="D1495" s="526" t="e">
        <v>#N/A</v>
      </c>
      <c r="E1495" s="526" t="e">
        <v>#N/A</v>
      </c>
      <c r="F1495" s="526" t="e">
        <v>#N/A</v>
      </c>
      <c r="G1495" s="526" t="e">
        <v>#N/A</v>
      </c>
      <c r="H1495" s="412" t="e">
        <v>#N/A</v>
      </c>
      <c r="I1495" s="411" t="e">
        <v>#N/A</v>
      </c>
      <c r="J1495" s="411" t="e">
        <v>#N/A</v>
      </c>
      <c r="K1495" s="411" t="e">
        <v>#N/A</v>
      </c>
      <c r="L1495" s="526" t="e">
        <v>#N/A</v>
      </c>
    </row>
    <row r="1496" spans="1:12" ht="15" x14ac:dyDescent="0.25">
      <c r="A1496">
        <v>340565</v>
      </c>
      <c r="B1496" t="e">
        <f t="shared" si="58"/>
        <v>#N/A</v>
      </c>
      <c r="C1496" s="198" t="e">
        <f t="shared" si="59"/>
        <v>#N/A</v>
      </c>
      <c r="D1496" s="526" t="e">
        <v>#N/A</v>
      </c>
      <c r="E1496" s="526" t="e">
        <v>#N/A</v>
      </c>
      <c r="F1496" s="526" t="e">
        <v>#N/A</v>
      </c>
      <c r="G1496" s="526" t="e">
        <v>#N/A</v>
      </c>
      <c r="H1496" s="412" t="e">
        <v>#N/A</v>
      </c>
      <c r="I1496" s="411" t="e">
        <v>#N/A</v>
      </c>
      <c r="J1496" s="411" t="e">
        <v>#N/A</v>
      </c>
      <c r="K1496" s="411" t="e">
        <v>#N/A</v>
      </c>
      <c r="L1496" s="526" t="e">
        <v>#N/A</v>
      </c>
    </row>
    <row r="1497" spans="1:12" ht="15" x14ac:dyDescent="0.25">
      <c r="A1497">
        <v>318841</v>
      </c>
      <c r="B1497" t="str">
        <f t="shared" si="58"/>
        <v/>
      </c>
      <c r="C1497" s="198">
        <f t="shared" si="59"/>
        <v>0</v>
      </c>
      <c r="D1497" s="526" t="s">
        <v>1430</v>
      </c>
      <c r="E1497" s="526" t="s">
        <v>71</v>
      </c>
      <c r="F1497" s="526" t="s">
        <v>71</v>
      </c>
      <c r="G1497" s="526" t="s">
        <v>71</v>
      </c>
      <c r="H1497" s="412" t="e">
        <v>#N/A</v>
      </c>
      <c r="I1497" s="411">
        <v>0</v>
      </c>
      <c r="J1497" s="411">
        <v>0</v>
      </c>
      <c r="K1497" s="411">
        <v>4889.2752499999997</v>
      </c>
      <c r="L1497" s="526" t="e">
        <v>#N/A</v>
      </c>
    </row>
    <row r="1498" spans="1:12" ht="15" x14ac:dyDescent="0.25">
      <c r="A1498">
        <v>358263</v>
      </c>
      <c r="B1498" t="str">
        <f t="shared" si="58"/>
        <v>SEVROLL Prosper II úchytová lišta 2,8m oliva</v>
      </c>
      <c r="C1498" s="198">
        <f t="shared" si="59"/>
        <v>23.563970000000001</v>
      </c>
      <c r="D1498" s="526" t="s">
        <v>1431</v>
      </c>
      <c r="E1498" s="526" t="s">
        <v>1875</v>
      </c>
      <c r="F1498" s="526" t="s">
        <v>1431</v>
      </c>
      <c r="G1498" s="526" t="s">
        <v>2429</v>
      </c>
      <c r="H1498" s="412" t="e">
        <v>#N/A</v>
      </c>
      <c r="I1498" s="411">
        <v>23.563970000000001</v>
      </c>
      <c r="J1498" s="411">
        <v>0</v>
      </c>
      <c r="K1498" s="411">
        <v>0</v>
      </c>
      <c r="L1498" s="526" t="e">
        <v>#N/A</v>
      </c>
    </row>
    <row r="1499" spans="1:12" ht="15" x14ac:dyDescent="0.25">
      <c r="A1499">
        <v>358311</v>
      </c>
      <c r="B1499" t="e">
        <f t="shared" si="58"/>
        <v>#N/A</v>
      </c>
      <c r="C1499" s="198" t="e">
        <f t="shared" si="59"/>
        <v>#N/A</v>
      </c>
      <c r="D1499" s="526" t="e">
        <v>#N/A</v>
      </c>
      <c r="E1499" s="526" t="e">
        <v>#N/A</v>
      </c>
      <c r="F1499" s="526" t="e">
        <v>#N/A</v>
      </c>
      <c r="G1499" s="526" t="e">
        <v>#N/A</v>
      </c>
      <c r="H1499" s="412" t="e">
        <v>#N/A</v>
      </c>
      <c r="I1499" s="411" t="e">
        <v>#N/A</v>
      </c>
      <c r="J1499" s="411" t="e">
        <v>#N/A</v>
      </c>
      <c r="K1499" s="411" t="e">
        <v>#N/A</v>
      </c>
      <c r="L1499" s="526" t="e">
        <v>#N/A</v>
      </c>
    </row>
    <row r="1500" spans="1:12" ht="15" x14ac:dyDescent="0.25">
      <c r="A1500">
        <v>358312</v>
      </c>
      <c r="B1500" t="e">
        <f t="shared" si="58"/>
        <v>#N/A</v>
      </c>
      <c r="C1500" s="198" t="e">
        <f t="shared" si="59"/>
        <v>#N/A</v>
      </c>
      <c r="D1500" s="526" t="e">
        <v>#N/A</v>
      </c>
      <c r="E1500" s="526" t="e">
        <v>#N/A</v>
      </c>
      <c r="F1500" s="526" t="e">
        <v>#N/A</v>
      </c>
      <c r="G1500" s="526" t="e">
        <v>#N/A</v>
      </c>
      <c r="H1500" s="412" t="e">
        <v>#N/A</v>
      </c>
      <c r="I1500" s="411" t="e">
        <v>#N/A</v>
      </c>
      <c r="J1500" s="411" t="e">
        <v>#N/A</v>
      </c>
      <c r="K1500" s="411" t="e">
        <v>#N/A</v>
      </c>
      <c r="L1500" s="526" t="e">
        <v>#N/A</v>
      </c>
    </row>
    <row r="1501" spans="1:12" ht="15" x14ac:dyDescent="0.25">
      <c r="A1501">
        <v>358316</v>
      </c>
      <c r="B1501" t="e">
        <f t="shared" ref="B1501:B1516" si="60">IF($A$2=1,D1501,IF($A$2=2,F1501,IF($A$2=3,G1501,IF($A$2=4,E1501,"zadat jazyk"))))</f>
        <v>#N/A</v>
      </c>
      <c r="C1501" s="198" t="e">
        <f t="shared" ref="C1501:C1516" si="61">IF($A$2=1,H1501,IF($A$2=2,I1501,IF($A$2=3,J1501,IF($A$2=4,K1501,"zadat jazyk"))))</f>
        <v>#N/A</v>
      </c>
      <c r="D1501" s="526" t="e">
        <v>#N/A</v>
      </c>
      <c r="E1501" s="526" t="e">
        <v>#N/A</v>
      </c>
      <c r="F1501" s="526" t="e">
        <v>#N/A</v>
      </c>
      <c r="G1501" s="526" t="e">
        <v>#N/A</v>
      </c>
      <c r="H1501" s="412" t="e">
        <v>#N/A</v>
      </c>
      <c r="I1501" s="411" t="e">
        <v>#N/A</v>
      </c>
      <c r="J1501" s="411" t="e">
        <v>#N/A</v>
      </c>
      <c r="K1501" s="411" t="e">
        <v>#N/A</v>
      </c>
      <c r="L1501" s="526" t="e">
        <v>#N/A</v>
      </c>
    </row>
    <row r="1502" spans="1:12" ht="15" x14ac:dyDescent="0.25">
      <c r="A1502">
        <v>285421</v>
      </c>
      <c r="B1502" t="e">
        <f t="shared" si="60"/>
        <v>#N/A</v>
      </c>
      <c r="C1502" s="198" t="e">
        <f t="shared" si="61"/>
        <v>#N/A</v>
      </c>
      <c r="D1502" s="526" t="e">
        <v>#N/A</v>
      </c>
      <c r="E1502" s="526" t="e">
        <v>#N/A</v>
      </c>
      <c r="F1502" s="526" t="e">
        <v>#N/A</v>
      </c>
      <c r="G1502" s="526" t="e">
        <v>#N/A</v>
      </c>
      <c r="H1502" s="412" t="e">
        <v>#N/A</v>
      </c>
      <c r="I1502" s="411" t="e">
        <v>#N/A</v>
      </c>
      <c r="J1502" s="411" t="e">
        <v>#N/A</v>
      </c>
      <c r="K1502" s="411" t="e">
        <v>#N/A</v>
      </c>
      <c r="L1502" s="526" t="e">
        <v>#N/A</v>
      </c>
    </row>
    <row r="1503" spans="1:12" ht="15" x14ac:dyDescent="0.25">
      <c r="A1503">
        <v>285551</v>
      </c>
      <c r="B1503" t="e">
        <f t="shared" si="60"/>
        <v>#N/A</v>
      </c>
      <c r="C1503" s="198" t="e">
        <f t="shared" si="61"/>
        <v>#N/A</v>
      </c>
      <c r="D1503" s="526" t="e">
        <v>#N/A</v>
      </c>
      <c r="E1503" s="526" t="e">
        <v>#N/A</v>
      </c>
      <c r="F1503" s="526" t="e">
        <v>#N/A</v>
      </c>
      <c r="G1503" s="526" t="e">
        <v>#N/A</v>
      </c>
      <c r="H1503" s="412" t="e">
        <v>#N/A</v>
      </c>
      <c r="I1503" s="411" t="e">
        <v>#N/A</v>
      </c>
      <c r="J1503" s="411" t="e">
        <v>#N/A</v>
      </c>
      <c r="K1503" s="411" t="e">
        <v>#N/A</v>
      </c>
      <c r="L1503" s="526" t="e">
        <v>#N/A</v>
      </c>
    </row>
    <row r="1504" spans="1:12" ht="15" x14ac:dyDescent="0.25">
      <c r="A1504">
        <v>285552</v>
      </c>
      <c r="B1504" t="e">
        <f t="shared" si="60"/>
        <v>#N/A</v>
      </c>
      <c r="C1504" s="198" t="e">
        <f t="shared" si="61"/>
        <v>#N/A</v>
      </c>
      <c r="D1504" s="526" t="e">
        <v>#N/A</v>
      </c>
      <c r="E1504" s="526" t="e">
        <v>#N/A</v>
      </c>
      <c r="F1504" s="526" t="e">
        <v>#N/A</v>
      </c>
      <c r="G1504" s="526" t="e">
        <v>#N/A</v>
      </c>
      <c r="H1504" s="412" t="e">
        <v>#N/A</v>
      </c>
      <c r="I1504" s="411" t="e">
        <v>#N/A</v>
      </c>
      <c r="J1504" s="411" t="e">
        <v>#N/A</v>
      </c>
      <c r="K1504" s="411" t="e">
        <v>#N/A</v>
      </c>
      <c r="L1504" s="526" t="e">
        <v>#N/A</v>
      </c>
    </row>
    <row r="1505" spans="1:12" ht="15" x14ac:dyDescent="0.25">
      <c r="A1505">
        <v>388453</v>
      </c>
      <c r="B1505" t="e">
        <f t="shared" si="60"/>
        <v>#N/A</v>
      </c>
      <c r="C1505" s="198" t="e">
        <f t="shared" si="61"/>
        <v>#N/A</v>
      </c>
      <c r="D1505" s="526" t="e">
        <v>#N/A</v>
      </c>
      <c r="E1505" s="526" t="e">
        <v>#N/A</v>
      </c>
      <c r="F1505" s="526" t="e">
        <v>#N/A</v>
      </c>
      <c r="G1505" s="526" t="e">
        <v>#N/A</v>
      </c>
      <c r="H1505" s="412" t="e">
        <v>#N/A</v>
      </c>
      <c r="I1505" s="411" t="e">
        <v>#N/A</v>
      </c>
      <c r="J1505" s="411" t="e">
        <v>#N/A</v>
      </c>
      <c r="K1505" s="411" t="e">
        <v>#N/A</v>
      </c>
      <c r="L1505" s="526" t="e">
        <v>#N/A</v>
      </c>
    </row>
    <row r="1506" spans="1:12" ht="15" x14ac:dyDescent="0.25">
      <c r="A1506">
        <v>388455</v>
      </c>
      <c r="B1506" t="e">
        <f t="shared" si="60"/>
        <v>#N/A</v>
      </c>
      <c r="C1506" s="198" t="e">
        <f t="shared" si="61"/>
        <v>#N/A</v>
      </c>
      <c r="D1506" s="526" t="e">
        <v>#N/A</v>
      </c>
      <c r="E1506" s="526" t="e">
        <v>#N/A</v>
      </c>
      <c r="F1506" s="526" t="e">
        <v>#N/A</v>
      </c>
      <c r="G1506" s="526" t="e">
        <v>#N/A</v>
      </c>
      <c r="H1506" s="412" t="e">
        <v>#N/A</v>
      </c>
      <c r="I1506" s="411" t="e">
        <v>#N/A</v>
      </c>
      <c r="J1506" s="411" t="e">
        <v>#N/A</v>
      </c>
      <c r="K1506" s="411" t="e">
        <v>#N/A</v>
      </c>
      <c r="L1506" s="526" t="e">
        <v>#N/A</v>
      </c>
    </row>
    <row r="1507" spans="1:12" ht="15" x14ac:dyDescent="0.25">
      <c r="A1507">
        <v>388462</v>
      </c>
      <c r="B1507" t="str">
        <f t="shared" si="60"/>
        <v/>
      </c>
      <c r="C1507" s="198">
        <f t="shared" si="61"/>
        <v>9.7535299999999996</v>
      </c>
      <c r="D1507" s="526" t="s">
        <v>1432</v>
      </c>
      <c r="E1507" s="526" t="s">
        <v>1876</v>
      </c>
      <c r="F1507" s="526" t="s">
        <v>71</v>
      </c>
      <c r="G1507" s="526" t="s">
        <v>5892</v>
      </c>
      <c r="H1507" s="412">
        <v>270.06587999999999</v>
      </c>
      <c r="I1507" s="411">
        <v>9.7535299999999996</v>
      </c>
      <c r="J1507" s="411">
        <v>32.980600000000003</v>
      </c>
      <c r="K1507" s="411">
        <v>3712.9199699999999</v>
      </c>
      <c r="L1507" s="526" t="s">
        <v>554</v>
      </c>
    </row>
    <row r="1508" spans="1:12" ht="15" x14ac:dyDescent="0.25">
      <c r="A1508">
        <v>388537</v>
      </c>
      <c r="B1508" t="e">
        <f t="shared" si="60"/>
        <v>#N/A</v>
      </c>
      <c r="C1508" s="198" t="e">
        <f t="shared" si="61"/>
        <v>#N/A</v>
      </c>
      <c r="D1508" s="526" t="e">
        <v>#N/A</v>
      </c>
      <c r="E1508" s="526" t="e">
        <v>#N/A</v>
      </c>
      <c r="F1508" s="526" t="e">
        <v>#N/A</v>
      </c>
      <c r="G1508" s="526" t="e">
        <v>#N/A</v>
      </c>
      <c r="H1508" s="412" t="e">
        <v>#N/A</v>
      </c>
      <c r="I1508" s="411" t="e">
        <v>#N/A</v>
      </c>
      <c r="J1508" s="411" t="e">
        <v>#N/A</v>
      </c>
      <c r="K1508" s="411" t="e">
        <v>#N/A</v>
      </c>
      <c r="L1508" s="526" t="e">
        <v>#N/A</v>
      </c>
    </row>
    <row r="1509" spans="1:12" ht="15" x14ac:dyDescent="0.25">
      <c r="A1509">
        <v>388538</v>
      </c>
      <c r="B1509" t="e">
        <f t="shared" si="60"/>
        <v>#N/A</v>
      </c>
      <c r="C1509" s="198" t="e">
        <f t="shared" si="61"/>
        <v>#N/A</v>
      </c>
      <c r="D1509" s="526" t="e">
        <v>#N/A</v>
      </c>
      <c r="E1509" s="526" t="e">
        <v>#N/A</v>
      </c>
      <c r="F1509" s="526" t="e">
        <v>#N/A</v>
      </c>
      <c r="G1509" s="526" t="e">
        <v>#N/A</v>
      </c>
      <c r="H1509" s="412" t="e">
        <v>#N/A</v>
      </c>
      <c r="I1509" s="411" t="e">
        <v>#N/A</v>
      </c>
      <c r="J1509" s="411" t="e">
        <v>#N/A</v>
      </c>
      <c r="K1509" s="411" t="e">
        <v>#N/A</v>
      </c>
      <c r="L1509" s="526" t="e">
        <v>#N/A</v>
      </c>
    </row>
    <row r="1510" spans="1:12" ht="15" x14ac:dyDescent="0.25">
      <c r="A1510">
        <v>388539</v>
      </c>
      <c r="B1510" t="e">
        <f t="shared" si="60"/>
        <v>#N/A</v>
      </c>
      <c r="C1510" s="198" t="e">
        <f t="shared" si="61"/>
        <v>#N/A</v>
      </c>
      <c r="D1510" s="526" t="e">
        <v>#N/A</v>
      </c>
      <c r="E1510" s="526" t="e">
        <v>#N/A</v>
      </c>
      <c r="F1510" s="526" t="e">
        <v>#N/A</v>
      </c>
      <c r="G1510" s="526" t="e">
        <v>#N/A</v>
      </c>
      <c r="H1510" s="412" t="e">
        <v>#N/A</v>
      </c>
      <c r="I1510" s="411" t="e">
        <v>#N/A</v>
      </c>
      <c r="J1510" s="411" t="e">
        <v>#N/A</v>
      </c>
      <c r="K1510" s="411" t="e">
        <v>#N/A</v>
      </c>
      <c r="L1510" s="526" t="e">
        <v>#N/A</v>
      </c>
    </row>
    <row r="1511" spans="1:12" ht="15" x14ac:dyDescent="0.25">
      <c r="A1511">
        <v>388540</v>
      </c>
      <c r="B1511" t="e">
        <f t="shared" si="60"/>
        <v>#N/A</v>
      </c>
      <c r="C1511" s="198" t="e">
        <f t="shared" si="61"/>
        <v>#N/A</v>
      </c>
      <c r="D1511" s="526" t="e">
        <v>#N/A</v>
      </c>
      <c r="E1511" s="526" t="e">
        <v>#N/A</v>
      </c>
      <c r="F1511" s="526" t="e">
        <v>#N/A</v>
      </c>
      <c r="G1511" s="526" t="e">
        <v>#N/A</v>
      </c>
      <c r="H1511" s="412" t="e">
        <v>#N/A</v>
      </c>
      <c r="I1511" s="411" t="e">
        <v>#N/A</v>
      </c>
      <c r="J1511" s="411" t="e">
        <v>#N/A</v>
      </c>
      <c r="K1511" s="411" t="e">
        <v>#N/A</v>
      </c>
      <c r="L1511" s="526" t="e">
        <v>#N/A</v>
      </c>
    </row>
    <row r="1512" spans="1:12" ht="15" x14ac:dyDescent="0.25">
      <c r="A1512">
        <v>388541</v>
      </c>
      <c r="B1512" t="e">
        <f t="shared" si="60"/>
        <v>#N/A</v>
      </c>
      <c r="C1512" s="198" t="e">
        <f t="shared" si="61"/>
        <v>#N/A</v>
      </c>
      <c r="D1512" s="526" t="e">
        <v>#N/A</v>
      </c>
      <c r="E1512" s="526" t="e">
        <v>#N/A</v>
      </c>
      <c r="F1512" s="526" t="e">
        <v>#N/A</v>
      </c>
      <c r="G1512" s="526" t="e">
        <v>#N/A</v>
      </c>
      <c r="H1512" s="412" t="e">
        <v>#N/A</v>
      </c>
      <c r="I1512" s="411" t="e">
        <v>#N/A</v>
      </c>
      <c r="J1512" s="411" t="e">
        <v>#N/A</v>
      </c>
      <c r="K1512" s="411" t="e">
        <v>#N/A</v>
      </c>
      <c r="L1512" s="526" t="e">
        <v>#N/A</v>
      </c>
    </row>
    <row r="1513" spans="1:12" ht="15" x14ac:dyDescent="0.25">
      <c r="A1513">
        <v>388542</v>
      </c>
      <c r="B1513" t="e">
        <f t="shared" si="60"/>
        <v>#N/A</v>
      </c>
      <c r="C1513" s="198" t="e">
        <f t="shared" si="61"/>
        <v>#N/A</v>
      </c>
      <c r="D1513" s="526" t="e">
        <v>#N/A</v>
      </c>
      <c r="E1513" s="526" t="e">
        <v>#N/A</v>
      </c>
      <c r="F1513" s="526" t="e">
        <v>#N/A</v>
      </c>
      <c r="G1513" s="526" t="e">
        <v>#N/A</v>
      </c>
      <c r="H1513" s="412" t="e">
        <v>#N/A</v>
      </c>
      <c r="I1513" s="411" t="e">
        <v>#N/A</v>
      </c>
      <c r="J1513" s="411" t="e">
        <v>#N/A</v>
      </c>
      <c r="K1513" s="411" t="e">
        <v>#N/A</v>
      </c>
      <c r="L1513" s="526" t="e">
        <v>#N/A</v>
      </c>
    </row>
    <row r="1514" spans="1:12" ht="15" x14ac:dyDescent="0.25">
      <c r="A1514">
        <v>388543</v>
      </c>
      <c r="B1514" t="e">
        <f t="shared" si="60"/>
        <v>#N/A</v>
      </c>
      <c r="C1514" s="198" t="e">
        <f t="shared" si="61"/>
        <v>#N/A</v>
      </c>
      <c r="D1514" s="526" t="e">
        <v>#N/A</v>
      </c>
      <c r="E1514" s="526" t="e">
        <v>#N/A</v>
      </c>
      <c r="F1514" s="526" t="e">
        <v>#N/A</v>
      </c>
      <c r="G1514" s="526" t="e">
        <v>#N/A</v>
      </c>
      <c r="H1514" s="412" t="e">
        <v>#N/A</v>
      </c>
      <c r="I1514" s="411" t="e">
        <v>#N/A</v>
      </c>
      <c r="J1514" s="411" t="e">
        <v>#N/A</v>
      </c>
      <c r="K1514" s="411" t="e">
        <v>#N/A</v>
      </c>
      <c r="L1514" s="526" t="e">
        <v>#N/A</v>
      </c>
    </row>
    <row r="1515" spans="1:12" ht="15" x14ac:dyDescent="0.25">
      <c r="A1515">
        <v>388544</v>
      </c>
      <c r="B1515" t="e">
        <f t="shared" si="60"/>
        <v>#N/A</v>
      </c>
      <c r="C1515" s="198" t="e">
        <f t="shared" si="61"/>
        <v>#N/A</v>
      </c>
      <c r="D1515" s="526" t="e">
        <v>#N/A</v>
      </c>
      <c r="E1515" s="526" t="e">
        <v>#N/A</v>
      </c>
      <c r="F1515" s="526" t="e">
        <v>#N/A</v>
      </c>
      <c r="G1515" s="526" t="e">
        <v>#N/A</v>
      </c>
      <c r="H1515" s="412" t="e">
        <v>#N/A</v>
      </c>
      <c r="I1515" s="411" t="e">
        <v>#N/A</v>
      </c>
      <c r="J1515" s="411" t="e">
        <v>#N/A</v>
      </c>
      <c r="K1515" s="411" t="e">
        <v>#N/A</v>
      </c>
      <c r="L1515" s="526" t="e">
        <v>#N/A</v>
      </c>
    </row>
    <row r="1516" spans="1:12" ht="15" x14ac:dyDescent="0.25">
      <c r="A1516">
        <v>388545</v>
      </c>
      <c r="B1516" t="e">
        <f t="shared" si="60"/>
        <v>#N/A</v>
      </c>
      <c r="C1516" s="198" t="e">
        <f t="shared" si="61"/>
        <v>#N/A</v>
      </c>
      <c r="D1516" s="526" t="e">
        <v>#N/A</v>
      </c>
      <c r="E1516" s="526" t="e">
        <v>#N/A</v>
      </c>
      <c r="F1516" s="526" t="e">
        <v>#N/A</v>
      </c>
      <c r="G1516" s="526" t="e">
        <v>#N/A</v>
      </c>
      <c r="H1516" s="412" t="e">
        <v>#N/A</v>
      </c>
      <c r="I1516" s="411" t="e">
        <v>#N/A</v>
      </c>
      <c r="J1516" s="411" t="e">
        <v>#N/A</v>
      </c>
      <c r="K1516" s="411" t="e">
        <v>#N/A</v>
      </c>
      <c r="L1516" s="526" t="e">
        <v>#N/A</v>
      </c>
    </row>
    <row r="1517" spans="1:12" ht="15" x14ac:dyDescent="0.25">
      <c r="A1517">
        <v>388635</v>
      </c>
      <c r="B1517" t="e">
        <f t="shared" ref="B1517:B1538" si="62">IF($A$2=1,D1517,IF($A$2=2,F1517,IF($A$2=3,G1517,IF($A$2=4,E1517,"zadat jazyk"))))</f>
        <v>#N/A</v>
      </c>
      <c r="C1517" s="198" t="e">
        <f t="shared" ref="C1517:C1538" si="63">IF($A$2=1,H1517,IF($A$2=2,I1517,IF($A$2=3,J1517,IF($A$2=4,K1517,"zadat jazyk"))))</f>
        <v>#N/A</v>
      </c>
      <c r="D1517" s="526" t="e">
        <v>#N/A</v>
      </c>
      <c r="E1517" s="526" t="e">
        <v>#N/A</v>
      </c>
      <c r="F1517" s="526" t="e">
        <v>#N/A</v>
      </c>
      <c r="G1517" s="526" t="e">
        <v>#N/A</v>
      </c>
      <c r="H1517" s="412" t="e">
        <v>#N/A</v>
      </c>
      <c r="I1517" s="411" t="e">
        <v>#N/A</v>
      </c>
      <c r="J1517" s="411" t="e">
        <v>#N/A</v>
      </c>
      <c r="K1517" s="411" t="e">
        <v>#N/A</v>
      </c>
      <c r="L1517" s="526" t="e">
        <v>#N/A</v>
      </c>
    </row>
    <row r="1518" spans="1:12" ht="15" x14ac:dyDescent="0.25">
      <c r="A1518">
        <v>317451</v>
      </c>
      <c r="B1518" t="e">
        <f t="shared" si="62"/>
        <v>#N/A</v>
      </c>
      <c r="C1518" s="198" t="e">
        <f t="shared" si="63"/>
        <v>#N/A</v>
      </c>
      <c r="D1518" s="526" t="e">
        <v>#N/A</v>
      </c>
      <c r="E1518" s="526" t="e">
        <v>#N/A</v>
      </c>
      <c r="F1518" s="526" t="e">
        <v>#N/A</v>
      </c>
      <c r="G1518" s="526" t="e">
        <v>#N/A</v>
      </c>
      <c r="H1518" s="412" t="e">
        <v>#N/A</v>
      </c>
      <c r="I1518" s="411" t="e">
        <v>#N/A</v>
      </c>
      <c r="J1518" s="411" t="e">
        <v>#N/A</v>
      </c>
      <c r="K1518" s="411" t="e">
        <v>#N/A</v>
      </c>
      <c r="L1518" s="526" t="e">
        <v>#N/A</v>
      </c>
    </row>
    <row r="1519" spans="1:12" ht="15" x14ac:dyDescent="0.25">
      <c r="A1519">
        <v>317904</v>
      </c>
      <c r="B1519" t="e">
        <f t="shared" si="62"/>
        <v>#N/A</v>
      </c>
      <c r="C1519" s="198" t="e">
        <f t="shared" si="63"/>
        <v>#N/A</v>
      </c>
      <c r="D1519" s="526" t="e">
        <v>#N/A</v>
      </c>
      <c r="E1519" s="526" t="e">
        <v>#N/A</v>
      </c>
      <c r="F1519" s="526" t="e">
        <v>#N/A</v>
      </c>
      <c r="G1519" s="526" t="e">
        <v>#N/A</v>
      </c>
      <c r="H1519" s="412" t="e">
        <v>#N/A</v>
      </c>
      <c r="I1519" s="411" t="e">
        <v>#N/A</v>
      </c>
      <c r="J1519" s="411" t="e">
        <v>#N/A</v>
      </c>
      <c r="K1519" s="411" t="e">
        <v>#N/A</v>
      </c>
      <c r="L1519" s="526" t="e">
        <v>#N/A</v>
      </c>
    </row>
    <row r="1520" spans="1:12" ht="15" x14ac:dyDescent="0.25">
      <c r="A1520">
        <v>317938</v>
      </c>
      <c r="B1520" t="e">
        <f t="shared" si="62"/>
        <v>#N/A</v>
      </c>
      <c r="C1520" s="198" t="e">
        <f t="shared" si="63"/>
        <v>#N/A</v>
      </c>
      <c r="D1520" s="526" t="e">
        <v>#N/A</v>
      </c>
      <c r="E1520" s="526" t="e">
        <v>#N/A</v>
      </c>
      <c r="F1520" s="526" t="e">
        <v>#N/A</v>
      </c>
      <c r="G1520" s="526" t="e">
        <v>#N/A</v>
      </c>
      <c r="H1520" s="412" t="e">
        <v>#N/A</v>
      </c>
      <c r="I1520" s="411" t="e">
        <v>#N/A</v>
      </c>
      <c r="J1520" s="411" t="e">
        <v>#N/A</v>
      </c>
      <c r="K1520" s="411" t="e">
        <v>#N/A</v>
      </c>
      <c r="L1520" s="526" t="e">
        <v>#N/A</v>
      </c>
    </row>
    <row r="1521" spans="1:12" ht="15" x14ac:dyDescent="0.25">
      <c r="A1521">
        <v>317940</v>
      </c>
      <c r="B1521" t="e">
        <f t="shared" si="62"/>
        <v>#N/A</v>
      </c>
      <c r="C1521" s="198" t="e">
        <f t="shared" si="63"/>
        <v>#N/A</v>
      </c>
      <c r="D1521" s="526" t="e">
        <v>#N/A</v>
      </c>
      <c r="E1521" s="526" t="e">
        <v>#N/A</v>
      </c>
      <c r="F1521" s="526" t="e">
        <v>#N/A</v>
      </c>
      <c r="G1521" s="526" t="e">
        <v>#N/A</v>
      </c>
      <c r="H1521" s="412" t="e">
        <v>#N/A</v>
      </c>
      <c r="I1521" s="411" t="e">
        <v>#N/A</v>
      </c>
      <c r="J1521" s="411" t="e">
        <v>#N/A</v>
      </c>
      <c r="K1521" s="411" t="e">
        <v>#N/A</v>
      </c>
      <c r="L1521" s="526" t="e">
        <v>#N/A</v>
      </c>
    </row>
    <row r="1522" spans="1:12" ht="15" x14ac:dyDescent="0.25">
      <c r="A1522">
        <v>409670</v>
      </c>
      <c r="B1522" t="str">
        <f t="shared" si="62"/>
        <v>SEVROLL 05314 Gemini horné vedenie 2,35m čierna mat</v>
      </c>
      <c r="C1522" s="198">
        <f t="shared" si="63"/>
        <v>25.225020000000001</v>
      </c>
      <c r="D1522" s="526" t="s">
        <v>1433</v>
      </c>
      <c r="E1522" s="526" t="s">
        <v>1877</v>
      </c>
      <c r="F1522" s="526" t="s">
        <v>5893</v>
      </c>
      <c r="G1522" s="526" t="s">
        <v>5894</v>
      </c>
      <c r="H1522" s="412">
        <v>698.74188000000004</v>
      </c>
      <c r="I1522" s="411">
        <v>25.225020000000001</v>
      </c>
      <c r="J1522" s="411">
        <v>103.20359999999999</v>
      </c>
      <c r="K1522" s="411">
        <v>9602.5149299999994</v>
      </c>
      <c r="L1522" s="526" t="s">
        <v>553</v>
      </c>
    </row>
    <row r="1523" spans="1:12" ht="15" x14ac:dyDescent="0.25">
      <c r="A1523">
        <v>409674</v>
      </c>
      <c r="B1523" t="str">
        <f t="shared" si="62"/>
        <v>SEVROLL 04835 Gemini horné vedenie  4,05m čierna mat</v>
      </c>
      <c r="C1523" s="198">
        <f t="shared" si="63"/>
        <v>43.47289</v>
      </c>
      <c r="D1523" s="526" t="s">
        <v>1434</v>
      </c>
      <c r="E1523" s="526" t="s">
        <v>1878</v>
      </c>
      <c r="F1523" s="526" t="s">
        <v>5895</v>
      </c>
      <c r="G1523" s="526" t="s">
        <v>5896</v>
      </c>
      <c r="H1523" s="412">
        <v>1203.8651</v>
      </c>
      <c r="I1523" s="411">
        <v>43.47289</v>
      </c>
      <c r="J1523" s="411">
        <v>177.9186</v>
      </c>
      <c r="K1523" s="411">
        <v>16549.015370000001</v>
      </c>
      <c r="L1523" s="526" t="s">
        <v>553</v>
      </c>
    </row>
    <row r="1524" spans="1:12" ht="15" x14ac:dyDescent="0.25">
      <c r="A1524">
        <v>409676</v>
      </c>
      <c r="B1524" t="str">
        <f t="shared" si="62"/>
        <v>SEVROLL 05311 Elegant II spodné vedenie 4,05m čierna mat</v>
      </c>
      <c r="C1524" s="198">
        <f t="shared" si="63"/>
        <v>25.449750000000002</v>
      </c>
      <c r="D1524" s="526" t="s">
        <v>1435</v>
      </c>
      <c r="E1524" s="526" t="s">
        <v>1879</v>
      </c>
      <c r="F1524" s="526" t="s">
        <v>5897</v>
      </c>
      <c r="G1524" s="526" t="s">
        <v>5898</v>
      </c>
      <c r="H1524" s="412">
        <v>704.45755999999994</v>
      </c>
      <c r="I1524" s="411">
        <v>25.449750000000002</v>
      </c>
      <c r="J1524" s="411">
        <v>96.930599999999998</v>
      </c>
      <c r="K1524" s="411">
        <v>9688.0696700000008</v>
      </c>
      <c r="L1524" s="526" t="s">
        <v>553</v>
      </c>
    </row>
    <row r="1525" spans="1:12" ht="15" x14ac:dyDescent="0.25">
      <c r="A1525">
        <v>409678</v>
      </c>
      <c r="B1525" t="str">
        <f t="shared" si="62"/>
        <v>SEVROLL 05309 Elegant II spodné vedenie 2,35m čierna mat</v>
      </c>
      <c r="C1525" s="198">
        <f t="shared" si="63"/>
        <v>14.79285</v>
      </c>
      <c r="D1525" s="526" t="s">
        <v>1436</v>
      </c>
      <c r="E1525" s="526" t="s">
        <v>1880</v>
      </c>
      <c r="F1525" s="526" t="s">
        <v>5899</v>
      </c>
      <c r="G1525" s="526" t="s">
        <v>5900</v>
      </c>
      <c r="H1525" s="412">
        <v>409.38558</v>
      </c>
      <c r="I1525" s="411">
        <v>14.79285</v>
      </c>
      <c r="J1525" s="411">
        <v>56.242800000000003</v>
      </c>
      <c r="K1525" s="411">
        <v>5631.26206</v>
      </c>
      <c r="L1525" s="526" t="s">
        <v>553</v>
      </c>
    </row>
    <row r="1526" spans="1:12" ht="15" x14ac:dyDescent="0.25">
      <c r="A1526">
        <v>409679</v>
      </c>
      <c r="B1526" t="str">
        <f t="shared" si="62"/>
        <v>SEVROLL 05318 maska Elegant II 2,35m čierna mat</v>
      </c>
      <c r="C1526" s="198">
        <f t="shared" si="63"/>
        <v>4.5720400000000003</v>
      </c>
      <c r="D1526" s="526" t="s">
        <v>1437</v>
      </c>
      <c r="E1526" s="526" t="s">
        <v>1881</v>
      </c>
      <c r="F1526" s="526" t="s">
        <v>5901</v>
      </c>
      <c r="G1526" s="526" t="s">
        <v>5902</v>
      </c>
      <c r="H1526" s="412">
        <v>126.45941999999999</v>
      </c>
      <c r="I1526" s="411">
        <v>4.5720400000000003</v>
      </c>
      <c r="J1526" s="411">
        <v>16.870799999999999</v>
      </c>
      <c r="K1526" s="411">
        <v>1740.45587</v>
      </c>
      <c r="L1526" s="526" t="s">
        <v>553</v>
      </c>
    </row>
    <row r="1527" spans="1:12" ht="15" x14ac:dyDescent="0.25">
      <c r="A1527">
        <v>409680</v>
      </c>
      <c r="B1527" t="str">
        <f t="shared" si="62"/>
        <v>SEVROLL 05320 maska Elegant II 4,05m čierna mat</v>
      </c>
      <c r="C1527" s="198">
        <f t="shared" si="63"/>
        <v>7.8794599999999999</v>
      </c>
      <c r="D1527" s="526" t="s">
        <v>1438</v>
      </c>
      <c r="E1527" s="526" t="s">
        <v>1882</v>
      </c>
      <c r="F1527" s="526" t="s">
        <v>5903</v>
      </c>
      <c r="G1527" s="526" t="s">
        <v>5904</v>
      </c>
      <c r="H1527" s="412">
        <v>217.91030000000001</v>
      </c>
      <c r="I1527" s="411">
        <v>7.8794599999999999</v>
      </c>
      <c r="J1527" s="411">
        <v>29.07</v>
      </c>
      <c r="K1527" s="411">
        <v>2999.5093700000002</v>
      </c>
      <c r="L1527" s="526" t="s">
        <v>553</v>
      </c>
    </row>
    <row r="1528" spans="1:12" ht="15" x14ac:dyDescent="0.25">
      <c r="A1528">
        <v>409682</v>
      </c>
      <c r="B1528" t="str">
        <f t="shared" si="62"/>
        <v>SEVROLL 05297 uholník Mini 17x11mm 2,35m čierna mat</v>
      </c>
      <c r="C1528" s="198">
        <f t="shared" si="63"/>
        <v>4.3607100000000001</v>
      </c>
      <c r="D1528" s="526" t="s">
        <v>5905</v>
      </c>
      <c r="E1528" s="526" t="s">
        <v>5906</v>
      </c>
      <c r="F1528" s="526" t="s">
        <v>5907</v>
      </c>
      <c r="G1528" s="526" t="s">
        <v>5908</v>
      </c>
      <c r="H1528" s="412">
        <v>120.74374</v>
      </c>
      <c r="I1528" s="411">
        <v>4.3607100000000001</v>
      </c>
      <c r="J1528" s="411">
        <v>16.901399999999999</v>
      </c>
      <c r="K1528" s="411">
        <v>1660.00919</v>
      </c>
      <c r="L1528" s="526" t="s">
        <v>553</v>
      </c>
    </row>
    <row r="1529" spans="1:12" ht="15" x14ac:dyDescent="0.25">
      <c r="A1529">
        <v>409683</v>
      </c>
      <c r="B1529" t="str">
        <f t="shared" si="62"/>
        <v>SEVROLL 05304 spojovacia lišta H18 3m čierna mat</v>
      </c>
      <c r="C1529" s="198">
        <f t="shared" si="63"/>
        <v>15.456</v>
      </c>
      <c r="D1529" s="526" t="s">
        <v>1439</v>
      </c>
      <c r="E1529" s="526" t="s">
        <v>1883</v>
      </c>
      <c r="F1529" s="526" t="s">
        <v>5909</v>
      </c>
      <c r="G1529" s="526" t="s">
        <v>2430</v>
      </c>
      <c r="H1529" s="412">
        <v>427.96154000000001</v>
      </c>
      <c r="I1529" s="411">
        <v>15.456</v>
      </c>
      <c r="J1529" s="411">
        <v>62.464799999999997</v>
      </c>
      <c r="K1529" s="411">
        <v>5883.7013900000002</v>
      </c>
      <c r="L1529" s="526" t="s">
        <v>553</v>
      </c>
    </row>
    <row r="1530" spans="1:12" ht="15" x14ac:dyDescent="0.25">
      <c r="A1530">
        <v>409700</v>
      </c>
      <c r="B1530" t="str">
        <f t="shared" si="62"/>
        <v>SEVROLL 20334-SV dorazová štetina zásuvná 14x4mm čierna</v>
      </c>
      <c r="C1530" s="198">
        <f t="shared" si="63"/>
        <v>0.37526999999999999</v>
      </c>
      <c r="D1530" s="526" t="s">
        <v>1440</v>
      </c>
      <c r="E1530" s="526" t="s">
        <v>1884</v>
      </c>
      <c r="F1530" s="526" t="s">
        <v>5910</v>
      </c>
      <c r="G1530" s="526" t="s">
        <v>5911</v>
      </c>
      <c r="H1530" s="412">
        <v>11.372249999999999</v>
      </c>
      <c r="I1530" s="411">
        <v>0.37526999999999999</v>
      </c>
      <c r="J1530" s="411">
        <v>1.43</v>
      </c>
      <c r="K1530" s="411">
        <v>145.77422999999999</v>
      </c>
      <c r="L1530" s="526" t="s">
        <v>553</v>
      </c>
    </row>
    <row r="1531" spans="1:12" ht="15" x14ac:dyDescent="0.25">
      <c r="A1531">
        <v>409699</v>
      </c>
      <c r="B1531" t="str">
        <f t="shared" si="62"/>
        <v>SEVROLL 20403-SV dorazová štetina zásuvná 4,8x4mm čierna</v>
      </c>
      <c r="C1531" s="198">
        <f t="shared" si="63"/>
        <v>0.15629999999999999</v>
      </c>
      <c r="D1531" s="526" t="s">
        <v>1441</v>
      </c>
      <c r="E1531" s="526" t="s">
        <v>1885</v>
      </c>
      <c r="F1531" s="526" t="s">
        <v>5912</v>
      </c>
      <c r="G1531" s="526" t="s">
        <v>5913</v>
      </c>
      <c r="H1531" s="412">
        <v>4.5774800000000004</v>
      </c>
      <c r="I1531" s="411">
        <v>0.15629999999999999</v>
      </c>
      <c r="J1531" s="411">
        <v>0.59360000000000002</v>
      </c>
      <c r="K1531" s="411">
        <v>60.709229999999998</v>
      </c>
      <c r="L1531" s="526" t="s">
        <v>553</v>
      </c>
    </row>
    <row r="1532" spans="1:12" ht="15" x14ac:dyDescent="0.25">
      <c r="A1532">
        <v>410298</v>
      </c>
      <c r="B1532" t="e">
        <f t="shared" si="62"/>
        <v>#N/A</v>
      </c>
      <c r="C1532" s="198" t="e">
        <f t="shared" si="63"/>
        <v>#N/A</v>
      </c>
      <c r="D1532" s="526" t="e">
        <v>#N/A</v>
      </c>
      <c r="E1532" s="526" t="e">
        <v>#N/A</v>
      </c>
      <c r="F1532" s="526" t="e">
        <v>#N/A</v>
      </c>
      <c r="G1532" s="526" t="e">
        <v>#N/A</v>
      </c>
      <c r="H1532" s="412" t="e">
        <v>#N/A</v>
      </c>
      <c r="I1532" s="411" t="e">
        <v>#N/A</v>
      </c>
      <c r="J1532" s="411" t="e">
        <v>#N/A</v>
      </c>
      <c r="K1532" s="411" t="e">
        <v>#N/A</v>
      </c>
      <c r="L1532" s="526" t="e">
        <v>#N/A</v>
      </c>
    </row>
    <row r="1533" spans="1:12" ht="15" x14ac:dyDescent="0.25">
      <c r="A1533">
        <v>410301</v>
      </c>
      <c r="B1533" t="e">
        <f t="shared" si="62"/>
        <v>#N/A</v>
      </c>
      <c r="C1533" s="198" t="e">
        <f t="shared" si="63"/>
        <v>#N/A</v>
      </c>
      <c r="D1533" s="526" t="e">
        <v>#N/A</v>
      </c>
      <c r="E1533" s="526" t="e">
        <v>#N/A</v>
      </c>
      <c r="F1533" s="526" t="e">
        <v>#N/A</v>
      </c>
      <c r="G1533" s="526" t="e">
        <v>#N/A</v>
      </c>
      <c r="H1533" s="412" t="e">
        <v>#N/A</v>
      </c>
      <c r="I1533" s="411" t="e">
        <v>#N/A</v>
      </c>
      <c r="J1533" s="411" t="e">
        <v>#N/A</v>
      </c>
      <c r="K1533" s="411" t="e">
        <v>#N/A</v>
      </c>
      <c r="L1533" s="526" t="e">
        <v>#N/A</v>
      </c>
    </row>
    <row r="1534" spans="1:12" ht="15" x14ac:dyDescent="0.25">
      <c r="A1534">
        <v>410302</v>
      </c>
      <c r="B1534" t="e">
        <f t="shared" si="62"/>
        <v>#N/A</v>
      </c>
      <c r="C1534" s="198" t="e">
        <f t="shared" si="63"/>
        <v>#N/A</v>
      </c>
      <c r="D1534" s="526" t="e">
        <v>#N/A</v>
      </c>
      <c r="E1534" s="526" t="e">
        <v>#N/A</v>
      </c>
      <c r="F1534" s="526" t="e">
        <v>#N/A</v>
      </c>
      <c r="G1534" s="526" t="e">
        <v>#N/A</v>
      </c>
      <c r="H1534" s="412" t="e">
        <v>#N/A</v>
      </c>
      <c r="I1534" s="411" t="e">
        <v>#N/A</v>
      </c>
      <c r="J1534" s="411" t="e">
        <v>#N/A</v>
      </c>
      <c r="K1534" s="411" t="e">
        <v>#N/A</v>
      </c>
      <c r="L1534" s="526" t="e">
        <v>#N/A</v>
      </c>
    </row>
    <row r="1535" spans="1:12" ht="15" x14ac:dyDescent="0.25">
      <c r="A1535">
        <v>410303</v>
      </c>
      <c r="B1535" t="e">
        <f t="shared" si="62"/>
        <v>#N/A</v>
      </c>
      <c r="C1535" s="198" t="e">
        <f t="shared" si="63"/>
        <v>#N/A</v>
      </c>
      <c r="D1535" s="526" t="e">
        <v>#N/A</v>
      </c>
      <c r="E1535" s="526" t="e">
        <v>#N/A</v>
      </c>
      <c r="F1535" s="526" t="e">
        <v>#N/A</v>
      </c>
      <c r="G1535" s="526" t="e">
        <v>#N/A</v>
      </c>
      <c r="H1535" s="412" t="e">
        <v>#N/A</v>
      </c>
      <c r="I1535" s="411" t="e">
        <v>#N/A</v>
      </c>
      <c r="J1535" s="411" t="e">
        <v>#N/A</v>
      </c>
      <c r="K1535" s="411" t="e">
        <v>#N/A</v>
      </c>
      <c r="L1535" s="526" t="e">
        <v>#N/A</v>
      </c>
    </row>
    <row r="1536" spans="1:12" ht="15" x14ac:dyDescent="0.25">
      <c r="A1536">
        <v>410307</v>
      </c>
      <c r="B1536" t="e">
        <f t="shared" si="62"/>
        <v>#N/A</v>
      </c>
      <c r="C1536" s="198" t="e">
        <f t="shared" si="63"/>
        <v>#N/A</v>
      </c>
      <c r="D1536" s="526" t="e">
        <v>#N/A</v>
      </c>
      <c r="E1536" s="526" t="e">
        <v>#N/A</v>
      </c>
      <c r="F1536" s="526" t="e">
        <v>#N/A</v>
      </c>
      <c r="G1536" s="526" t="e">
        <v>#N/A</v>
      </c>
      <c r="H1536" s="412" t="e">
        <v>#N/A</v>
      </c>
      <c r="I1536" s="411" t="e">
        <v>#N/A</v>
      </c>
      <c r="J1536" s="411" t="e">
        <v>#N/A</v>
      </c>
      <c r="K1536" s="411" t="e">
        <v>#N/A</v>
      </c>
      <c r="L1536" s="526" t="e">
        <v>#N/A</v>
      </c>
    </row>
    <row r="1537" spans="1:12" ht="15" x14ac:dyDescent="0.25">
      <c r="A1537">
        <v>222811</v>
      </c>
      <c r="B1537" t="e">
        <f t="shared" si="62"/>
        <v>#N/A</v>
      </c>
      <c r="C1537" s="198" t="e">
        <f t="shared" si="63"/>
        <v>#N/A</v>
      </c>
      <c r="D1537" s="526" t="e">
        <v>#N/A</v>
      </c>
      <c r="E1537" s="526" t="e">
        <v>#N/A</v>
      </c>
      <c r="F1537" s="526" t="e">
        <v>#N/A</v>
      </c>
      <c r="G1537" s="526" t="e">
        <v>#N/A</v>
      </c>
      <c r="H1537" s="412" t="e">
        <v>#N/A</v>
      </c>
      <c r="I1537" s="411" t="e">
        <v>#N/A</v>
      </c>
      <c r="J1537" s="411" t="e">
        <v>#N/A</v>
      </c>
      <c r="K1537" s="411" t="e">
        <v>#N/A</v>
      </c>
      <c r="L1537" s="526" t="e">
        <v>#N/A</v>
      </c>
    </row>
    <row r="1538" spans="1:12" ht="15" x14ac:dyDescent="0.25">
      <c r="A1538">
        <v>222922</v>
      </c>
      <c r="B1538" t="str">
        <f t="shared" si="62"/>
        <v>SEVROLL ZR-18 Unicomfort sada pre rozbalovacie dvere</v>
      </c>
      <c r="C1538" s="198">
        <f t="shared" si="63"/>
        <v>30.199829999999999</v>
      </c>
      <c r="D1538" s="526" t="s">
        <v>3061</v>
      </c>
      <c r="E1538" s="526" t="s">
        <v>1886</v>
      </c>
      <c r="F1538" s="526" t="s">
        <v>2199</v>
      </c>
      <c r="G1538" s="526" t="s">
        <v>2431</v>
      </c>
      <c r="H1538" s="412">
        <v>835.91819999999996</v>
      </c>
      <c r="I1538" s="411">
        <v>30.199829999999999</v>
      </c>
      <c r="J1538" s="411">
        <v>106.2534</v>
      </c>
      <c r="K1538" s="411">
        <v>11496.30084</v>
      </c>
      <c r="L1538" s="526" t="s">
        <v>554</v>
      </c>
    </row>
    <row r="1539" spans="1:12" ht="15" x14ac:dyDescent="0.25">
      <c r="A1539">
        <v>224390</v>
      </c>
      <c r="B1539" t="e">
        <f t="shared" ref="B1539:B1566" si="64">IF($A$2=1,D1539,IF($A$2=2,F1539,IF($A$2=3,G1539,IF($A$2=4,E1539,"zadat jazyk"))))</f>
        <v>#N/A</v>
      </c>
      <c r="C1539" s="198" t="e">
        <f t="shared" ref="C1539:C1566" si="65">IF($A$2=1,H1539,IF($A$2=2,I1539,IF($A$2=3,J1539,IF($A$2=4,K1539,"zadat jazyk"))))</f>
        <v>#N/A</v>
      </c>
      <c r="D1539" s="526" t="e">
        <v>#N/A</v>
      </c>
      <c r="E1539" s="526" t="e">
        <v>#N/A</v>
      </c>
      <c r="F1539" s="526" t="e">
        <v>#N/A</v>
      </c>
      <c r="G1539" s="526" t="e">
        <v>#N/A</v>
      </c>
      <c r="H1539" s="412" t="e">
        <v>#N/A</v>
      </c>
      <c r="I1539" s="411" t="e">
        <v>#N/A</v>
      </c>
      <c r="J1539" s="411" t="e">
        <v>#N/A</v>
      </c>
      <c r="K1539" s="411" t="e">
        <v>#N/A</v>
      </c>
      <c r="L1539" s="526" t="e">
        <v>#N/A</v>
      </c>
    </row>
    <row r="1540" spans="1:12" ht="15" x14ac:dyDescent="0.25">
      <c r="A1540">
        <v>224524</v>
      </c>
      <c r="B1540" t="e">
        <f t="shared" si="64"/>
        <v>#N/A</v>
      </c>
      <c r="C1540" s="198" t="e">
        <f t="shared" si="65"/>
        <v>#N/A</v>
      </c>
      <c r="D1540" s="526" t="e">
        <v>#N/A</v>
      </c>
      <c r="E1540" s="526" t="e">
        <v>#N/A</v>
      </c>
      <c r="F1540" s="526" t="e">
        <v>#N/A</v>
      </c>
      <c r="G1540" s="526" t="e">
        <v>#N/A</v>
      </c>
      <c r="H1540" s="412" t="e">
        <v>#N/A</v>
      </c>
      <c r="I1540" s="411" t="e">
        <v>#N/A</v>
      </c>
      <c r="J1540" s="411" t="e">
        <v>#N/A</v>
      </c>
      <c r="K1540" s="411" t="e">
        <v>#N/A</v>
      </c>
      <c r="L1540" s="526" t="e">
        <v>#N/A</v>
      </c>
    </row>
    <row r="1541" spans="1:12" ht="15" x14ac:dyDescent="0.25">
      <c r="A1541">
        <v>225130</v>
      </c>
      <c r="B1541" t="e">
        <f t="shared" si="64"/>
        <v>#N/A</v>
      </c>
      <c r="C1541" s="198" t="e">
        <f t="shared" si="65"/>
        <v>#N/A</v>
      </c>
      <c r="D1541" s="526" t="e">
        <v>#N/A</v>
      </c>
      <c r="E1541" s="526" t="e">
        <v>#N/A</v>
      </c>
      <c r="F1541" s="526" t="e">
        <v>#N/A</v>
      </c>
      <c r="G1541" s="526" t="e">
        <v>#N/A</v>
      </c>
      <c r="H1541" s="412" t="e">
        <v>#N/A</v>
      </c>
      <c r="I1541" s="411" t="e">
        <v>#N/A</v>
      </c>
      <c r="J1541" s="411" t="e">
        <v>#N/A</v>
      </c>
      <c r="K1541" s="411" t="e">
        <v>#N/A</v>
      </c>
      <c r="L1541" s="526" t="e">
        <v>#N/A</v>
      </c>
    </row>
    <row r="1542" spans="1:12" ht="15" x14ac:dyDescent="0.25">
      <c r="A1542">
        <v>225131</v>
      </c>
      <c r="B1542" t="e">
        <f t="shared" si="64"/>
        <v>#N/A</v>
      </c>
      <c r="C1542" s="198" t="e">
        <f t="shared" si="65"/>
        <v>#N/A</v>
      </c>
      <c r="D1542" s="526" t="e">
        <v>#N/A</v>
      </c>
      <c r="E1542" s="526" t="e">
        <v>#N/A</v>
      </c>
      <c r="F1542" s="526" t="e">
        <v>#N/A</v>
      </c>
      <c r="G1542" s="526" t="e">
        <v>#N/A</v>
      </c>
      <c r="H1542" s="412" t="e">
        <v>#N/A</v>
      </c>
      <c r="I1542" s="411" t="e">
        <v>#N/A</v>
      </c>
      <c r="J1542" s="411" t="e">
        <v>#N/A</v>
      </c>
      <c r="K1542" s="411" t="e">
        <v>#N/A</v>
      </c>
      <c r="L1542" s="526" t="e">
        <v>#N/A</v>
      </c>
    </row>
    <row r="1543" spans="1:12" ht="15" x14ac:dyDescent="0.25">
      <c r="A1543">
        <v>225132</v>
      </c>
      <c r="B1543" t="e">
        <f t="shared" si="64"/>
        <v>#N/A</v>
      </c>
      <c r="C1543" s="198" t="e">
        <f t="shared" si="65"/>
        <v>#N/A</v>
      </c>
      <c r="D1543" s="526" t="e">
        <v>#N/A</v>
      </c>
      <c r="E1543" s="526" t="e">
        <v>#N/A</v>
      </c>
      <c r="F1543" s="526" t="e">
        <v>#N/A</v>
      </c>
      <c r="G1543" s="526" t="e">
        <v>#N/A</v>
      </c>
      <c r="H1543" s="412" t="e">
        <v>#N/A</v>
      </c>
      <c r="I1543" s="411" t="e">
        <v>#N/A</v>
      </c>
      <c r="J1543" s="411" t="e">
        <v>#N/A</v>
      </c>
      <c r="K1543" s="411" t="e">
        <v>#N/A</v>
      </c>
      <c r="L1543" s="526" t="e">
        <v>#N/A</v>
      </c>
    </row>
    <row r="1544" spans="1:12" ht="15" x14ac:dyDescent="0.25">
      <c r="A1544">
        <v>284545</v>
      </c>
      <c r="B1544" t="e">
        <f t="shared" si="64"/>
        <v>#N/A</v>
      </c>
      <c r="C1544" s="198" t="e">
        <f t="shared" si="65"/>
        <v>#N/A</v>
      </c>
      <c r="D1544" s="526" t="e">
        <v>#N/A</v>
      </c>
      <c r="E1544" s="526" t="e">
        <v>#N/A</v>
      </c>
      <c r="F1544" s="526" t="e">
        <v>#N/A</v>
      </c>
      <c r="G1544" s="526" t="e">
        <v>#N/A</v>
      </c>
      <c r="H1544" s="412" t="e">
        <v>#N/A</v>
      </c>
      <c r="I1544" s="411" t="e">
        <v>#N/A</v>
      </c>
      <c r="J1544" s="411" t="e">
        <v>#N/A</v>
      </c>
      <c r="K1544" s="411" t="e">
        <v>#N/A</v>
      </c>
      <c r="L1544" s="526" t="e">
        <v>#N/A</v>
      </c>
    </row>
    <row r="1545" spans="1:12" ht="15" x14ac:dyDescent="0.25">
      <c r="A1545">
        <v>284546</v>
      </c>
      <c r="B1545" t="e">
        <f t="shared" si="64"/>
        <v>#N/A</v>
      </c>
      <c r="C1545" s="198" t="e">
        <f t="shared" si="65"/>
        <v>#N/A</v>
      </c>
      <c r="D1545" s="526" t="e">
        <v>#N/A</v>
      </c>
      <c r="E1545" s="526" t="e">
        <v>#N/A</v>
      </c>
      <c r="F1545" s="526" t="e">
        <v>#N/A</v>
      </c>
      <c r="G1545" s="526" t="e">
        <v>#N/A</v>
      </c>
      <c r="H1545" s="412" t="e">
        <v>#N/A</v>
      </c>
      <c r="I1545" s="411" t="e">
        <v>#N/A</v>
      </c>
      <c r="J1545" s="411" t="e">
        <v>#N/A</v>
      </c>
      <c r="K1545" s="411" t="e">
        <v>#N/A</v>
      </c>
      <c r="L1545" s="526" t="e">
        <v>#N/A</v>
      </c>
    </row>
    <row r="1546" spans="1:12" ht="15" x14ac:dyDescent="0.25">
      <c r="A1546">
        <v>284547</v>
      </c>
      <c r="B1546" t="e">
        <f t="shared" si="64"/>
        <v>#N/A</v>
      </c>
      <c r="C1546" s="198" t="e">
        <f t="shared" si="65"/>
        <v>#N/A</v>
      </c>
      <c r="D1546" s="526" t="e">
        <v>#N/A</v>
      </c>
      <c r="E1546" s="526" t="e">
        <v>#N/A</v>
      </c>
      <c r="F1546" s="526" t="e">
        <v>#N/A</v>
      </c>
      <c r="G1546" s="526" t="e">
        <v>#N/A</v>
      </c>
      <c r="H1546" s="412" t="e">
        <v>#N/A</v>
      </c>
      <c r="I1546" s="411" t="e">
        <v>#N/A</v>
      </c>
      <c r="J1546" s="411" t="e">
        <v>#N/A</v>
      </c>
      <c r="K1546" s="411" t="e">
        <v>#N/A</v>
      </c>
      <c r="L1546" s="526" t="e">
        <v>#N/A</v>
      </c>
    </row>
    <row r="1547" spans="1:12" ht="15" x14ac:dyDescent="0.25">
      <c r="A1547">
        <v>284549</v>
      </c>
      <c r="B1547" t="e">
        <f t="shared" si="64"/>
        <v>#N/A</v>
      </c>
      <c r="C1547" s="198" t="e">
        <f t="shared" si="65"/>
        <v>#N/A</v>
      </c>
      <c r="D1547" s="526" t="e">
        <v>#N/A</v>
      </c>
      <c r="E1547" s="526" t="e">
        <v>#N/A</v>
      </c>
      <c r="F1547" s="526" t="e">
        <v>#N/A</v>
      </c>
      <c r="G1547" s="526" t="e">
        <v>#N/A</v>
      </c>
      <c r="H1547" s="412" t="e">
        <v>#N/A</v>
      </c>
      <c r="I1547" s="411" t="e">
        <v>#N/A</v>
      </c>
      <c r="J1547" s="411" t="e">
        <v>#N/A</v>
      </c>
      <c r="K1547" s="411" t="e">
        <v>#N/A</v>
      </c>
      <c r="L1547" s="526" t="e">
        <v>#N/A</v>
      </c>
    </row>
    <row r="1548" spans="1:12" ht="15" x14ac:dyDescent="0.25">
      <c r="A1548">
        <v>284550</v>
      </c>
      <c r="B1548" t="e">
        <f t="shared" si="64"/>
        <v>#N/A</v>
      </c>
      <c r="C1548" s="198" t="e">
        <f t="shared" si="65"/>
        <v>#N/A</v>
      </c>
      <c r="D1548" s="526" t="e">
        <v>#N/A</v>
      </c>
      <c r="E1548" s="526" t="e">
        <v>#N/A</v>
      </c>
      <c r="F1548" s="526" t="e">
        <v>#N/A</v>
      </c>
      <c r="G1548" s="526" t="e">
        <v>#N/A</v>
      </c>
      <c r="H1548" s="412" t="e">
        <v>#N/A</v>
      </c>
      <c r="I1548" s="411" t="e">
        <v>#N/A</v>
      </c>
      <c r="J1548" s="411" t="e">
        <v>#N/A</v>
      </c>
      <c r="K1548" s="411" t="e">
        <v>#N/A</v>
      </c>
      <c r="L1548" s="526" t="e">
        <v>#N/A</v>
      </c>
    </row>
    <row r="1549" spans="1:12" ht="15" x14ac:dyDescent="0.25">
      <c r="A1549">
        <v>284551</v>
      </c>
      <c r="B1549" t="e">
        <f t="shared" si="64"/>
        <v>#N/A</v>
      </c>
      <c r="C1549" s="198" t="e">
        <f t="shared" si="65"/>
        <v>#N/A</v>
      </c>
      <c r="D1549" s="526" t="e">
        <v>#N/A</v>
      </c>
      <c r="E1549" s="526" t="e">
        <v>#N/A</v>
      </c>
      <c r="F1549" s="526" t="e">
        <v>#N/A</v>
      </c>
      <c r="G1549" s="526" t="e">
        <v>#N/A</v>
      </c>
      <c r="H1549" s="412" t="e">
        <v>#N/A</v>
      </c>
      <c r="I1549" s="411" t="e">
        <v>#N/A</v>
      </c>
      <c r="J1549" s="411" t="e">
        <v>#N/A</v>
      </c>
      <c r="K1549" s="411" t="e">
        <v>#N/A</v>
      </c>
      <c r="L1549" s="526" t="e">
        <v>#N/A</v>
      </c>
    </row>
    <row r="1550" spans="1:12" ht="15" x14ac:dyDescent="0.25">
      <c r="A1550">
        <v>284637</v>
      </c>
      <c r="B1550" t="e">
        <f t="shared" si="64"/>
        <v>#N/A</v>
      </c>
      <c r="C1550" s="198" t="e">
        <f t="shared" si="65"/>
        <v>#N/A</v>
      </c>
      <c r="D1550" s="526" t="e">
        <v>#N/A</v>
      </c>
      <c r="E1550" s="526" t="e">
        <v>#N/A</v>
      </c>
      <c r="F1550" s="526" t="e">
        <v>#N/A</v>
      </c>
      <c r="G1550" s="526" t="e">
        <v>#N/A</v>
      </c>
      <c r="H1550" s="412" t="e">
        <v>#N/A</v>
      </c>
      <c r="I1550" s="411" t="e">
        <v>#N/A</v>
      </c>
      <c r="J1550" s="411" t="e">
        <v>#N/A</v>
      </c>
      <c r="K1550" s="411" t="e">
        <v>#N/A</v>
      </c>
      <c r="L1550" s="526" t="e">
        <v>#N/A</v>
      </c>
    </row>
    <row r="1551" spans="1:12" ht="15" x14ac:dyDescent="0.25">
      <c r="A1551">
        <v>284638</v>
      </c>
      <c r="B1551" t="e">
        <f t="shared" si="64"/>
        <v>#N/A</v>
      </c>
      <c r="C1551" s="198" t="e">
        <f t="shared" si="65"/>
        <v>#N/A</v>
      </c>
      <c r="D1551" s="526" t="e">
        <v>#N/A</v>
      </c>
      <c r="E1551" s="526" t="e">
        <v>#N/A</v>
      </c>
      <c r="F1551" s="526" t="e">
        <v>#N/A</v>
      </c>
      <c r="G1551" s="526" t="e">
        <v>#N/A</v>
      </c>
      <c r="H1551" s="412" t="e">
        <v>#N/A</v>
      </c>
      <c r="I1551" s="411" t="e">
        <v>#N/A</v>
      </c>
      <c r="J1551" s="411" t="e">
        <v>#N/A</v>
      </c>
      <c r="K1551" s="411" t="e">
        <v>#N/A</v>
      </c>
      <c r="L1551" s="526" t="e">
        <v>#N/A</v>
      </c>
    </row>
    <row r="1552" spans="1:12" ht="15" x14ac:dyDescent="0.25">
      <c r="A1552">
        <v>284639</v>
      </c>
      <c r="B1552" t="e">
        <f t="shared" si="64"/>
        <v>#N/A</v>
      </c>
      <c r="C1552" s="198" t="e">
        <f t="shared" si="65"/>
        <v>#N/A</v>
      </c>
      <c r="D1552" s="526" t="e">
        <v>#N/A</v>
      </c>
      <c r="E1552" s="526" t="e">
        <v>#N/A</v>
      </c>
      <c r="F1552" s="526" t="e">
        <v>#N/A</v>
      </c>
      <c r="G1552" s="526" t="e">
        <v>#N/A</v>
      </c>
      <c r="H1552" s="412" t="e">
        <v>#N/A</v>
      </c>
      <c r="I1552" s="411" t="e">
        <v>#N/A</v>
      </c>
      <c r="J1552" s="411" t="e">
        <v>#N/A</v>
      </c>
      <c r="K1552" s="411" t="e">
        <v>#N/A</v>
      </c>
      <c r="L1552" s="526" t="e">
        <v>#N/A</v>
      </c>
    </row>
    <row r="1553" spans="1:12" ht="15" x14ac:dyDescent="0.25">
      <c r="A1553">
        <v>284640</v>
      </c>
      <c r="B1553" t="e">
        <f t="shared" si="64"/>
        <v>#N/A</v>
      </c>
      <c r="C1553" s="198" t="e">
        <f t="shared" si="65"/>
        <v>#N/A</v>
      </c>
      <c r="D1553" s="526" t="e">
        <v>#N/A</v>
      </c>
      <c r="E1553" s="526" t="e">
        <v>#N/A</v>
      </c>
      <c r="F1553" s="526" t="e">
        <v>#N/A</v>
      </c>
      <c r="G1553" s="526" t="e">
        <v>#N/A</v>
      </c>
      <c r="H1553" s="412" t="e">
        <v>#N/A</v>
      </c>
      <c r="I1553" s="411" t="e">
        <v>#N/A</v>
      </c>
      <c r="J1553" s="411" t="e">
        <v>#N/A</v>
      </c>
      <c r="K1553" s="411" t="e">
        <v>#N/A</v>
      </c>
      <c r="L1553" s="526" t="e">
        <v>#N/A</v>
      </c>
    </row>
    <row r="1554" spans="1:12" ht="15" x14ac:dyDescent="0.25">
      <c r="A1554">
        <v>284641</v>
      </c>
      <c r="B1554" t="e">
        <f t="shared" si="64"/>
        <v>#N/A</v>
      </c>
      <c r="C1554" s="198" t="e">
        <f t="shared" si="65"/>
        <v>#N/A</v>
      </c>
      <c r="D1554" s="526" t="e">
        <v>#N/A</v>
      </c>
      <c r="E1554" s="526" t="e">
        <v>#N/A</v>
      </c>
      <c r="F1554" s="526" t="e">
        <v>#N/A</v>
      </c>
      <c r="G1554" s="526" t="e">
        <v>#N/A</v>
      </c>
      <c r="H1554" s="412" t="e">
        <v>#N/A</v>
      </c>
      <c r="I1554" s="411" t="e">
        <v>#N/A</v>
      </c>
      <c r="J1554" s="411" t="e">
        <v>#N/A</v>
      </c>
      <c r="K1554" s="411" t="e">
        <v>#N/A</v>
      </c>
      <c r="L1554" s="526" t="e">
        <v>#N/A</v>
      </c>
    </row>
    <row r="1555" spans="1:12" ht="15" x14ac:dyDescent="0.25">
      <c r="A1555">
        <v>284642</v>
      </c>
      <c r="B1555" t="e">
        <f t="shared" si="64"/>
        <v>#N/A</v>
      </c>
      <c r="C1555" s="198" t="e">
        <f t="shared" si="65"/>
        <v>#N/A</v>
      </c>
      <c r="D1555" s="526" t="e">
        <v>#N/A</v>
      </c>
      <c r="E1555" s="526" t="e">
        <v>#N/A</v>
      </c>
      <c r="F1555" s="526" t="e">
        <v>#N/A</v>
      </c>
      <c r="G1555" s="526" t="e">
        <v>#N/A</v>
      </c>
      <c r="H1555" s="412" t="e">
        <v>#N/A</v>
      </c>
      <c r="I1555" s="411" t="e">
        <v>#N/A</v>
      </c>
      <c r="J1555" s="411" t="e">
        <v>#N/A</v>
      </c>
      <c r="K1555" s="411" t="e">
        <v>#N/A</v>
      </c>
      <c r="L1555" s="526" t="e">
        <v>#N/A</v>
      </c>
    </row>
    <row r="1556" spans="1:12" ht="15" x14ac:dyDescent="0.25">
      <c r="A1556">
        <v>284643</v>
      </c>
      <c r="B1556" t="e">
        <f t="shared" si="64"/>
        <v>#N/A</v>
      </c>
      <c r="C1556" s="198" t="e">
        <f t="shared" si="65"/>
        <v>#N/A</v>
      </c>
      <c r="D1556" s="526" t="e">
        <v>#N/A</v>
      </c>
      <c r="E1556" s="526" t="e">
        <v>#N/A</v>
      </c>
      <c r="F1556" s="526" t="e">
        <v>#N/A</v>
      </c>
      <c r="G1556" s="526" t="e">
        <v>#N/A</v>
      </c>
      <c r="H1556" s="412" t="e">
        <v>#N/A</v>
      </c>
      <c r="I1556" s="411" t="e">
        <v>#N/A</v>
      </c>
      <c r="J1556" s="411" t="e">
        <v>#N/A</v>
      </c>
      <c r="K1556" s="411" t="e">
        <v>#N/A</v>
      </c>
      <c r="L1556" s="526" t="e">
        <v>#N/A</v>
      </c>
    </row>
    <row r="1557" spans="1:12" ht="15" x14ac:dyDescent="0.25">
      <c r="A1557">
        <v>284644</v>
      </c>
      <c r="B1557" t="e">
        <f t="shared" si="64"/>
        <v>#N/A</v>
      </c>
      <c r="C1557" s="198" t="e">
        <f t="shared" si="65"/>
        <v>#N/A</v>
      </c>
      <c r="D1557" s="526" t="e">
        <v>#N/A</v>
      </c>
      <c r="E1557" s="526" t="e">
        <v>#N/A</v>
      </c>
      <c r="F1557" s="526" t="e">
        <v>#N/A</v>
      </c>
      <c r="G1557" s="526" t="e">
        <v>#N/A</v>
      </c>
      <c r="H1557" s="412" t="e">
        <v>#N/A</v>
      </c>
      <c r="I1557" s="411" t="e">
        <v>#N/A</v>
      </c>
      <c r="J1557" s="411" t="e">
        <v>#N/A</v>
      </c>
      <c r="K1557" s="411" t="e">
        <v>#N/A</v>
      </c>
      <c r="L1557" s="526" t="e">
        <v>#N/A</v>
      </c>
    </row>
    <row r="1558" spans="1:12" ht="15" x14ac:dyDescent="0.25">
      <c r="A1558">
        <v>284930</v>
      </c>
      <c r="B1558" t="e">
        <f t="shared" si="64"/>
        <v>#N/A</v>
      </c>
      <c r="C1558" s="198" t="e">
        <f t="shared" si="65"/>
        <v>#N/A</v>
      </c>
      <c r="D1558" s="526" t="e">
        <v>#N/A</v>
      </c>
      <c r="E1558" s="526" t="e">
        <v>#N/A</v>
      </c>
      <c r="F1558" s="526" t="e">
        <v>#N/A</v>
      </c>
      <c r="G1558" s="526" t="e">
        <v>#N/A</v>
      </c>
      <c r="H1558" s="412" t="e">
        <v>#N/A</v>
      </c>
      <c r="I1558" s="411" t="e">
        <v>#N/A</v>
      </c>
      <c r="J1558" s="411" t="e">
        <v>#N/A</v>
      </c>
      <c r="K1558" s="411" t="e">
        <v>#N/A</v>
      </c>
      <c r="L1558" s="526" t="e">
        <v>#N/A</v>
      </c>
    </row>
    <row r="1559" spans="1:12" ht="15" x14ac:dyDescent="0.25">
      <c r="A1559">
        <v>284935</v>
      </c>
      <c r="B1559" t="e">
        <f t="shared" si="64"/>
        <v>#N/A</v>
      </c>
      <c r="C1559" s="198" t="e">
        <f t="shared" si="65"/>
        <v>#N/A</v>
      </c>
      <c r="D1559" s="526" t="e">
        <v>#N/A</v>
      </c>
      <c r="E1559" s="526" t="e">
        <v>#N/A</v>
      </c>
      <c r="F1559" s="526" t="e">
        <v>#N/A</v>
      </c>
      <c r="G1559" s="526" t="e">
        <v>#N/A</v>
      </c>
      <c r="H1559" s="412" t="e">
        <v>#N/A</v>
      </c>
      <c r="I1559" s="411" t="e">
        <v>#N/A</v>
      </c>
      <c r="J1559" s="411" t="e">
        <v>#N/A</v>
      </c>
      <c r="K1559" s="411" t="e">
        <v>#N/A</v>
      </c>
      <c r="L1559" s="526" t="e">
        <v>#N/A</v>
      </c>
    </row>
    <row r="1560" spans="1:12" ht="15" x14ac:dyDescent="0.25">
      <c r="A1560">
        <v>284939</v>
      </c>
      <c r="B1560" t="e">
        <f t="shared" si="64"/>
        <v>#N/A</v>
      </c>
      <c r="C1560" s="198" t="e">
        <f t="shared" si="65"/>
        <v>#N/A</v>
      </c>
      <c r="D1560" s="526" t="e">
        <v>#N/A</v>
      </c>
      <c r="E1560" s="526" t="e">
        <v>#N/A</v>
      </c>
      <c r="F1560" s="526" t="e">
        <v>#N/A</v>
      </c>
      <c r="G1560" s="526" t="e">
        <v>#N/A</v>
      </c>
      <c r="H1560" s="412" t="e">
        <v>#N/A</v>
      </c>
      <c r="I1560" s="411" t="e">
        <v>#N/A</v>
      </c>
      <c r="J1560" s="411" t="e">
        <v>#N/A</v>
      </c>
      <c r="K1560" s="411" t="e">
        <v>#N/A</v>
      </c>
      <c r="L1560" s="526" t="e">
        <v>#N/A</v>
      </c>
    </row>
    <row r="1561" spans="1:12" ht="15" x14ac:dyDescent="0.25">
      <c r="A1561">
        <v>284941</v>
      </c>
      <c r="B1561" t="e">
        <f t="shared" si="64"/>
        <v>#N/A</v>
      </c>
      <c r="C1561" s="198" t="e">
        <f t="shared" si="65"/>
        <v>#N/A</v>
      </c>
      <c r="D1561" s="526" t="e">
        <v>#N/A</v>
      </c>
      <c r="E1561" s="526" t="e">
        <v>#N/A</v>
      </c>
      <c r="F1561" s="526" t="e">
        <v>#N/A</v>
      </c>
      <c r="G1561" s="526" t="e">
        <v>#N/A</v>
      </c>
      <c r="H1561" s="412" t="e">
        <v>#N/A</v>
      </c>
      <c r="I1561" s="411" t="e">
        <v>#N/A</v>
      </c>
      <c r="J1561" s="411" t="e">
        <v>#N/A</v>
      </c>
      <c r="K1561" s="411" t="e">
        <v>#N/A</v>
      </c>
      <c r="L1561" s="526" t="e">
        <v>#N/A</v>
      </c>
    </row>
    <row r="1562" spans="1:12" ht="15" x14ac:dyDescent="0.25">
      <c r="A1562">
        <v>284942</v>
      </c>
      <c r="B1562" t="e">
        <f t="shared" si="64"/>
        <v>#N/A</v>
      </c>
      <c r="C1562" s="198" t="e">
        <f t="shared" si="65"/>
        <v>#N/A</v>
      </c>
      <c r="D1562" s="526" t="e">
        <v>#N/A</v>
      </c>
      <c r="E1562" s="526" t="e">
        <v>#N/A</v>
      </c>
      <c r="F1562" s="526" t="e">
        <v>#N/A</v>
      </c>
      <c r="G1562" s="526" t="e">
        <v>#N/A</v>
      </c>
      <c r="H1562" s="412" t="e">
        <v>#N/A</v>
      </c>
      <c r="I1562" s="411" t="e">
        <v>#N/A</v>
      </c>
      <c r="J1562" s="411" t="e">
        <v>#N/A</v>
      </c>
      <c r="K1562" s="411" t="e">
        <v>#N/A</v>
      </c>
      <c r="L1562" s="526" t="e">
        <v>#N/A</v>
      </c>
    </row>
    <row r="1563" spans="1:12" ht="15" x14ac:dyDescent="0.25">
      <c r="A1563">
        <v>284944</v>
      </c>
      <c r="B1563" t="e">
        <f t="shared" si="64"/>
        <v>#N/A</v>
      </c>
      <c r="C1563" s="198" t="e">
        <f t="shared" si="65"/>
        <v>#N/A</v>
      </c>
      <c r="D1563" s="526" t="e">
        <v>#N/A</v>
      </c>
      <c r="E1563" s="526" t="e">
        <v>#N/A</v>
      </c>
      <c r="F1563" s="526" t="e">
        <v>#N/A</v>
      </c>
      <c r="G1563" s="526" t="e">
        <v>#N/A</v>
      </c>
      <c r="H1563" s="412" t="e">
        <v>#N/A</v>
      </c>
      <c r="I1563" s="411" t="e">
        <v>#N/A</v>
      </c>
      <c r="J1563" s="411" t="e">
        <v>#N/A</v>
      </c>
      <c r="K1563" s="411" t="e">
        <v>#N/A</v>
      </c>
      <c r="L1563" s="526" t="e">
        <v>#N/A</v>
      </c>
    </row>
    <row r="1564" spans="1:12" ht="15" x14ac:dyDescent="0.25">
      <c r="A1564">
        <v>284945</v>
      </c>
      <c r="B1564" t="e">
        <f t="shared" si="64"/>
        <v>#N/A</v>
      </c>
      <c r="C1564" s="198" t="e">
        <f t="shared" si="65"/>
        <v>#N/A</v>
      </c>
      <c r="D1564" s="526" t="e">
        <v>#N/A</v>
      </c>
      <c r="E1564" s="526" t="e">
        <v>#N/A</v>
      </c>
      <c r="F1564" s="526" t="e">
        <v>#N/A</v>
      </c>
      <c r="G1564" s="526" t="e">
        <v>#N/A</v>
      </c>
      <c r="H1564" s="412" t="e">
        <v>#N/A</v>
      </c>
      <c r="I1564" s="411" t="e">
        <v>#N/A</v>
      </c>
      <c r="J1564" s="411" t="e">
        <v>#N/A</v>
      </c>
      <c r="K1564" s="411" t="e">
        <v>#N/A</v>
      </c>
      <c r="L1564" s="526" t="e">
        <v>#N/A</v>
      </c>
    </row>
    <row r="1565" spans="1:12" ht="15" x14ac:dyDescent="0.25">
      <c r="A1565">
        <v>409431</v>
      </c>
      <c r="B1565" t="e">
        <f t="shared" si="64"/>
        <v>#N/A</v>
      </c>
      <c r="C1565" s="198" t="e">
        <f t="shared" si="65"/>
        <v>#N/A</v>
      </c>
      <c r="D1565" s="526" t="e">
        <v>#N/A</v>
      </c>
      <c r="E1565" s="526" t="e">
        <v>#N/A</v>
      </c>
      <c r="F1565" s="526" t="e">
        <v>#N/A</v>
      </c>
      <c r="G1565" s="526" t="e">
        <v>#N/A</v>
      </c>
      <c r="H1565" s="412" t="e">
        <v>#N/A</v>
      </c>
      <c r="I1565" s="411" t="e">
        <v>#N/A</v>
      </c>
      <c r="J1565" s="411" t="e">
        <v>#N/A</v>
      </c>
      <c r="K1565" s="411" t="e">
        <v>#N/A</v>
      </c>
      <c r="L1565" s="526" t="e">
        <v>#N/A</v>
      </c>
    </row>
    <row r="1566" spans="1:12" ht="15" x14ac:dyDescent="0.25">
      <c r="A1566">
        <v>409464</v>
      </c>
      <c r="B1566" t="e">
        <f t="shared" si="64"/>
        <v>#N/A</v>
      </c>
      <c r="C1566" s="198" t="e">
        <f t="shared" si="65"/>
        <v>#N/A</v>
      </c>
      <c r="D1566" s="526" t="e">
        <v>#N/A</v>
      </c>
      <c r="E1566" s="526" t="e">
        <v>#N/A</v>
      </c>
      <c r="F1566" s="526" t="e">
        <v>#N/A</v>
      </c>
      <c r="G1566" s="526" t="e">
        <v>#N/A</v>
      </c>
      <c r="H1566" s="412" t="e">
        <v>#N/A</v>
      </c>
      <c r="I1566" s="411" t="e">
        <v>#N/A</v>
      </c>
      <c r="J1566" s="411" t="e">
        <v>#N/A</v>
      </c>
      <c r="K1566" s="411" t="e">
        <v>#N/A</v>
      </c>
      <c r="L1566" s="526" t="e">
        <v>#N/A</v>
      </c>
    </row>
    <row r="1567" spans="1:12" ht="15" x14ac:dyDescent="0.25">
      <c r="A1567">
        <v>409469</v>
      </c>
      <c r="B1567" t="e">
        <f t="shared" ref="B1567:B1598" si="66">IF($A$2=1,D1567,IF($A$2=2,F1567,IF($A$2=3,G1567,IF($A$2=4,E1567,"zadat jazyk"))))</f>
        <v>#N/A</v>
      </c>
      <c r="C1567" s="198" t="e">
        <f t="shared" ref="C1567:C1598" si="67">IF($A$2=1,H1567,IF($A$2=2,I1567,IF($A$2=3,J1567,IF($A$2=4,K1567,"zadat jazyk"))))</f>
        <v>#N/A</v>
      </c>
      <c r="D1567" s="526" t="e">
        <v>#N/A</v>
      </c>
      <c r="E1567" s="526" t="e">
        <v>#N/A</v>
      </c>
      <c r="F1567" s="526" t="e">
        <v>#N/A</v>
      </c>
      <c r="G1567" s="526" t="e">
        <v>#N/A</v>
      </c>
      <c r="H1567" s="412" t="e">
        <v>#N/A</v>
      </c>
      <c r="I1567" s="411" t="e">
        <v>#N/A</v>
      </c>
      <c r="J1567" s="411" t="e">
        <v>#N/A</v>
      </c>
      <c r="K1567" s="411" t="e">
        <v>#N/A</v>
      </c>
      <c r="L1567" s="526" t="e">
        <v>#N/A</v>
      </c>
    </row>
    <row r="1568" spans="1:12" ht="15" x14ac:dyDescent="0.25">
      <c r="A1568">
        <v>315863</v>
      </c>
      <c r="B1568" t="str">
        <f t="shared" si="66"/>
        <v>SEVROLL 221-300 sada Herkules plus 25kg HP2/25 1,2m</v>
      </c>
      <c r="C1568" s="198" t="e">
        <f t="shared" si="67"/>
        <v>#N/A</v>
      </c>
      <c r="D1568" s="526" t="s">
        <v>1442</v>
      </c>
      <c r="E1568" s="526" t="s">
        <v>1887</v>
      </c>
      <c r="F1568" s="526" t="s">
        <v>1442</v>
      </c>
      <c r="G1568" s="526" t="s">
        <v>2434</v>
      </c>
      <c r="H1568" s="412" t="e">
        <v>#N/A</v>
      </c>
      <c r="I1568" s="411" t="e">
        <v>#N/A</v>
      </c>
      <c r="J1568" s="411" t="e">
        <v>#N/A</v>
      </c>
      <c r="K1568" s="411" t="e">
        <v>#N/A</v>
      </c>
      <c r="L1568" s="526" t="e">
        <v>#N/A</v>
      </c>
    </row>
    <row r="1569" spans="1:12" ht="15" x14ac:dyDescent="0.25">
      <c r="A1569">
        <v>387402</v>
      </c>
      <c r="B1569" t="str">
        <f t="shared" si="66"/>
        <v/>
      </c>
      <c r="C1569" s="198">
        <f t="shared" si="67"/>
        <v>0</v>
      </c>
      <c r="D1569" s="526" t="s">
        <v>1443</v>
      </c>
      <c r="E1569" s="526" t="s">
        <v>1888</v>
      </c>
      <c r="F1569" s="526" t="s">
        <v>71</v>
      </c>
      <c r="G1569" s="526" t="s">
        <v>71</v>
      </c>
      <c r="H1569" s="412">
        <v>0</v>
      </c>
      <c r="I1569" s="411">
        <v>0</v>
      </c>
      <c r="J1569" s="411">
        <v>0</v>
      </c>
      <c r="K1569" s="411">
        <v>0</v>
      </c>
      <c r="L1569" s="526" t="s">
        <v>555</v>
      </c>
    </row>
    <row r="1570" spans="1:12" ht="15" x14ac:dyDescent="0.25">
      <c r="A1570">
        <v>387796</v>
      </c>
      <c r="B1570" t="e">
        <f t="shared" si="66"/>
        <v>#N/A</v>
      </c>
      <c r="C1570" s="198" t="e">
        <f t="shared" si="67"/>
        <v>#N/A</v>
      </c>
      <c r="D1570" s="526" t="e">
        <v>#N/A</v>
      </c>
      <c r="E1570" s="526" t="e">
        <v>#N/A</v>
      </c>
      <c r="F1570" s="526" t="e">
        <v>#N/A</v>
      </c>
      <c r="G1570" s="526" t="e">
        <v>#N/A</v>
      </c>
      <c r="H1570" s="412" t="e">
        <v>#N/A</v>
      </c>
      <c r="I1570" s="411" t="e">
        <v>#N/A</v>
      </c>
      <c r="J1570" s="411" t="e">
        <v>#N/A</v>
      </c>
      <c r="K1570" s="411" t="e">
        <v>#N/A</v>
      </c>
      <c r="L1570" s="526" t="e">
        <v>#N/A</v>
      </c>
    </row>
    <row r="1571" spans="1:12" ht="15" x14ac:dyDescent="0.25">
      <c r="A1571">
        <v>387801</v>
      </c>
      <c r="B1571" t="e">
        <f t="shared" si="66"/>
        <v>#N/A</v>
      </c>
      <c r="C1571" s="198" t="e">
        <f t="shared" si="67"/>
        <v>#N/A</v>
      </c>
      <c r="D1571" s="526" t="e">
        <v>#N/A</v>
      </c>
      <c r="E1571" s="526" t="e">
        <v>#N/A</v>
      </c>
      <c r="F1571" s="526" t="e">
        <v>#N/A</v>
      </c>
      <c r="G1571" s="526" t="e">
        <v>#N/A</v>
      </c>
      <c r="H1571" s="412" t="e">
        <v>#N/A</v>
      </c>
      <c r="I1571" s="411" t="e">
        <v>#N/A</v>
      </c>
      <c r="J1571" s="411" t="e">
        <v>#N/A</v>
      </c>
      <c r="K1571" s="411" t="e">
        <v>#N/A</v>
      </c>
      <c r="L1571" s="526" t="e">
        <v>#N/A</v>
      </c>
    </row>
    <row r="1572" spans="1:12" ht="15" x14ac:dyDescent="0.25">
      <c r="A1572">
        <v>387808</v>
      </c>
      <c r="B1572" t="e">
        <f t="shared" si="66"/>
        <v>#N/A</v>
      </c>
      <c r="C1572" s="198" t="e">
        <f t="shared" si="67"/>
        <v>#N/A</v>
      </c>
      <c r="D1572" s="526" t="e">
        <v>#N/A</v>
      </c>
      <c r="E1572" s="526" t="e">
        <v>#N/A</v>
      </c>
      <c r="F1572" s="526" t="e">
        <v>#N/A</v>
      </c>
      <c r="G1572" s="526" t="e">
        <v>#N/A</v>
      </c>
      <c r="H1572" s="412" t="e">
        <v>#N/A</v>
      </c>
      <c r="I1572" s="411" t="e">
        <v>#N/A</v>
      </c>
      <c r="J1572" s="411" t="e">
        <v>#N/A</v>
      </c>
      <c r="K1572" s="411" t="e">
        <v>#N/A</v>
      </c>
      <c r="L1572" s="526" t="e">
        <v>#N/A</v>
      </c>
    </row>
    <row r="1573" spans="1:12" ht="15" x14ac:dyDescent="0.25">
      <c r="A1573">
        <v>387810</v>
      </c>
      <c r="B1573" t="e">
        <f t="shared" si="66"/>
        <v>#N/A</v>
      </c>
      <c r="C1573" s="198" t="e">
        <f t="shared" si="67"/>
        <v>#N/A</v>
      </c>
      <c r="D1573" s="526" t="e">
        <v>#N/A</v>
      </c>
      <c r="E1573" s="526" t="e">
        <v>#N/A</v>
      </c>
      <c r="F1573" s="526" t="e">
        <v>#N/A</v>
      </c>
      <c r="G1573" s="526" t="e">
        <v>#N/A</v>
      </c>
      <c r="H1573" s="412" t="e">
        <v>#N/A</v>
      </c>
      <c r="I1573" s="411" t="e">
        <v>#N/A</v>
      </c>
      <c r="J1573" s="411" t="e">
        <v>#N/A</v>
      </c>
      <c r="K1573" s="411" t="e">
        <v>#N/A</v>
      </c>
      <c r="L1573" s="526" t="e">
        <v>#N/A</v>
      </c>
    </row>
    <row r="1574" spans="1:12" ht="15" x14ac:dyDescent="0.25">
      <c r="A1574">
        <v>388128</v>
      </c>
      <c r="B1574" t="str">
        <f t="shared" si="66"/>
        <v>SEVROLL 00884 Comfort spodné vedenie 2,35m strieborná</v>
      </c>
      <c r="C1574" s="198">
        <f t="shared" si="67"/>
        <v>20.90043</v>
      </c>
      <c r="D1574" s="526" t="s">
        <v>1444</v>
      </c>
      <c r="E1574" s="526" t="s">
        <v>1889</v>
      </c>
      <c r="F1574" s="526" t="s">
        <v>5914</v>
      </c>
      <c r="G1574" s="526" t="s">
        <v>5915</v>
      </c>
      <c r="H1574" s="412">
        <v>578.71259999999995</v>
      </c>
      <c r="I1574" s="411">
        <v>20.90043</v>
      </c>
      <c r="J1574" s="411">
        <v>79.029600000000002</v>
      </c>
      <c r="K1574" s="411">
        <v>7956.2574000000004</v>
      </c>
      <c r="L1574" s="526" t="s">
        <v>554</v>
      </c>
    </row>
    <row r="1575" spans="1:12" ht="15" x14ac:dyDescent="0.25">
      <c r="A1575">
        <v>388130</v>
      </c>
      <c r="B1575" t="str">
        <f t="shared" si="66"/>
        <v>SEVROLL 00885 Comfort spodné vedenie 3m strieborná</v>
      </c>
      <c r="C1575" s="198">
        <f t="shared" si="67"/>
        <v>26.706109999999999</v>
      </c>
      <c r="D1575" s="526" t="s">
        <v>1445</v>
      </c>
      <c r="E1575" s="526" t="s">
        <v>1890</v>
      </c>
      <c r="F1575" s="526" t="s">
        <v>5916</v>
      </c>
      <c r="G1575" s="526" t="s">
        <v>5917</v>
      </c>
      <c r="H1575" s="412">
        <v>739.46609999999998</v>
      </c>
      <c r="I1575" s="411">
        <v>26.706109999999999</v>
      </c>
      <c r="J1575" s="411">
        <v>100.9392</v>
      </c>
      <c r="K1575" s="411">
        <v>10166.3289</v>
      </c>
      <c r="L1575" s="526" t="s">
        <v>554</v>
      </c>
    </row>
    <row r="1576" spans="1:12" ht="15" x14ac:dyDescent="0.25">
      <c r="A1576">
        <v>388131</v>
      </c>
      <c r="B1576" t="str">
        <f t="shared" si="66"/>
        <v>SEVROLL 01495 Comfort spodné vedenie 4,05m strieborná</v>
      </c>
      <c r="C1576" s="198">
        <f t="shared" si="67"/>
        <v>36.072589999999998</v>
      </c>
      <c r="D1576" s="526" t="s">
        <v>1446</v>
      </c>
      <c r="E1576" s="526" t="s">
        <v>1891</v>
      </c>
      <c r="F1576" s="526" t="s">
        <v>5918</v>
      </c>
      <c r="G1576" s="526" t="s">
        <v>5919</v>
      </c>
      <c r="H1576" s="412">
        <v>998.81507999999997</v>
      </c>
      <c r="I1576" s="411">
        <v>36.072589999999998</v>
      </c>
      <c r="J1576" s="411">
        <v>147.62827999999999</v>
      </c>
      <c r="K1576" s="411">
        <v>13731.91077</v>
      </c>
      <c r="L1576" s="526" t="s">
        <v>554</v>
      </c>
    </row>
    <row r="1577" spans="1:12" ht="15" x14ac:dyDescent="0.25">
      <c r="A1577">
        <v>388133</v>
      </c>
      <c r="B1577" t="str">
        <f t="shared" si="66"/>
        <v/>
      </c>
      <c r="C1577" s="198">
        <f t="shared" si="67"/>
        <v>0</v>
      </c>
      <c r="D1577" s="526" t="s">
        <v>1447</v>
      </c>
      <c r="E1577" s="526" t="s">
        <v>1892</v>
      </c>
      <c r="F1577" s="526" t="s">
        <v>71</v>
      </c>
      <c r="G1577" s="526" t="s">
        <v>71</v>
      </c>
      <c r="H1577" s="412">
        <v>0</v>
      </c>
      <c r="I1577" s="411">
        <v>0</v>
      </c>
      <c r="J1577" s="411">
        <v>0</v>
      </c>
      <c r="K1577" s="411">
        <v>0</v>
      </c>
      <c r="L1577" s="526" t="s">
        <v>555</v>
      </c>
    </row>
    <row r="1578" spans="1:12" ht="15" x14ac:dyDescent="0.25">
      <c r="A1578">
        <v>388134</v>
      </c>
      <c r="B1578" t="str">
        <f t="shared" si="66"/>
        <v/>
      </c>
      <c r="C1578" s="198">
        <f t="shared" si="67"/>
        <v>0</v>
      </c>
      <c r="D1578" s="526" t="s">
        <v>1448</v>
      </c>
      <c r="E1578" s="526" t="s">
        <v>1893</v>
      </c>
      <c r="F1578" s="526" t="s">
        <v>71</v>
      </c>
      <c r="G1578" s="526" t="s">
        <v>71</v>
      </c>
      <c r="H1578" s="412">
        <v>0</v>
      </c>
      <c r="I1578" s="411">
        <v>0</v>
      </c>
      <c r="J1578" s="411">
        <v>0</v>
      </c>
      <c r="K1578" s="411">
        <v>0</v>
      </c>
      <c r="L1578" s="526" t="s">
        <v>555</v>
      </c>
    </row>
    <row r="1579" spans="1:12" ht="15" x14ac:dyDescent="0.25">
      <c r="A1579">
        <v>388236</v>
      </c>
      <c r="B1579" t="e">
        <f t="shared" si="66"/>
        <v>#N/A</v>
      </c>
      <c r="C1579" s="198" t="e">
        <f t="shared" si="67"/>
        <v>#N/A</v>
      </c>
      <c r="D1579" s="526" t="e">
        <v>#N/A</v>
      </c>
      <c r="E1579" s="526" t="e">
        <v>#N/A</v>
      </c>
      <c r="F1579" s="526" t="e">
        <v>#N/A</v>
      </c>
      <c r="G1579" s="526" t="e">
        <v>#N/A</v>
      </c>
      <c r="H1579" s="412" t="e">
        <v>#N/A</v>
      </c>
      <c r="I1579" s="411" t="e">
        <v>#N/A</v>
      </c>
      <c r="J1579" s="411" t="e">
        <v>#N/A</v>
      </c>
      <c r="K1579" s="411" t="e">
        <v>#N/A</v>
      </c>
      <c r="L1579" s="526" t="e">
        <v>#N/A</v>
      </c>
    </row>
    <row r="1580" spans="1:12" ht="15" x14ac:dyDescent="0.25">
      <c r="A1580">
        <v>388237</v>
      </c>
      <c r="B1580" t="e">
        <f t="shared" si="66"/>
        <v>#N/A</v>
      </c>
      <c r="C1580" s="198" t="e">
        <f t="shared" si="67"/>
        <v>#N/A</v>
      </c>
      <c r="D1580" s="526" t="e">
        <v>#N/A</v>
      </c>
      <c r="E1580" s="526" t="e">
        <v>#N/A</v>
      </c>
      <c r="F1580" s="526" t="e">
        <v>#N/A</v>
      </c>
      <c r="G1580" s="526" t="e">
        <v>#N/A</v>
      </c>
      <c r="H1580" s="412" t="e">
        <v>#N/A</v>
      </c>
      <c r="I1580" s="411" t="e">
        <v>#N/A</v>
      </c>
      <c r="J1580" s="411" t="e">
        <v>#N/A</v>
      </c>
      <c r="K1580" s="411" t="e">
        <v>#N/A</v>
      </c>
      <c r="L1580" s="526" t="e">
        <v>#N/A</v>
      </c>
    </row>
    <row r="1581" spans="1:12" ht="15" x14ac:dyDescent="0.25">
      <c r="A1581">
        <v>458673</v>
      </c>
      <c r="B1581" t="str">
        <f t="shared" si="66"/>
        <v>K-SEVROLL vzorky Úchytové lišty 2021 - doplňujúca súprava k 180245</v>
      </c>
      <c r="C1581" s="198">
        <f t="shared" si="67"/>
        <v>0</v>
      </c>
      <c r="D1581" s="526" t="s">
        <v>1449</v>
      </c>
      <c r="E1581" s="526" t="s">
        <v>1894</v>
      </c>
      <c r="F1581" s="526" t="s">
        <v>2200</v>
      </c>
      <c r="G1581" s="526" t="s">
        <v>71</v>
      </c>
      <c r="H1581" s="412">
        <v>0</v>
      </c>
      <c r="I1581" s="411">
        <v>0</v>
      </c>
      <c r="J1581" s="411">
        <v>0</v>
      </c>
      <c r="K1581" s="411">
        <v>0</v>
      </c>
      <c r="L1581" s="526" t="s">
        <v>556</v>
      </c>
    </row>
    <row r="1582" spans="1:12" ht="15" x14ac:dyDescent="0.25">
      <c r="A1582">
        <v>458712</v>
      </c>
      <c r="B1582" t="str">
        <f t="shared" si="66"/>
        <v>SEVROLL 04449-M spodná krycia lišta Simple/Blue 2m (lamino 18mm) oliva new</v>
      </c>
      <c r="C1582" s="198" t="e">
        <f t="shared" si="67"/>
        <v>#N/A</v>
      </c>
      <c r="D1582" s="526" t="s">
        <v>1450</v>
      </c>
      <c r="E1582" s="526" t="s">
        <v>5920</v>
      </c>
      <c r="F1582" s="526" t="s">
        <v>5921</v>
      </c>
      <c r="G1582" s="526" t="s">
        <v>5922</v>
      </c>
      <c r="H1582" s="412" t="e">
        <v>#N/A</v>
      </c>
      <c r="I1582" s="411" t="e">
        <v>#N/A</v>
      </c>
      <c r="J1582" s="411" t="e">
        <v>#N/A</v>
      </c>
      <c r="K1582" s="411" t="e">
        <v>#N/A</v>
      </c>
      <c r="L1582" s="526" t="e">
        <v>#N/A</v>
      </c>
    </row>
    <row r="1583" spans="1:12" ht="15" x14ac:dyDescent="0.25">
      <c r="A1583">
        <v>459711</v>
      </c>
      <c r="B1583" t="str">
        <f t="shared" si="66"/>
        <v/>
      </c>
      <c r="C1583" s="198">
        <f t="shared" si="67"/>
        <v>88.349469999999997</v>
      </c>
      <c r="D1583" s="526" t="s">
        <v>1451</v>
      </c>
      <c r="E1583" s="526" t="s">
        <v>71</v>
      </c>
      <c r="F1583" s="526" t="s">
        <v>71</v>
      </c>
      <c r="G1583" s="526" t="s">
        <v>71</v>
      </c>
      <c r="H1583" s="412">
        <v>2446.31104</v>
      </c>
      <c r="I1583" s="411">
        <v>88.349469999999997</v>
      </c>
      <c r="J1583" s="411">
        <v>352.61268000000001</v>
      </c>
      <c r="K1583" s="411">
        <v>33632.37689</v>
      </c>
      <c r="L1583" s="526" t="s">
        <v>554</v>
      </c>
    </row>
    <row r="1584" spans="1:12" ht="15" x14ac:dyDescent="0.25">
      <c r="A1584">
        <v>459712</v>
      </c>
      <c r="B1584" t="str">
        <f t="shared" si="66"/>
        <v/>
      </c>
      <c r="C1584" s="198">
        <f t="shared" si="67"/>
        <v>129.66007999999999</v>
      </c>
      <c r="D1584" s="526" t="s">
        <v>1452</v>
      </c>
      <c r="E1584" s="526" t="s">
        <v>71</v>
      </c>
      <c r="F1584" s="526" t="s">
        <v>71</v>
      </c>
      <c r="G1584" s="526" t="s">
        <v>71</v>
      </c>
      <c r="H1584" s="412">
        <v>3590.1615000000002</v>
      </c>
      <c r="I1584" s="411">
        <v>129.66007999999999</v>
      </c>
      <c r="J1584" s="411">
        <v>517.52787999999998</v>
      </c>
      <c r="K1584" s="411">
        <v>49358.263500000001</v>
      </c>
      <c r="L1584" s="526" t="s">
        <v>554</v>
      </c>
    </row>
    <row r="1585" spans="1:12" ht="15" x14ac:dyDescent="0.25">
      <c r="A1585">
        <v>459713</v>
      </c>
      <c r="B1585" t="str">
        <f t="shared" si="66"/>
        <v/>
      </c>
      <c r="C1585" s="198">
        <f t="shared" si="67"/>
        <v>170.79006000000001</v>
      </c>
      <c r="D1585" s="526" t="s">
        <v>1453</v>
      </c>
      <c r="E1585" s="526" t="s">
        <v>71</v>
      </c>
      <c r="F1585" s="526" t="s">
        <v>71</v>
      </c>
      <c r="G1585" s="526" t="s">
        <v>71</v>
      </c>
      <c r="H1585" s="412">
        <v>4729.0107399999997</v>
      </c>
      <c r="I1585" s="411">
        <v>170.79006000000001</v>
      </c>
      <c r="J1585" s="411">
        <v>681.72469000000001</v>
      </c>
      <c r="K1585" s="411">
        <v>65015.392189999999</v>
      </c>
      <c r="L1585" s="526" t="s">
        <v>554</v>
      </c>
    </row>
    <row r="1586" spans="1:12" ht="15" x14ac:dyDescent="0.25">
      <c r="A1586">
        <v>459714</v>
      </c>
      <c r="B1586" t="str">
        <f t="shared" si="66"/>
        <v/>
      </c>
      <c r="C1586" s="198">
        <f t="shared" si="67"/>
        <v>217.88052999999999</v>
      </c>
      <c r="D1586" s="526" t="s">
        <v>1454</v>
      </c>
      <c r="E1586" s="526" t="s">
        <v>71</v>
      </c>
      <c r="F1586" s="526" t="s">
        <v>71</v>
      </c>
      <c r="G1586" s="526" t="s">
        <v>71</v>
      </c>
      <c r="H1586" s="412">
        <v>6032.9002399999999</v>
      </c>
      <c r="I1586" s="411">
        <v>217.88052999999999</v>
      </c>
      <c r="J1586" s="411">
        <v>869.62743999999998</v>
      </c>
      <c r="K1586" s="411">
        <v>82941.527690000003</v>
      </c>
      <c r="L1586" s="526" t="s">
        <v>554</v>
      </c>
    </row>
    <row r="1587" spans="1:12" ht="15" x14ac:dyDescent="0.25">
      <c r="A1587">
        <v>195337</v>
      </c>
      <c r="B1587" t="e">
        <f t="shared" si="66"/>
        <v>#N/A</v>
      </c>
      <c r="C1587" s="198" t="e">
        <f t="shared" si="67"/>
        <v>#N/A</v>
      </c>
      <c r="D1587" s="526" t="e">
        <v>#N/A</v>
      </c>
      <c r="E1587" s="526" t="e">
        <v>#N/A</v>
      </c>
      <c r="F1587" s="526" t="e">
        <v>#N/A</v>
      </c>
      <c r="G1587" s="526" t="e">
        <v>#N/A</v>
      </c>
      <c r="H1587" s="412" t="e">
        <v>#N/A</v>
      </c>
      <c r="I1587" s="411" t="e">
        <v>#N/A</v>
      </c>
      <c r="J1587" s="411" t="e">
        <v>#N/A</v>
      </c>
      <c r="K1587" s="411" t="e">
        <v>#N/A</v>
      </c>
      <c r="L1587" s="526" t="e">
        <v>#N/A</v>
      </c>
    </row>
    <row r="1588" spans="1:12" ht="15" x14ac:dyDescent="0.25">
      <c r="A1588">
        <v>196558</v>
      </c>
      <c r="B1588" t="e">
        <f t="shared" si="66"/>
        <v>#N/A</v>
      </c>
      <c r="C1588" s="198" t="e">
        <f t="shared" si="67"/>
        <v>#N/A</v>
      </c>
      <c r="D1588" s="526" t="e">
        <v>#N/A</v>
      </c>
      <c r="E1588" s="526" t="e">
        <v>#N/A</v>
      </c>
      <c r="F1588" s="526" t="e">
        <v>#N/A</v>
      </c>
      <c r="G1588" s="526" t="e">
        <v>#N/A</v>
      </c>
      <c r="H1588" s="412" t="e">
        <v>#N/A</v>
      </c>
      <c r="I1588" s="411" t="e">
        <v>#N/A</v>
      </c>
      <c r="J1588" s="411" t="e">
        <v>#N/A</v>
      </c>
      <c r="K1588" s="411" t="e">
        <v>#N/A</v>
      </c>
      <c r="L1588" s="526" t="e">
        <v>#N/A</v>
      </c>
    </row>
    <row r="1589" spans="1:12" ht="15" x14ac:dyDescent="0.25">
      <c r="A1589">
        <v>197344</v>
      </c>
      <c r="B1589" t="e">
        <f t="shared" si="66"/>
        <v>#N/A</v>
      </c>
      <c r="C1589" s="198" t="e">
        <f t="shared" si="67"/>
        <v>#N/A</v>
      </c>
      <c r="D1589" s="526" t="e">
        <v>#N/A</v>
      </c>
      <c r="E1589" s="526" t="e">
        <v>#N/A</v>
      </c>
      <c r="F1589" s="526" t="e">
        <v>#N/A</v>
      </c>
      <c r="G1589" s="526" t="e">
        <v>#N/A</v>
      </c>
      <c r="H1589" s="412" t="e">
        <v>#N/A</v>
      </c>
      <c r="I1589" s="411" t="e">
        <v>#N/A</v>
      </c>
      <c r="J1589" s="411" t="e">
        <v>#N/A</v>
      </c>
      <c r="K1589" s="411" t="e">
        <v>#N/A</v>
      </c>
      <c r="L1589" s="526" t="e">
        <v>#N/A</v>
      </c>
    </row>
    <row r="1590" spans="1:12" ht="15" x14ac:dyDescent="0.25">
      <c r="A1590">
        <v>197345</v>
      </c>
      <c r="B1590" t="e">
        <f t="shared" si="66"/>
        <v>#N/A</v>
      </c>
      <c r="C1590" s="198" t="e">
        <f t="shared" si="67"/>
        <v>#N/A</v>
      </c>
      <c r="D1590" s="526" t="e">
        <v>#N/A</v>
      </c>
      <c r="E1590" s="526" t="e">
        <v>#N/A</v>
      </c>
      <c r="F1590" s="526" t="e">
        <v>#N/A</v>
      </c>
      <c r="G1590" s="526" t="e">
        <v>#N/A</v>
      </c>
      <c r="H1590" s="412" t="e">
        <v>#N/A</v>
      </c>
      <c r="I1590" s="411" t="e">
        <v>#N/A</v>
      </c>
      <c r="J1590" s="411" t="e">
        <v>#N/A</v>
      </c>
      <c r="K1590" s="411" t="e">
        <v>#N/A</v>
      </c>
      <c r="L1590" s="526" t="e">
        <v>#N/A</v>
      </c>
    </row>
    <row r="1591" spans="1:12" ht="15" x14ac:dyDescent="0.25">
      <c r="A1591">
        <v>197346</v>
      </c>
      <c r="B1591" t="e">
        <f t="shared" si="66"/>
        <v>#N/A</v>
      </c>
      <c r="C1591" s="198" t="e">
        <f t="shared" si="67"/>
        <v>#N/A</v>
      </c>
      <c r="D1591" s="526" t="e">
        <v>#N/A</v>
      </c>
      <c r="E1591" s="526" t="e">
        <v>#N/A</v>
      </c>
      <c r="F1591" s="526" t="e">
        <v>#N/A</v>
      </c>
      <c r="G1591" s="526" t="e">
        <v>#N/A</v>
      </c>
      <c r="H1591" s="412" t="e">
        <v>#N/A</v>
      </c>
      <c r="I1591" s="411" t="e">
        <v>#N/A</v>
      </c>
      <c r="J1591" s="411" t="e">
        <v>#N/A</v>
      </c>
      <c r="K1591" s="411" t="e">
        <v>#N/A</v>
      </c>
      <c r="L1591" s="526" t="e">
        <v>#N/A</v>
      </c>
    </row>
    <row r="1592" spans="1:12" ht="15" x14ac:dyDescent="0.25">
      <c r="A1592">
        <v>197347</v>
      </c>
      <c r="B1592" t="e">
        <f t="shared" si="66"/>
        <v>#N/A</v>
      </c>
      <c r="C1592" s="198" t="e">
        <f t="shared" si="67"/>
        <v>#N/A</v>
      </c>
      <c r="D1592" s="526" t="e">
        <v>#N/A</v>
      </c>
      <c r="E1592" s="526" t="e">
        <v>#N/A</v>
      </c>
      <c r="F1592" s="526" t="e">
        <v>#N/A</v>
      </c>
      <c r="G1592" s="526" t="e">
        <v>#N/A</v>
      </c>
      <c r="H1592" s="412" t="e">
        <v>#N/A</v>
      </c>
      <c r="I1592" s="411" t="e">
        <v>#N/A</v>
      </c>
      <c r="J1592" s="411" t="e">
        <v>#N/A</v>
      </c>
      <c r="K1592" s="411" t="e">
        <v>#N/A</v>
      </c>
      <c r="L1592" s="526" t="e">
        <v>#N/A</v>
      </c>
    </row>
    <row r="1593" spans="1:12" ht="15" x14ac:dyDescent="0.25">
      <c r="A1593">
        <v>197349</v>
      </c>
      <c r="B1593" t="e">
        <f t="shared" si="66"/>
        <v>#N/A</v>
      </c>
      <c r="C1593" s="198" t="e">
        <f t="shared" si="67"/>
        <v>#N/A</v>
      </c>
      <c r="D1593" s="526" t="e">
        <v>#N/A</v>
      </c>
      <c r="E1593" s="526" t="e">
        <v>#N/A</v>
      </c>
      <c r="F1593" s="526" t="e">
        <v>#N/A</v>
      </c>
      <c r="G1593" s="526" t="e">
        <v>#N/A</v>
      </c>
      <c r="H1593" s="412" t="e">
        <v>#N/A</v>
      </c>
      <c r="I1593" s="411" t="e">
        <v>#N/A</v>
      </c>
      <c r="J1593" s="411" t="e">
        <v>#N/A</v>
      </c>
      <c r="K1593" s="411" t="e">
        <v>#N/A</v>
      </c>
      <c r="L1593" s="526" t="e">
        <v>#N/A</v>
      </c>
    </row>
    <row r="1594" spans="1:12" ht="15" x14ac:dyDescent="0.25">
      <c r="A1594">
        <v>198307</v>
      </c>
      <c r="B1594" t="e">
        <f t="shared" si="66"/>
        <v>#N/A</v>
      </c>
      <c r="C1594" s="198" t="e">
        <f t="shared" si="67"/>
        <v>#N/A</v>
      </c>
      <c r="D1594" s="526" t="e">
        <v>#N/A</v>
      </c>
      <c r="E1594" s="526" t="e">
        <v>#N/A</v>
      </c>
      <c r="F1594" s="526" t="e">
        <v>#N/A</v>
      </c>
      <c r="G1594" s="526" t="e">
        <v>#N/A</v>
      </c>
      <c r="H1594" s="412" t="e">
        <v>#N/A</v>
      </c>
      <c r="I1594" s="411" t="e">
        <v>#N/A</v>
      </c>
      <c r="J1594" s="411" t="e">
        <v>#N/A</v>
      </c>
      <c r="K1594" s="411" t="e">
        <v>#N/A</v>
      </c>
      <c r="L1594" s="526" t="e">
        <v>#N/A</v>
      </c>
    </row>
    <row r="1595" spans="1:12" ht="15" x14ac:dyDescent="0.25">
      <c r="A1595">
        <v>198435</v>
      </c>
      <c r="B1595" t="e">
        <f t="shared" si="66"/>
        <v>#N/A</v>
      </c>
      <c r="C1595" s="198" t="e">
        <f t="shared" si="67"/>
        <v>#N/A</v>
      </c>
      <c r="D1595" s="526" t="e">
        <v>#N/A</v>
      </c>
      <c r="E1595" s="526" t="e">
        <v>#N/A</v>
      </c>
      <c r="F1595" s="526" t="e">
        <v>#N/A</v>
      </c>
      <c r="G1595" s="526" t="e">
        <v>#N/A</v>
      </c>
      <c r="H1595" s="412" t="e">
        <v>#N/A</v>
      </c>
      <c r="I1595" s="411" t="e">
        <v>#N/A</v>
      </c>
      <c r="J1595" s="411" t="e">
        <v>#N/A</v>
      </c>
      <c r="K1595" s="411" t="e">
        <v>#N/A</v>
      </c>
      <c r="L1595" s="526" t="e">
        <v>#N/A</v>
      </c>
    </row>
    <row r="1596" spans="1:12" ht="15" x14ac:dyDescent="0.25">
      <c r="A1596">
        <v>198521</v>
      </c>
      <c r="B1596" t="e">
        <f t="shared" si="66"/>
        <v>#N/A</v>
      </c>
      <c r="C1596" s="198" t="e">
        <f t="shared" si="67"/>
        <v>#N/A</v>
      </c>
      <c r="D1596" s="526" t="e">
        <v>#N/A</v>
      </c>
      <c r="E1596" s="526" t="e">
        <v>#N/A</v>
      </c>
      <c r="F1596" s="526" t="e">
        <v>#N/A</v>
      </c>
      <c r="G1596" s="526" t="e">
        <v>#N/A</v>
      </c>
      <c r="H1596" s="412" t="e">
        <v>#N/A</v>
      </c>
      <c r="I1596" s="411" t="e">
        <v>#N/A</v>
      </c>
      <c r="J1596" s="411" t="e">
        <v>#N/A</v>
      </c>
      <c r="K1596" s="411" t="e">
        <v>#N/A</v>
      </c>
      <c r="L1596" s="526" t="e">
        <v>#N/A</v>
      </c>
    </row>
    <row r="1597" spans="1:12" ht="15" x14ac:dyDescent="0.25">
      <c r="A1597">
        <v>198676</v>
      </c>
      <c r="B1597" t="e">
        <f t="shared" si="66"/>
        <v>#N/A</v>
      </c>
      <c r="C1597" s="198" t="e">
        <f t="shared" si="67"/>
        <v>#N/A</v>
      </c>
      <c r="D1597" s="526" t="e">
        <v>#N/A</v>
      </c>
      <c r="E1597" s="526" t="e">
        <v>#N/A</v>
      </c>
      <c r="F1597" s="526" t="e">
        <v>#N/A</v>
      </c>
      <c r="G1597" s="526" t="e">
        <v>#N/A</v>
      </c>
      <c r="H1597" s="412" t="e">
        <v>#N/A</v>
      </c>
      <c r="I1597" s="411" t="e">
        <v>#N/A</v>
      </c>
      <c r="J1597" s="411" t="e">
        <v>#N/A</v>
      </c>
      <c r="K1597" s="411" t="e">
        <v>#N/A</v>
      </c>
      <c r="L1597" s="526" t="e">
        <v>#N/A</v>
      </c>
    </row>
    <row r="1598" spans="1:12" ht="15" x14ac:dyDescent="0.25">
      <c r="A1598">
        <v>252977</v>
      </c>
      <c r="B1598" t="e">
        <f t="shared" si="66"/>
        <v>#N/A</v>
      </c>
      <c r="C1598" s="198" t="e">
        <f t="shared" si="67"/>
        <v>#N/A</v>
      </c>
      <c r="D1598" s="526" t="e">
        <v>#N/A</v>
      </c>
      <c r="E1598" s="526" t="e">
        <v>#N/A</v>
      </c>
      <c r="F1598" s="526" t="e">
        <v>#N/A</v>
      </c>
      <c r="G1598" s="526" t="e">
        <v>#N/A</v>
      </c>
      <c r="H1598" s="412" t="e">
        <v>#N/A</v>
      </c>
      <c r="I1598" s="411" t="e">
        <v>#N/A</v>
      </c>
      <c r="J1598" s="411" t="e">
        <v>#N/A</v>
      </c>
      <c r="K1598" s="411" t="e">
        <v>#N/A</v>
      </c>
      <c r="L1598" s="526" t="e">
        <v>#N/A</v>
      </c>
    </row>
    <row r="1599" spans="1:12" ht="15" x14ac:dyDescent="0.25">
      <c r="A1599">
        <v>253054</v>
      </c>
      <c r="B1599" t="e">
        <f t="shared" ref="B1599:B1659" si="68">IF($A$2=1,D1599,IF($A$2=2,F1599,IF($A$2=3,G1599,IF($A$2=4,E1599,"zadat jazyk"))))</f>
        <v>#N/A</v>
      </c>
      <c r="C1599" s="198" t="e">
        <f t="shared" ref="C1599:C1659" si="69">IF($A$2=1,H1599,IF($A$2=2,I1599,IF($A$2=3,J1599,IF($A$2=4,K1599,"zadat jazyk"))))</f>
        <v>#N/A</v>
      </c>
      <c r="D1599" s="526" t="e">
        <v>#N/A</v>
      </c>
      <c r="E1599" s="526" t="e">
        <v>#N/A</v>
      </c>
      <c r="F1599" s="526" t="e">
        <v>#N/A</v>
      </c>
      <c r="G1599" s="526" t="e">
        <v>#N/A</v>
      </c>
      <c r="H1599" s="412" t="e">
        <v>#N/A</v>
      </c>
      <c r="I1599" s="411" t="e">
        <v>#N/A</v>
      </c>
      <c r="J1599" s="411" t="e">
        <v>#N/A</v>
      </c>
      <c r="K1599" s="411" t="e">
        <v>#N/A</v>
      </c>
      <c r="L1599" s="526" t="e">
        <v>#N/A</v>
      </c>
    </row>
    <row r="1600" spans="1:12" ht="15" x14ac:dyDescent="0.25">
      <c r="A1600">
        <v>253055</v>
      </c>
      <c r="B1600" t="e">
        <f t="shared" si="68"/>
        <v>#N/A</v>
      </c>
      <c r="C1600" s="198" t="e">
        <f t="shared" si="69"/>
        <v>#N/A</v>
      </c>
      <c r="D1600" s="526" t="e">
        <v>#N/A</v>
      </c>
      <c r="E1600" s="526" t="e">
        <v>#N/A</v>
      </c>
      <c r="F1600" s="526" t="e">
        <v>#N/A</v>
      </c>
      <c r="G1600" s="526" t="e">
        <v>#N/A</v>
      </c>
      <c r="H1600" s="412" t="e">
        <v>#N/A</v>
      </c>
      <c r="I1600" s="411" t="e">
        <v>#N/A</v>
      </c>
      <c r="J1600" s="411" t="e">
        <v>#N/A</v>
      </c>
      <c r="K1600" s="411" t="e">
        <v>#N/A</v>
      </c>
      <c r="L1600" s="526" t="e">
        <v>#N/A</v>
      </c>
    </row>
    <row r="1601" spans="1:12" ht="15" x14ac:dyDescent="0.25">
      <c r="A1601">
        <v>253056</v>
      </c>
      <c r="B1601" t="e">
        <f t="shared" si="68"/>
        <v>#N/A</v>
      </c>
      <c r="C1601" s="198" t="e">
        <f t="shared" si="69"/>
        <v>#N/A</v>
      </c>
      <c r="D1601" s="526" t="e">
        <v>#N/A</v>
      </c>
      <c r="E1601" s="526" t="e">
        <v>#N/A</v>
      </c>
      <c r="F1601" s="526" t="e">
        <v>#N/A</v>
      </c>
      <c r="G1601" s="526" t="e">
        <v>#N/A</v>
      </c>
      <c r="H1601" s="412" t="e">
        <v>#N/A</v>
      </c>
      <c r="I1601" s="411" t="e">
        <v>#N/A</v>
      </c>
      <c r="J1601" s="411" t="e">
        <v>#N/A</v>
      </c>
      <c r="K1601" s="411" t="e">
        <v>#N/A</v>
      </c>
      <c r="L1601" s="526" t="e">
        <v>#N/A</v>
      </c>
    </row>
    <row r="1602" spans="1:12" ht="15" x14ac:dyDescent="0.25">
      <c r="A1602">
        <v>253058</v>
      </c>
      <c r="B1602" t="e">
        <f t="shared" si="68"/>
        <v>#N/A</v>
      </c>
      <c r="C1602" s="198" t="e">
        <f t="shared" si="69"/>
        <v>#N/A</v>
      </c>
      <c r="D1602" s="526" t="e">
        <v>#N/A</v>
      </c>
      <c r="E1602" s="526" t="e">
        <v>#N/A</v>
      </c>
      <c r="F1602" s="526" t="e">
        <v>#N/A</v>
      </c>
      <c r="G1602" s="526" t="e">
        <v>#N/A</v>
      </c>
      <c r="H1602" s="412" t="e">
        <v>#N/A</v>
      </c>
      <c r="I1602" s="411" t="e">
        <v>#N/A</v>
      </c>
      <c r="J1602" s="411" t="e">
        <v>#N/A</v>
      </c>
      <c r="K1602" s="411" t="e">
        <v>#N/A</v>
      </c>
      <c r="L1602" s="526" t="e">
        <v>#N/A</v>
      </c>
    </row>
    <row r="1603" spans="1:12" ht="15" x14ac:dyDescent="0.25">
      <c r="A1603">
        <v>253060</v>
      </c>
      <c r="B1603" t="e">
        <f t="shared" si="68"/>
        <v>#N/A</v>
      </c>
      <c r="C1603" s="198" t="e">
        <f t="shared" si="69"/>
        <v>#N/A</v>
      </c>
      <c r="D1603" s="526" t="e">
        <v>#N/A</v>
      </c>
      <c r="E1603" s="526" t="e">
        <v>#N/A</v>
      </c>
      <c r="F1603" s="526" t="e">
        <v>#N/A</v>
      </c>
      <c r="G1603" s="526" t="e">
        <v>#N/A</v>
      </c>
      <c r="H1603" s="412" t="e">
        <v>#N/A</v>
      </c>
      <c r="I1603" s="411" t="e">
        <v>#N/A</v>
      </c>
      <c r="J1603" s="411" t="e">
        <v>#N/A</v>
      </c>
      <c r="K1603" s="411" t="e">
        <v>#N/A</v>
      </c>
      <c r="L1603" s="526" t="e">
        <v>#N/A</v>
      </c>
    </row>
    <row r="1604" spans="1:12" ht="15" x14ac:dyDescent="0.25">
      <c r="A1604">
        <v>253062</v>
      </c>
      <c r="B1604" t="e">
        <f t="shared" si="68"/>
        <v>#N/A</v>
      </c>
      <c r="C1604" s="198" t="e">
        <f t="shared" si="69"/>
        <v>#N/A</v>
      </c>
      <c r="D1604" s="526" t="e">
        <v>#N/A</v>
      </c>
      <c r="E1604" s="526" t="e">
        <v>#N/A</v>
      </c>
      <c r="F1604" s="526" t="e">
        <v>#N/A</v>
      </c>
      <c r="G1604" s="526" t="e">
        <v>#N/A</v>
      </c>
      <c r="H1604" s="412" t="e">
        <v>#N/A</v>
      </c>
      <c r="I1604" s="411" t="e">
        <v>#N/A</v>
      </c>
      <c r="J1604" s="411" t="e">
        <v>#N/A</v>
      </c>
      <c r="K1604" s="411" t="e">
        <v>#N/A</v>
      </c>
      <c r="L1604" s="526" t="e">
        <v>#N/A</v>
      </c>
    </row>
    <row r="1605" spans="1:12" ht="15" x14ac:dyDescent="0.25">
      <c r="A1605">
        <v>253722</v>
      </c>
      <c r="B1605" t="e">
        <f t="shared" si="68"/>
        <v>#N/A</v>
      </c>
      <c r="C1605" s="198" t="e">
        <f t="shared" si="69"/>
        <v>#N/A</v>
      </c>
      <c r="D1605" s="526" t="e">
        <v>#N/A</v>
      </c>
      <c r="E1605" s="526" t="e">
        <v>#N/A</v>
      </c>
      <c r="F1605" s="526" t="e">
        <v>#N/A</v>
      </c>
      <c r="G1605" s="526" t="e">
        <v>#N/A</v>
      </c>
      <c r="H1605" s="412" t="e">
        <v>#N/A</v>
      </c>
      <c r="I1605" s="411" t="e">
        <v>#N/A</v>
      </c>
      <c r="J1605" s="411" t="e">
        <v>#N/A</v>
      </c>
      <c r="K1605" s="411" t="e">
        <v>#N/A</v>
      </c>
      <c r="L1605" s="526" t="e">
        <v>#N/A</v>
      </c>
    </row>
    <row r="1606" spans="1:12" ht="15" x14ac:dyDescent="0.25">
      <c r="A1606">
        <v>253726</v>
      </c>
      <c r="B1606" t="e">
        <f t="shared" si="68"/>
        <v>#N/A</v>
      </c>
      <c r="C1606" s="198" t="e">
        <f t="shared" si="69"/>
        <v>#N/A</v>
      </c>
      <c r="D1606" s="526" t="e">
        <v>#N/A</v>
      </c>
      <c r="E1606" s="526" t="e">
        <v>#N/A</v>
      </c>
      <c r="F1606" s="526" t="e">
        <v>#N/A</v>
      </c>
      <c r="G1606" s="526" t="e">
        <v>#N/A</v>
      </c>
      <c r="H1606" s="412" t="e">
        <v>#N/A</v>
      </c>
      <c r="I1606" s="411" t="e">
        <v>#N/A</v>
      </c>
      <c r="J1606" s="411" t="e">
        <v>#N/A</v>
      </c>
      <c r="K1606" s="411" t="e">
        <v>#N/A</v>
      </c>
      <c r="L1606" s="526" t="e">
        <v>#N/A</v>
      </c>
    </row>
    <row r="1607" spans="1:12" ht="15" x14ac:dyDescent="0.25">
      <c r="A1607">
        <v>253727</v>
      </c>
      <c r="B1607" t="e">
        <f t="shared" si="68"/>
        <v>#N/A</v>
      </c>
      <c r="C1607" s="198" t="e">
        <f t="shared" si="69"/>
        <v>#N/A</v>
      </c>
      <c r="D1607" s="526" t="e">
        <v>#N/A</v>
      </c>
      <c r="E1607" s="526" t="e">
        <v>#N/A</v>
      </c>
      <c r="F1607" s="526" t="e">
        <v>#N/A</v>
      </c>
      <c r="G1607" s="526" t="e">
        <v>#N/A</v>
      </c>
      <c r="H1607" s="412" t="e">
        <v>#N/A</v>
      </c>
      <c r="I1607" s="411" t="e">
        <v>#N/A</v>
      </c>
      <c r="J1607" s="411" t="e">
        <v>#N/A</v>
      </c>
      <c r="K1607" s="411" t="e">
        <v>#N/A</v>
      </c>
      <c r="L1607" s="526" t="e">
        <v>#N/A</v>
      </c>
    </row>
    <row r="1608" spans="1:12" ht="15" x14ac:dyDescent="0.25">
      <c r="A1608">
        <v>253728</v>
      </c>
      <c r="B1608" t="e">
        <f t="shared" si="68"/>
        <v>#N/A</v>
      </c>
      <c r="C1608" s="198" t="e">
        <f t="shared" si="69"/>
        <v>#N/A</v>
      </c>
      <c r="D1608" s="526" t="e">
        <v>#N/A</v>
      </c>
      <c r="E1608" s="526" t="e">
        <v>#N/A</v>
      </c>
      <c r="F1608" s="526" t="e">
        <v>#N/A</v>
      </c>
      <c r="G1608" s="526" t="e">
        <v>#N/A</v>
      </c>
      <c r="H1608" s="412" t="e">
        <v>#N/A</v>
      </c>
      <c r="I1608" s="411" t="e">
        <v>#N/A</v>
      </c>
      <c r="J1608" s="411" t="e">
        <v>#N/A</v>
      </c>
      <c r="K1608" s="411" t="e">
        <v>#N/A</v>
      </c>
      <c r="L1608" s="526" t="e">
        <v>#N/A</v>
      </c>
    </row>
    <row r="1609" spans="1:12" ht="15" x14ac:dyDescent="0.25">
      <c r="A1609">
        <v>253729</v>
      </c>
      <c r="B1609" t="e">
        <f t="shared" si="68"/>
        <v>#N/A</v>
      </c>
      <c r="C1609" s="198" t="e">
        <f t="shared" si="69"/>
        <v>#N/A</v>
      </c>
      <c r="D1609" s="526" t="e">
        <v>#N/A</v>
      </c>
      <c r="E1609" s="526" t="e">
        <v>#N/A</v>
      </c>
      <c r="F1609" s="526" t="e">
        <v>#N/A</v>
      </c>
      <c r="G1609" s="526" t="e">
        <v>#N/A</v>
      </c>
      <c r="H1609" s="412" t="e">
        <v>#N/A</v>
      </c>
      <c r="I1609" s="411" t="e">
        <v>#N/A</v>
      </c>
      <c r="J1609" s="411" t="e">
        <v>#N/A</v>
      </c>
      <c r="K1609" s="411" t="e">
        <v>#N/A</v>
      </c>
      <c r="L1609" s="526" t="e">
        <v>#N/A</v>
      </c>
    </row>
    <row r="1610" spans="1:12" ht="15" x14ac:dyDescent="0.25">
      <c r="A1610">
        <v>253741</v>
      </c>
      <c r="B1610" t="e">
        <f t="shared" si="68"/>
        <v>#N/A</v>
      </c>
      <c r="C1610" s="198" t="e">
        <f t="shared" si="69"/>
        <v>#N/A</v>
      </c>
      <c r="D1610" s="526" t="e">
        <v>#N/A</v>
      </c>
      <c r="E1610" s="526" t="e">
        <v>#N/A</v>
      </c>
      <c r="F1610" s="526" t="e">
        <v>#N/A</v>
      </c>
      <c r="G1610" s="526" t="e">
        <v>#N/A</v>
      </c>
      <c r="H1610" s="412" t="e">
        <v>#N/A</v>
      </c>
      <c r="I1610" s="411" t="e">
        <v>#N/A</v>
      </c>
      <c r="J1610" s="411" t="e">
        <v>#N/A</v>
      </c>
      <c r="K1610" s="411" t="e">
        <v>#N/A</v>
      </c>
      <c r="L1610" s="526" t="e">
        <v>#N/A</v>
      </c>
    </row>
    <row r="1611" spans="1:12" ht="15" x14ac:dyDescent="0.25">
      <c r="A1611">
        <v>254151</v>
      </c>
      <c r="B1611" t="e">
        <f t="shared" si="68"/>
        <v>#N/A</v>
      </c>
      <c r="C1611" s="198" t="e">
        <f t="shared" si="69"/>
        <v>#N/A</v>
      </c>
      <c r="D1611" s="526" t="e">
        <v>#N/A</v>
      </c>
      <c r="E1611" s="526" t="e">
        <v>#N/A</v>
      </c>
      <c r="F1611" s="526" t="e">
        <v>#N/A</v>
      </c>
      <c r="G1611" s="526" t="e">
        <v>#N/A</v>
      </c>
      <c r="H1611" s="412" t="e">
        <v>#N/A</v>
      </c>
      <c r="I1611" s="411" t="e">
        <v>#N/A</v>
      </c>
      <c r="J1611" s="411" t="e">
        <v>#N/A</v>
      </c>
      <c r="K1611" s="411" t="e">
        <v>#N/A</v>
      </c>
      <c r="L1611" s="526" t="e">
        <v>#N/A</v>
      </c>
    </row>
    <row r="1612" spans="1:12" ht="15" x14ac:dyDescent="0.25">
      <c r="A1612">
        <v>369700</v>
      </c>
      <c r="B1612" t="e">
        <f t="shared" si="68"/>
        <v>#N/A</v>
      </c>
      <c r="C1612" s="198" t="e">
        <f t="shared" si="69"/>
        <v>#N/A</v>
      </c>
      <c r="D1612" s="526" t="e">
        <v>#N/A</v>
      </c>
      <c r="E1612" s="526" t="e">
        <v>#N/A</v>
      </c>
      <c r="F1612" s="526" t="e">
        <v>#N/A</v>
      </c>
      <c r="G1612" s="526" t="e">
        <v>#N/A</v>
      </c>
      <c r="H1612" s="412" t="e">
        <v>#N/A</v>
      </c>
      <c r="I1612" s="411" t="e">
        <v>#N/A</v>
      </c>
      <c r="J1612" s="411" t="e">
        <v>#N/A</v>
      </c>
      <c r="K1612" s="411" t="e">
        <v>#N/A</v>
      </c>
      <c r="L1612" s="526" t="e">
        <v>#N/A</v>
      </c>
    </row>
    <row r="1613" spans="1:12" ht="15" x14ac:dyDescent="0.25">
      <c r="A1613">
        <v>369847</v>
      </c>
      <c r="B1613" t="str">
        <f t="shared" si="68"/>
        <v>SEVROLL profil "U" Mini 36 na DTD 2x18mm strieborná 3m</v>
      </c>
      <c r="C1613" s="198" t="e">
        <f t="shared" si="69"/>
        <v>#N/A</v>
      </c>
      <c r="D1613" s="526" t="s">
        <v>1455</v>
      </c>
      <c r="E1613" s="526" t="s">
        <v>1895</v>
      </c>
      <c r="F1613" s="526" t="s">
        <v>2201</v>
      </c>
      <c r="G1613" s="526" t="s">
        <v>2435</v>
      </c>
      <c r="H1613" s="412" t="e">
        <v>#N/A</v>
      </c>
      <c r="I1613" s="411" t="e">
        <v>#N/A</v>
      </c>
      <c r="J1613" s="411" t="e">
        <v>#N/A</v>
      </c>
      <c r="K1613" s="411" t="e">
        <v>#N/A</v>
      </c>
      <c r="L1613" s="526" t="e">
        <v>#N/A</v>
      </c>
    </row>
    <row r="1614" spans="1:12" ht="15" x14ac:dyDescent="0.25">
      <c r="A1614">
        <v>369913</v>
      </c>
      <c r="B1614" t="e">
        <f t="shared" si="68"/>
        <v>#N/A</v>
      </c>
      <c r="C1614" s="198" t="e">
        <f t="shared" si="69"/>
        <v>#N/A</v>
      </c>
      <c r="D1614" s="526" t="e">
        <v>#N/A</v>
      </c>
      <c r="E1614" s="526" t="e">
        <v>#N/A</v>
      </c>
      <c r="F1614" s="526" t="e">
        <v>#N/A</v>
      </c>
      <c r="G1614" s="526" t="e">
        <v>#N/A</v>
      </c>
      <c r="H1614" s="412" t="e">
        <v>#N/A</v>
      </c>
      <c r="I1614" s="411" t="e">
        <v>#N/A</v>
      </c>
      <c r="J1614" s="411" t="e">
        <v>#N/A</v>
      </c>
      <c r="K1614" s="411" t="e">
        <v>#N/A</v>
      </c>
      <c r="L1614" s="526" t="e">
        <v>#N/A</v>
      </c>
    </row>
    <row r="1615" spans="1:12" ht="15" x14ac:dyDescent="0.25">
      <c r="A1615">
        <v>369914</v>
      </c>
      <c r="B1615" t="e">
        <f t="shared" si="68"/>
        <v>#N/A</v>
      </c>
      <c r="C1615" s="198" t="e">
        <f t="shared" si="69"/>
        <v>#N/A</v>
      </c>
      <c r="D1615" s="526" t="e">
        <v>#N/A</v>
      </c>
      <c r="E1615" s="526" t="e">
        <v>#N/A</v>
      </c>
      <c r="F1615" s="526" t="e">
        <v>#N/A</v>
      </c>
      <c r="G1615" s="526" t="e">
        <v>#N/A</v>
      </c>
      <c r="H1615" s="412" t="e">
        <v>#N/A</v>
      </c>
      <c r="I1615" s="411" t="e">
        <v>#N/A</v>
      </c>
      <c r="J1615" s="411" t="e">
        <v>#N/A</v>
      </c>
      <c r="K1615" s="411" t="e">
        <v>#N/A</v>
      </c>
      <c r="L1615" s="526" t="e">
        <v>#N/A</v>
      </c>
    </row>
    <row r="1616" spans="1:12" ht="15" x14ac:dyDescent="0.25">
      <c r="A1616">
        <v>369915</v>
      </c>
      <c r="B1616" t="e">
        <f t="shared" si="68"/>
        <v>#N/A</v>
      </c>
      <c r="C1616" s="198" t="e">
        <f t="shared" si="69"/>
        <v>#N/A</v>
      </c>
      <c r="D1616" s="526" t="e">
        <v>#N/A</v>
      </c>
      <c r="E1616" s="526" t="e">
        <v>#N/A</v>
      </c>
      <c r="F1616" s="526" t="e">
        <v>#N/A</v>
      </c>
      <c r="G1616" s="526" t="e">
        <v>#N/A</v>
      </c>
      <c r="H1616" s="412" t="e">
        <v>#N/A</v>
      </c>
      <c r="I1616" s="411" t="e">
        <v>#N/A</v>
      </c>
      <c r="J1616" s="411" t="e">
        <v>#N/A</v>
      </c>
      <c r="K1616" s="411" t="e">
        <v>#N/A</v>
      </c>
      <c r="L1616" s="526" t="e">
        <v>#N/A</v>
      </c>
    </row>
    <row r="1617" spans="1:12" ht="15" x14ac:dyDescent="0.25">
      <c r="A1617">
        <v>369918</v>
      </c>
      <c r="B1617" t="e">
        <f t="shared" si="68"/>
        <v>#N/A</v>
      </c>
      <c r="C1617" s="198" t="e">
        <f t="shared" si="69"/>
        <v>#N/A</v>
      </c>
      <c r="D1617" s="526" t="e">
        <v>#N/A</v>
      </c>
      <c r="E1617" s="526" t="e">
        <v>#N/A</v>
      </c>
      <c r="F1617" s="526" t="e">
        <v>#N/A</v>
      </c>
      <c r="G1617" s="526" t="e">
        <v>#N/A</v>
      </c>
      <c r="H1617" s="412" t="e">
        <v>#N/A</v>
      </c>
      <c r="I1617" s="411" t="e">
        <v>#N/A</v>
      </c>
      <c r="J1617" s="411" t="e">
        <v>#N/A</v>
      </c>
      <c r="K1617" s="411" t="e">
        <v>#N/A</v>
      </c>
      <c r="L1617" s="526" t="e">
        <v>#N/A</v>
      </c>
    </row>
    <row r="1618" spans="1:12" ht="15" x14ac:dyDescent="0.25">
      <c r="A1618">
        <v>369982</v>
      </c>
      <c r="B1618" t="e">
        <f t="shared" si="68"/>
        <v>#N/A</v>
      </c>
      <c r="C1618" s="198" t="e">
        <f t="shared" si="69"/>
        <v>#N/A</v>
      </c>
      <c r="D1618" s="526" t="e">
        <v>#N/A</v>
      </c>
      <c r="E1618" s="526" t="e">
        <v>#N/A</v>
      </c>
      <c r="F1618" s="526" t="e">
        <v>#N/A</v>
      </c>
      <c r="G1618" s="526" t="e">
        <v>#N/A</v>
      </c>
      <c r="H1618" s="412" t="e">
        <v>#N/A</v>
      </c>
      <c r="I1618" s="411" t="e">
        <v>#N/A</v>
      </c>
      <c r="J1618" s="411" t="e">
        <v>#N/A</v>
      </c>
      <c r="K1618" s="411" t="e">
        <v>#N/A</v>
      </c>
      <c r="L1618" s="526" t="e">
        <v>#N/A</v>
      </c>
    </row>
    <row r="1619" spans="1:12" ht="15" x14ac:dyDescent="0.25">
      <c r="A1619">
        <v>398096</v>
      </c>
      <c r="B1619" t="str">
        <f t="shared" si="68"/>
        <v>SEVROLL 05176 Gemini horné vedenie 2,35m čierna lesk</v>
      </c>
      <c r="C1619" s="198">
        <f t="shared" si="69"/>
        <v>25.225020000000001</v>
      </c>
      <c r="D1619" s="526" t="s">
        <v>1456</v>
      </c>
      <c r="E1619" s="526" t="s">
        <v>1896</v>
      </c>
      <c r="F1619" s="526" t="s">
        <v>5923</v>
      </c>
      <c r="G1619" s="526" t="s">
        <v>5924</v>
      </c>
      <c r="H1619" s="412">
        <v>698.74188000000004</v>
      </c>
      <c r="I1619" s="411">
        <v>25.225020000000001</v>
      </c>
      <c r="J1619" s="411">
        <v>103.20359999999999</v>
      </c>
      <c r="K1619" s="411">
        <v>9602.5149299999994</v>
      </c>
      <c r="L1619" s="526" t="s">
        <v>553</v>
      </c>
    </row>
    <row r="1620" spans="1:12" ht="15" x14ac:dyDescent="0.25">
      <c r="A1620">
        <v>398188</v>
      </c>
      <c r="B1620" t="str">
        <f t="shared" si="68"/>
        <v>SEVROLL 05156 Elegant II spodné vedenie 2,35m čierna lesk</v>
      </c>
      <c r="C1620" s="198">
        <f t="shared" si="69"/>
        <v>14.79285</v>
      </c>
      <c r="D1620" s="526" t="s">
        <v>1457</v>
      </c>
      <c r="E1620" s="526" t="s">
        <v>1897</v>
      </c>
      <c r="F1620" s="526" t="s">
        <v>5925</v>
      </c>
      <c r="G1620" s="526" t="s">
        <v>5926</v>
      </c>
      <c r="H1620" s="412">
        <v>409.38558</v>
      </c>
      <c r="I1620" s="411">
        <v>14.79285</v>
      </c>
      <c r="J1620" s="411">
        <v>56.242800000000003</v>
      </c>
      <c r="K1620" s="411">
        <v>5631.26206</v>
      </c>
      <c r="L1620" s="526" t="s">
        <v>553</v>
      </c>
    </row>
    <row r="1621" spans="1:12" ht="15" x14ac:dyDescent="0.25">
      <c r="A1621">
        <v>398553</v>
      </c>
      <c r="B1621" t="str">
        <f t="shared" si="68"/>
        <v>SEVROLL 05168 maska Elegant II 2,35m čierna lesk</v>
      </c>
      <c r="C1621" s="198">
        <f t="shared" si="69"/>
        <v>4.5720400000000003</v>
      </c>
      <c r="D1621" s="526" t="s">
        <v>1458</v>
      </c>
      <c r="E1621" s="526" t="s">
        <v>1898</v>
      </c>
      <c r="F1621" s="526" t="s">
        <v>5927</v>
      </c>
      <c r="G1621" s="526" t="s">
        <v>2436</v>
      </c>
      <c r="H1621" s="412">
        <v>126.45941999999999</v>
      </c>
      <c r="I1621" s="411">
        <v>4.5720400000000003</v>
      </c>
      <c r="J1621" s="411">
        <v>16.870799999999999</v>
      </c>
      <c r="K1621" s="411">
        <v>1740.45587</v>
      </c>
      <c r="L1621" s="526" t="s">
        <v>553</v>
      </c>
    </row>
    <row r="1622" spans="1:12" ht="15" x14ac:dyDescent="0.25">
      <c r="A1622">
        <v>398929</v>
      </c>
      <c r="B1622" t="e">
        <f t="shared" si="68"/>
        <v>#N/A</v>
      </c>
      <c r="C1622" s="198" t="e">
        <f t="shared" si="69"/>
        <v>#N/A</v>
      </c>
      <c r="D1622" s="526" t="e">
        <v>#N/A</v>
      </c>
      <c r="E1622" s="526" t="e">
        <v>#N/A</v>
      </c>
      <c r="F1622" s="526" t="e">
        <v>#N/A</v>
      </c>
      <c r="G1622" s="526" t="e">
        <v>#N/A</v>
      </c>
      <c r="H1622" s="412" t="e">
        <v>#N/A</v>
      </c>
      <c r="I1622" s="411" t="e">
        <v>#N/A</v>
      </c>
      <c r="J1622" s="411" t="e">
        <v>#N/A</v>
      </c>
      <c r="K1622" s="411" t="e">
        <v>#N/A</v>
      </c>
      <c r="L1622" s="526" t="e">
        <v>#N/A</v>
      </c>
    </row>
    <row r="1623" spans="1:12" ht="15" x14ac:dyDescent="0.25">
      <c r="A1623">
        <v>398930</v>
      </c>
      <c r="B1623" t="e">
        <f t="shared" si="68"/>
        <v>#N/A</v>
      </c>
      <c r="C1623" s="198" t="e">
        <f t="shared" si="69"/>
        <v>#N/A</v>
      </c>
      <c r="D1623" s="526" t="e">
        <v>#N/A</v>
      </c>
      <c r="E1623" s="526" t="e">
        <v>#N/A</v>
      </c>
      <c r="F1623" s="526" t="e">
        <v>#N/A</v>
      </c>
      <c r="G1623" s="526" t="e">
        <v>#N/A</v>
      </c>
      <c r="H1623" s="412" t="e">
        <v>#N/A</v>
      </c>
      <c r="I1623" s="411" t="e">
        <v>#N/A</v>
      </c>
      <c r="J1623" s="411" t="e">
        <v>#N/A</v>
      </c>
      <c r="K1623" s="411" t="e">
        <v>#N/A</v>
      </c>
      <c r="L1623" s="526" t="e">
        <v>#N/A</v>
      </c>
    </row>
    <row r="1624" spans="1:12" ht="15" x14ac:dyDescent="0.25">
      <c r="A1624">
        <v>399106</v>
      </c>
      <c r="B1624" t="str">
        <f t="shared" si="68"/>
        <v>SEVROLL 10193-SV Optima II sada kovania pre vnútorné dvere</v>
      </c>
      <c r="C1624" s="198">
        <f t="shared" si="69"/>
        <v>13.212429999999999</v>
      </c>
      <c r="D1624" s="526" t="s">
        <v>1459</v>
      </c>
      <c r="E1624" s="526" t="s">
        <v>5928</v>
      </c>
      <c r="F1624" s="526" t="s">
        <v>5929</v>
      </c>
      <c r="G1624" s="526" t="s">
        <v>5930</v>
      </c>
      <c r="H1624" s="412">
        <v>365.80351999999999</v>
      </c>
      <c r="I1624" s="411">
        <v>13.212429999999999</v>
      </c>
      <c r="J1624" s="411">
        <v>46.430399999999999</v>
      </c>
      <c r="K1624" s="411">
        <v>5029.6317499999996</v>
      </c>
      <c r="L1624" s="526" t="s">
        <v>554</v>
      </c>
    </row>
    <row r="1625" spans="1:12" ht="15" x14ac:dyDescent="0.25">
      <c r="A1625">
        <v>399178</v>
      </c>
      <c r="B1625" t="str">
        <f t="shared" si="68"/>
        <v>SEVROLL 10212 vozík pre interiérové dvere Simple 18 Inter/Galaxy 35/50kg</v>
      </c>
      <c r="C1625" s="198">
        <f t="shared" si="69"/>
        <v>8.5665999999999993</v>
      </c>
      <c r="D1625" s="526" t="s">
        <v>1460</v>
      </c>
      <c r="E1625" s="526" t="s">
        <v>5931</v>
      </c>
      <c r="F1625" s="526" t="s">
        <v>5932</v>
      </c>
      <c r="G1625" s="526" t="s">
        <v>2437</v>
      </c>
      <c r="H1625" s="412">
        <v>226.1086</v>
      </c>
      <c r="I1625" s="411">
        <v>8.5665999999999993</v>
      </c>
      <c r="J1625" s="411">
        <v>29.475570000000001</v>
      </c>
      <c r="K1625" s="411">
        <v>3154.6384699999999</v>
      </c>
      <c r="L1625" s="526" t="s">
        <v>553</v>
      </c>
    </row>
    <row r="1626" spans="1:12" ht="15" x14ac:dyDescent="0.25">
      <c r="A1626">
        <v>399179</v>
      </c>
      <c r="B1626" t="str">
        <f t="shared" si="68"/>
        <v>SEVROLL 04999 tĺmič pre interiérové dvere Simple 18 Galaxy 50kg</v>
      </c>
      <c r="C1626" s="198">
        <f t="shared" si="69"/>
        <v>25.183730000000001</v>
      </c>
      <c r="D1626" s="526" t="s">
        <v>1461</v>
      </c>
      <c r="E1626" s="526" t="s">
        <v>5933</v>
      </c>
      <c r="F1626" s="526" t="s">
        <v>5934</v>
      </c>
      <c r="G1626" s="526" t="s">
        <v>2438</v>
      </c>
      <c r="H1626" s="412">
        <v>664.70479999999998</v>
      </c>
      <c r="I1626" s="411">
        <v>25.183730000000001</v>
      </c>
      <c r="J1626" s="411">
        <v>86.651060000000001</v>
      </c>
      <c r="K1626" s="411">
        <v>9273.8769300000004</v>
      </c>
      <c r="L1626" s="526" t="s">
        <v>553</v>
      </c>
    </row>
    <row r="1627" spans="1:12" ht="15" x14ac:dyDescent="0.25">
      <c r="A1627">
        <v>399180</v>
      </c>
      <c r="B1627" t="str">
        <f t="shared" si="68"/>
        <v/>
      </c>
      <c r="C1627" s="198">
        <f t="shared" si="69"/>
        <v>0</v>
      </c>
      <c r="D1627" s="526" t="s">
        <v>1462</v>
      </c>
      <c r="E1627" s="526" t="s">
        <v>5935</v>
      </c>
      <c r="F1627" s="526" t="s">
        <v>71</v>
      </c>
      <c r="G1627" s="526" t="s">
        <v>2439</v>
      </c>
      <c r="H1627" s="412">
        <v>0</v>
      </c>
      <c r="I1627" s="411">
        <v>0</v>
      </c>
      <c r="J1627" s="411">
        <v>0</v>
      </c>
      <c r="K1627" s="411">
        <v>0</v>
      </c>
      <c r="L1627" s="526" t="s">
        <v>553</v>
      </c>
    </row>
    <row r="1628" spans="1:12" ht="15" x14ac:dyDescent="0.25">
      <c r="A1628">
        <v>399695</v>
      </c>
      <c r="B1628" t="str">
        <f t="shared" si="68"/>
        <v>SEVROLL 214-695 krycia lišta Herkules II 2m strieborná</v>
      </c>
      <c r="C1628" s="198" t="e">
        <f t="shared" si="69"/>
        <v>#N/A</v>
      </c>
      <c r="D1628" s="526" t="s">
        <v>1463</v>
      </c>
      <c r="E1628" s="526" t="s">
        <v>1899</v>
      </c>
      <c r="F1628" s="526" t="s">
        <v>5936</v>
      </c>
      <c r="G1628" s="526" t="s">
        <v>5937</v>
      </c>
      <c r="H1628" s="412" t="e">
        <v>#N/A</v>
      </c>
      <c r="I1628" s="411" t="e">
        <v>#N/A</v>
      </c>
      <c r="J1628" s="411" t="e">
        <v>#N/A</v>
      </c>
      <c r="K1628" s="411" t="e">
        <v>#N/A</v>
      </c>
      <c r="L1628" s="526" t="e">
        <v>#N/A</v>
      </c>
    </row>
    <row r="1629" spans="1:12" ht="15" x14ac:dyDescent="0.25">
      <c r="A1629">
        <v>399696</v>
      </c>
      <c r="B1629" t="str">
        <f t="shared" si="68"/>
        <v>SEVROLL 214-615 krycia lišta Herkules Wood 2m strieborná</v>
      </c>
      <c r="C1629" s="198" t="e">
        <f t="shared" si="69"/>
        <v>#N/A</v>
      </c>
      <c r="D1629" s="526" t="s">
        <v>1464</v>
      </c>
      <c r="E1629" s="526" t="s">
        <v>1900</v>
      </c>
      <c r="F1629" s="526" t="s">
        <v>5938</v>
      </c>
      <c r="G1629" s="526" t="s">
        <v>5939</v>
      </c>
      <c r="H1629" s="412" t="e">
        <v>#N/A</v>
      </c>
      <c r="I1629" s="411" t="e">
        <v>#N/A</v>
      </c>
      <c r="J1629" s="411" t="e">
        <v>#N/A</v>
      </c>
      <c r="K1629" s="411" t="e">
        <v>#N/A</v>
      </c>
      <c r="L1629" s="526" t="e">
        <v>#N/A</v>
      </c>
    </row>
    <row r="1630" spans="1:12" ht="15" x14ac:dyDescent="0.25">
      <c r="A1630">
        <v>399705</v>
      </c>
      <c r="B1630" t="str">
        <f t="shared" si="68"/>
        <v>SEVROLL 219-036 Herkules Wood sada krycia lišta strieborná, 2x krytka a kefka</v>
      </c>
      <c r="C1630" s="198" t="e">
        <f t="shared" si="69"/>
        <v>#N/A</v>
      </c>
      <c r="D1630" s="526" t="s">
        <v>1465</v>
      </c>
      <c r="E1630" s="526" t="s">
        <v>1901</v>
      </c>
      <c r="F1630" s="526" t="s">
        <v>5940</v>
      </c>
      <c r="G1630" s="526" t="s">
        <v>5941</v>
      </c>
      <c r="H1630" s="412" t="e">
        <v>#N/A</v>
      </c>
      <c r="I1630" s="411" t="e">
        <v>#N/A</v>
      </c>
      <c r="J1630" s="411" t="e">
        <v>#N/A</v>
      </c>
      <c r="K1630" s="411" t="e">
        <v>#N/A</v>
      </c>
      <c r="L1630" s="526" t="e">
        <v>#N/A</v>
      </c>
    </row>
    <row r="1631" spans="1:12" ht="15" x14ac:dyDescent="0.25">
      <c r="A1631">
        <v>355738</v>
      </c>
      <c r="B1631" t="e">
        <f t="shared" si="68"/>
        <v>#N/A</v>
      </c>
      <c r="C1631" s="198" t="e">
        <f t="shared" si="69"/>
        <v>#N/A</v>
      </c>
      <c r="D1631" s="526" t="e">
        <v>#N/A</v>
      </c>
      <c r="E1631" s="526" t="e">
        <v>#N/A</v>
      </c>
      <c r="F1631" s="526" t="e">
        <v>#N/A</v>
      </c>
      <c r="G1631" s="526" t="e">
        <v>#N/A</v>
      </c>
      <c r="H1631" s="412" t="e">
        <v>#N/A</v>
      </c>
      <c r="I1631" s="411" t="e">
        <v>#N/A</v>
      </c>
      <c r="J1631" s="411" t="e">
        <v>#N/A</v>
      </c>
      <c r="K1631" s="411" t="e">
        <v>#N/A</v>
      </c>
      <c r="L1631" s="526" t="e">
        <v>#N/A</v>
      </c>
    </row>
    <row r="1632" spans="1:12" ht="15" x14ac:dyDescent="0.25">
      <c r="A1632">
        <v>355740</v>
      </c>
      <c r="B1632" t="e">
        <f t="shared" si="68"/>
        <v>#N/A</v>
      </c>
      <c r="C1632" s="198" t="e">
        <f t="shared" si="69"/>
        <v>#N/A</v>
      </c>
      <c r="D1632" s="526" t="e">
        <v>#N/A</v>
      </c>
      <c r="E1632" s="526" t="e">
        <v>#N/A</v>
      </c>
      <c r="F1632" s="526" t="e">
        <v>#N/A</v>
      </c>
      <c r="G1632" s="526" t="e">
        <v>#N/A</v>
      </c>
      <c r="H1632" s="412" t="e">
        <v>#N/A</v>
      </c>
      <c r="I1632" s="411" t="e">
        <v>#N/A</v>
      </c>
      <c r="J1632" s="411" t="e">
        <v>#N/A</v>
      </c>
      <c r="K1632" s="411" t="e">
        <v>#N/A</v>
      </c>
      <c r="L1632" s="526" t="e">
        <v>#N/A</v>
      </c>
    </row>
    <row r="1633" spans="1:12" ht="15" x14ac:dyDescent="0.25">
      <c r="A1633">
        <v>355743</v>
      </c>
      <c r="B1633" t="e">
        <f t="shared" si="68"/>
        <v>#N/A</v>
      </c>
      <c r="C1633" s="198" t="e">
        <f t="shared" si="69"/>
        <v>#N/A</v>
      </c>
      <c r="D1633" s="526" t="e">
        <v>#N/A</v>
      </c>
      <c r="E1633" s="526" t="e">
        <v>#N/A</v>
      </c>
      <c r="F1633" s="526" t="e">
        <v>#N/A</v>
      </c>
      <c r="G1633" s="526" t="e">
        <v>#N/A</v>
      </c>
      <c r="H1633" s="412" t="e">
        <v>#N/A</v>
      </c>
      <c r="I1633" s="411" t="e">
        <v>#N/A</v>
      </c>
      <c r="J1633" s="411" t="e">
        <v>#N/A</v>
      </c>
      <c r="K1633" s="411" t="e">
        <v>#N/A</v>
      </c>
      <c r="L1633" s="526" t="e">
        <v>#N/A</v>
      </c>
    </row>
    <row r="1634" spans="1:12" ht="15" x14ac:dyDescent="0.25">
      <c r="A1634">
        <v>355747</v>
      </c>
      <c r="B1634" t="e">
        <f t="shared" si="68"/>
        <v>#N/A</v>
      </c>
      <c r="C1634" s="198" t="e">
        <f t="shared" si="69"/>
        <v>#N/A</v>
      </c>
      <c r="D1634" s="526" t="e">
        <v>#N/A</v>
      </c>
      <c r="E1634" s="526" t="e">
        <v>#N/A</v>
      </c>
      <c r="F1634" s="526" t="e">
        <v>#N/A</v>
      </c>
      <c r="G1634" s="526" t="e">
        <v>#N/A</v>
      </c>
      <c r="H1634" s="412" t="e">
        <v>#N/A</v>
      </c>
      <c r="I1634" s="411" t="e">
        <v>#N/A</v>
      </c>
      <c r="J1634" s="411" t="e">
        <v>#N/A</v>
      </c>
      <c r="K1634" s="411" t="e">
        <v>#N/A</v>
      </c>
      <c r="L1634" s="526" t="e">
        <v>#N/A</v>
      </c>
    </row>
    <row r="1635" spans="1:12" ht="15" x14ac:dyDescent="0.25">
      <c r="A1635">
        <v>355766</v>
      </c>
      <c r="B1635" t="e">
        <f t="shared" si="68"/>
        <v>#N/A</v>
      </c>
      <c r="C1635" s="198" t="e">
        <f t="shared" si="69"/>
        <v>#N/A</v>
      </c>
      <c r="D1635" s="526" t="e">
        <v>#N/A</v>
      </c>
      <c r="E1635" s="526" t="e">
        <v>#N/A</v>
      </c>
      <c r="F1635" s="526" t="e">
        <v>#N/A</v>
      </c>
      <c r="G1635" s="526" t="e">
        <v>#N/A</v>
      </c>
      <c r="H1635" s="412" t="e">
        <v>#N/A</v>
      </c>
      <c r="I1635" s="411" t="e">
        <v>#N/A</v>
      </c>
      <c r="J1635" s="411" t="e">
        <v>#N/A</v>
      </c>
      <c r="K1635" s="411" t="e">
        <v>#N/A</v>
      </c>
      <c r="L1635" s="526" t="e">
        <v>#N/A</v>
      </c>
    </row>
    <row r="1636" spans="1:12" ht="15" x14ac:dyDescent="0.25">
      <c r="A1636">
        <v>355768</v>
      </c>
      <c r="B1636" t="e">
        <f t="shared" si="68"/>
        <v>#N/A</v>
      </c>
      <c r="C1636" s="198" t="e">
        <f t="shared" si="69"/>
        <v>#N/A</v>
      </c>
      <c r="D1636" s="526" t="e">
        <v>#N/A</v>
      </c>
      <c r="E1636" s="526" t="e">
        <v>#N/A</v>
      </c>
      <c r="F1636" s="526" t="e">
        <v>#N/A</v>
      </c>
      <c r="G1636" s="526" t="e">
        <v>#N/A</v>
      </c>
      <c r="H1636" s="412" t="e">
        <v>#N/A</v>
      </c>
      <c r="I1636" s="411" t="e">
        <v>#N/A</v>
      </c>
      <c r="J1636" s="411" t="e">
        <v>#N/A</v>
      </c>
      <c r="K1636" s="411" t="e">
        <v>#N/A</v>
      </c>
      <c r="L1636" s="526" t="e">
        <v>#N/A</v>
      </c>
    </row>
    <row r="1637" spans="1:12" ht="15" x14ac:dyDescent="0.25">
      <c r="A1637">
        <v>355770</v>
      </c>
      <c r="B1637" t="e">
        <f t="shared" si="68"/>
        <v>#N/A</v>
      </c>
      <c r="C1637" s="198" t="e">
        <f t="shared" si="69"/>
        <v>#N/A</v>
      </c>
      <c r="D1637" s="526" t="e">
        <v>#N/A</v>
      </c>
      <c r="E1637" s="526" t="e">
        <v>#N/A</v>
      </c>
      <c r="F1637" s="526" t="e">
        <v>#N/A</v>
      </c>
      <c r="G1637" s="526" t="e">
        <v>#N/A</v>
      </c>
      <c r="H1637" s="412" t="e">
        <v>#N/A</v>
      </c>
      <c r="I1637" s="411" t="e">
        <v>#N/A</v>
      </c>
      <c r="J1637" s="411" t="e">
        <v>#N/A</v>
      </c>
      <c r="K1637" s="411" t="e">
        <v>#N/A</v>
      </c>
      <c r="L1637" s="526" t="e">
        <v>#N/A</v>
      </c>
    </row>
    <row r="1638" spans="1:12" ht="15" x14ac:dyDescent="0.25">
      <c r="A1638">
        <v>355776</v>
      </c>
      <c r="B1638" t="e">
        <f t="shared" si="68"/>
        <v>#N/A</v>
      </c>
      <c r="C1638" s="198" t="e">
        <f t="shared" si="69"/>
        <v>#N/A</v>
      </c>
      <c r="D1638" s="526" t="e">
        <v>#N/A</v>
      </c>
      <c r="E1638" s="526" t="e">
        <v>#N/A</v>
      </c>
      <c r="F1638" s="526" t="e">
        <v>#N/A</v>
      </c>
      <c r="G1638" s="526" t="e">
        <v>#N/A</v>
      </c>
      <c r="H1638" s="412" t="e">
        <v>#N/A</v>
      </c>
      <c r="I1638" s="411" t="e">
        <v>#N/A</v>
      </c>
      <c r="J1638" s="411" t="e">
        <v>#N/A</v>
      </c>
      <c r="K1638" s="411" t="e">
        <v>#N/A</v>
      </c>
      <c r="L1638" s="526" t="e">
        <v>#N/A</v>
      </c>
    </row>
    <row r="1639" spans="1:12" ht="15" x14ac:dyDescent="0.25">
      <c r="A1639">
        <v>355793</v>
      </c>
      <c r="B1639" t="e">
        <f t="shared" si="68"/>
        <v>#N/A</v>
      </c>
      <c r="C1639" s="198" t="e">
        <f t="shared" si="69"/>
        <v>#N/A</v>
      </c>
      <c r="D1639" s="526" t="e">
        <v>#N/A</v>
      </c>
      <c r="E1639" s="526" t="e">
        <v>#N/A</v>
      </c>
      <c r="F1639" s="526" t="e">
        <v>#N/A</v>
      </c>
      <c r="G1639" s="526" t="e">
        <v>#N/A</v>
      </c>
      <c r="H1639" s="412" t="e">
        <v>#N/A</v>
      </c>
      <c r="I1639" s="411" t="e">
        <v>#N/A</v>
      </c>
      <c r="J1639" s="411" t="e">
        <v>#N/A</v>
      </c>
      <c r="K1639" s="411" t="e">
        <v>#N/A</v>
      </c>
      <c r="L1639" s="526" t="e">
        <v>#N/A</v>
      </c>
    </row>
    <row r="1640" spans="1:12" ht="15" x14ac:dyDescent="0.25">
      <c r="A1640">
        <v>355794</v>
      </c>
      <c r="B1640" t="e">
        <f t="shared" si="68"/>
        <v>#N/A</v>
      </c>
      <c r="C1640" s="198" t="e">
        <f t="shared" si="69"/>
        <v>#N/A</v>
      </c>
      <c r="D1640" s="526" t="e">
        <v>#N/A</v>
      </c>
      <c r="E1640" s="526" t="e">
        <v>#N/A</v>
      </c>
      <c r="F1640" s="526" t="e">
        <v>#N/A</v>
      </c>
      <c r="G1640" s="526" t="e">
        <v>#N/A</v>
      </c>
      <c r="H1640" s="412" t="e">
        <v>#N/A</v>
      </c>
      <c r="I1640" s="411" t="e">
        <v>#N/A</v>
      </c>
      <c r="J1640" s="411" t="e">
        <v>#N/A</v>
      </c>
      <c r="K1640" s="411" t="e">
        <v>#N/A</v>
      </c>
      <c r="L1640" s="526" t="e">
        <v>#N/A</v>
      </c>
    </row>
    <row r="1641" spans="1:12" ht="15" x14ac:dyDescent="0.25">
      <c r="A1641">
        <v>355795</v>
      </c>
      <c r="B1641" t="e">
        <f t="shared" si="68"/>
        <v>#N/A</v>
      </c>
      <c r="C1641" s="198" t="e">
        <f t="shared" si="69"/>
        <v>#N/A</v>
      </c>
      <c r="D1641" s="526" t="e">
        <v>#N/A</v>
      </c>
      <c r="E1641" s="526" t="e">
        <v>#N/A</v>
      </c>
      <c r="F1641" s="526" t="e">
        <v>#N/A</v>
      </c>
      <c r="G1641" s="526" t="e">
        <v>#N/A</v>
      </c>
      <c r="H1641" s="412" t="e">
        <v>#N/A</v>
      </c>
      <c r="I1641" s="411" t="e">
        <v>#N/A</v>
      </c>
      <c r="J1641" s="411" t="e">
        <v>#N/A</v>
      </c>
      <c r="K1641" s="411" t="e">
        <v>#N/A</v>
      </c>
      <c r="L1641" s="526" t="e">
        <v>#N/A</v>
      </c>
    </row>
    <row r="1642" spans="1:12" ht="15" x14ac:dyDescent="0.25">
      <c r="A1642">
        <v>355813</v>
      </c>
      <c r="B1642" t="e">
        <f t="shared" si="68"/>
        <v>#N/A</v>
      </c>
      <c r="C1642" s="198" t="e">
        <f t="shared" si="69"/>
        <v>#N/A</v>
      </c>
      <c r="D1642" s="526" t="e">
        <v>#N/A</v>
      </c>
      <c r="E1642" s="526" t="e">
        <v>#N/A</v>
      </c>
      <c r="F1642" s="526" t="e">
        <v>#N/A</v>
      </c>
      <c r="G1642" s="526" t="e">
        <v>#N/A</v>
      </c>
      <c r="H1642" s="412" t="e">
        <v>#N/A</v>
      </c>
      <c r="I1642" s="411" t="e">
        <v>#N/A</v>
      </c>
      <c r="J1642" s="411" t="e">
        <v>#N/A</v>
      </c>
      <c r="K1642" s="411" t="e">
        <v>#N/A</v>
      </c>
      <c r="L1642" s="526" t="e">
        <v>#N/A</v>
      </c>
    </row>
    <row r="1643" spans="1:12" ht="15" x14ac:dyDescent="0.25">
      <c r="A1643">
        <v>355892</v>
      </c>
      <c r="B1643" t="e">
        <f t="shared" si="68"/>
        <v>#N/A</v>
      </c>
      <c r="C1643" s="198" t="e">
        <f t="shared" si="69"/>
        <v>#N/A</v>
      </c>
      <c r="D1643" s="526" t="e">
        <v>#N/A</v>
      </c>
      <c r="E1643" s="526" t="e">
        <v>#N/A</v>
      </c>
      <c r="F1643" s="526" t="e">
        <v>#N/A</v>
      </c>
      <c r="G1643" s="526" t="e">
        <v>#N/A</v>
      </c>
      <c r="H1643" s="412" t="e">
        <v>#N/A</v>
      </c>
      <c r="I1643" s="411" t="e">
        <v>#N/A</v>
      </c>
      <c r="J1643" s="411" t="e">
        <v>#N/A</v>
      </c>
      <c r="K1643" s="411" t="e">
        <v>#N/A</v>
      </c>
      <c r="L1643" s="526" t="e">
        <v>#N/A</v>
      </c>
    </row>
    <row r="1644" spans="1:12" ht="15" x14ac:dyDescent="0.25">
      <c r="A1644">
        <v>356172</v>
      </c>
      <c r="B1644" t="e">
        <f t="shared" si="68"/>
        <v>#N/A</v>
      </c>
      <c r="C1644" s="198" t="e">
        <f t="shared" si="69"/>
        <v>#N/A</v>
      </c>
      <c r="D1644" s="526" t="e">
        <v>#N/A</v>
      </c>
      <c r="E1644" s="526" t="e">
        <v>#N/A</v>
      </c>
      <c r="F1644" s="526" t="e">
        <v>#N/A</v>
      </c>
      <c r="G1644" s="526" t="e">
        <v>#N/A</v>
      </c>
      <c r="H1644" s="412" t="e">
        <v>#N/A</v>
      </c>
      <c r="I1644" s="411" t="e">
        <v>#N/A</v>
      </c>
      <c r="J1644" s="411" t="e">
        <v>#N/A</v>
      </c>
      <c r="K1644" s="411" t="e">
        <v>#N/A</v>
      </c>
      <c r="L1644" s="526" t="e">
        <v>#N/A</v>
      </c>
    </row>
    <row r="1645" spans="1:12" ht="15" x14ac:dyDescent="0.25">
      <c r="A1645">
        <v>356708</v>
      </c>
      <c r="B1645" t="e">
        <f t="shared" si="68"/>
        <v>#N/A</v>
      </c>
      <c r="C1645" s="198" t="e">
        <f t="shared" si="69"/>
        <v>#N/A</v>
      </c>
      <c r="D1645" s="526" t="e">
        <v>#N/A</v>
      </c>
      <c r="E1645" s="526" t="e">
        <v>#N/A</v>
      </c>
      <c r="F1645" s="526" t="e">
        <v>#N/A</v>
      </c>
      <c r="G1645" s="526" t="e">
        <v>#N/A</v>
      </c>
      <c r="H1645" s="412" t="e">
        <v>#N/A</v>
      </c>
      <c r="I1645" s="411" t="e">
        <v>#N/A</v>
      </c>
      <c r="J1645" s="411" t="e">
        <v>#N/A</v>
      </c>
      <c r="K1645" s="411" t="e">
        <v>#N/A</v>
      </c>
      <c r="L1645" s="526" t="e">
        <v>#N/A</v>
      </c>
    </row>
    <row r="1646" spans="1:12" ht="15" x14ac:dyDescent="0.25">
      <c r="A1646">
        <v>356710</v>
      </c>
      <c r="B1646" t="e">
        <f t="shared" si="68"/>
        <v>#N/A</v>
      </c>
      <c r="C1646" s="198" t="e">
        <f t="shared" si="69"/>
        <v>#N/A</v>
      </c>
      <c r="D1646" s="526" t="e">
        <v>#N/A</v>
      </c>
      <c r="E1646" s="526" t="e">
        <v>#N/A</v>
      </c>
      <c r="F1646" s="526" t="e">
        <v>#N/A</v>
      </c>
      <c r="G1646" s="526" t="e">
        <v>#N/A</v>
      </c>
      <c r="H1646" s="412" t="e">
        <v>#N/A</v>
      </c>
      <c r="I1646" s="411" t="e">
        <v>#N/A</v>
      </c>
      <c r="J1646" s="411" t="e">
        <v>#N/A</v>
      </c>
      <c r="K1646" s="411" t="e">
        <v>#N/A</v>
      </c>
      <c r="L1646" s="526" t="e">
        <v>#N/A</v>
      </c>
    </row>
    <row r="1647" spans="1:12" ht="15" x14ac:dyDescent="0.25">
      <c r="A1647">
        <v>356713</v>
      </c>
      <c r="B1647" t="e">
        <f t="shared" si="68"/>
        <v>#N/A</v>
      </c>
      <c r="C1647" s="198" t="e">
        <f t="shared" si="69"/>
        <v>#N/A</v>
      </c>
      <c r="D1647" s="526" t="e">
        <v>#N/A</v>
      </c>
      <c r="E1647" s="526" t="e">
        <v>#N/A</v>
      </c>
      <c r="F1647" s="526" t="e">
        <v>#N/A</v>
      </c>
      <c r="G1647" s="526" t="e">
        <v>#N/A</v>
      </c>
      <c r="H1647" s="412" t="e">
        <v>#N/A</v>
      </c>
      <c r="I1647" s="411" t="e">
        <v>#N/A</v>
      </c>
      <c r="J1647" s="411" t="e">
        <v>#N/A</v>
      </c>
      <c r="K1647" s="411" t="e">
        <v>#N/A</v>
      </c>
      <c r="L1647" s="526" t="e">
        <v>#N/A</v>
      </c>
    </row>
    <row r="1648" spans="1:12" ht="15" x14ac:dyDescent="0.25">
      <c r="A1648">
        <v>335035</v>
      </c>
      <c r="B1648" t="e">
        <f t="shared" si="68"/>
        <v>#N/A</v>
      </c>
      <c r="C1648" s="198" t="e">
        <f t="shared" si="69"/>
        <v>#N/A</v>
      </c>
      <c r="D1648" s="526" t="e">
        <v>#N/A</v>
      </c>
      <c r="E1648" s="526" t="e">
        <v>#N/A</v>
      </c>
      <c r="F1648" s="526" t="e">
        <v>#N/A</v>
      </c>
      <c r="G1648" s="526" t="e">
        <v>#N/A</v>
      </c>
      <c r="H1648" s="412" t="e">
        <v>#N/A</v>
      </c>
      <c r="I1648" s="411" t="e">
        <v>#N/A</v>
      </c>
      <c r="J1648" s="411" t="e">
        <v>#N/A</v>
      </c>
      <c r="K1648" s="411" t="e">
        <v>#N/A</v>
      </c>
      <c r="L1648" s="526" t="e">
        <v>#N/A</v>
      </c>
    </row>
    <row r="1649" spans="1:12" ht="15" x14ac:dyDescent="0.25">
      <c r="A1649">
        <v>335508</v>
      </c>
      <c r="B1649" t="str">
        <f t="shared" si="68"/>
        <v>SEVROLL 04414 Pax XL úchytová lišta 2,7m strieborná</v>
      </c>
      <c r="C1649" s="198">
        <f t="shared" si="69"/>
        <v>23.2485</v>
      </c>
      <c r="D1649" s="526" t="s">
        <v>1466</v>
      </c>
      <c r="E1649" s="526" t="s">
        <v>1902</v>
      </c>
      <c r="F1649" s="526" t="s">
        <v>5942</v>
      </c>
      <c r="G1649" s="526" t="s">
        <v>2440</v>
      </c>
      <c r="H1649" s="412">
        <v>643.72846000000004</v>
      </c>
      <c r="I1649" s="411">
        <v>23.2485</v>
      </c>
      <c r="J1649" s="411">
        <v>89.892600000000002</v>
      </c>
      <c r="K1649" s="411">
        <v>8850.1086099999993</v>
      </c>
      <c r="L1649" s="526" t="s">
        <v>554</v>
      </c>
    </row>
    <row r="1650" spans="1:12" ht="15" x14ac:dyDescent="0.25">
      <c r="A1650">
        <v>335509</v>
      </c>
      <c r="B1650" t="str">
        <f t="shared" si="68"/>
        <v>SEVROLL 04421 Pax XL horná vodiaca lišta 3m strieborná</v>
      </c>
      <c r="C1650" s="198">
        <f t="shared" si="69"/>
        <v>26.680299999999999</v>
      </c>
      <c r="D1650" s="526" t="s">
        <v>1467</v>
      </c>
      <c r="E1650" s="526" t="s">
        <v>1903</v>
      </c>
      <c r="F1650" s="526" t="s">
        <v>5943</v>
      </c>
      <c r="G1650" s="526" t="s">
        <v>2441</v>
      </c>
      <c r="H1650" s="412">
        <v>738.75163999999995</v>
      </c>
      <c r="I1650" s="411">
        <v>26.680299999999999</v>
      </c>
      <c r="J1650" s="411">
        <v>103.20359999999999</v>
      </c>
      <c r="K1650" s="411">
        <v>10156.506289999999</v>
      </c>
      <c r="L1650" s="526" t="s">
        <v>554</v>
      </c>
    </row>
    <row r="1651" spans="1:12" ht="15" x14ac:dyDescent="0.25">
      <c r="A1651">
        <v>335510</v>
      </c>
      <c r="B1651" t="str">
        <f t="shared" si="68"/>
        <v>SEVROLL 04419 Pax XL spodná krycia lišta 3m 4mm strieborná</v>
      </c>
      <c r="C1651" s="198">
        <f t="shared" si="69"/>
        <v>28.847750000000001</v>
      </c>
      <c r="D1651" s="526" t="s">
        <v>3368</v>
      </c>
      <c r="E1651" s="526" t="s">
        <v>1904</v>
      </c>
      <c r="F1651" s="526" t="s">
        <v>5944</v>
      </c>
      <c r="G1651" s="526" t="s">
        <v>2442</v>
      </c>
      <c r="H1651" s="412">
        <v>798.76628000000005</v>
      </c>
      <c r="I1651" s="411">
        <v>28.847750000000001</v>
      </c>
      <c r="J1651" s="411">
        <v>111.6186</v>
      </c>
      <c r="K1651" s="411">
        <v>10981.59957</v>
      </c>
      <c r="L1651" s="526" t="s">
        <v>554</v>
      </c>
    </row>
    <row r="1652" spans="1:12" ht="15" x14ac:dyDescent="0.25">
      <c r="A1652">
        <v>335513</v>
      </c>
      <c r="B1652" t="str">
        <f t="shared" si="68"/>
        <v>SEVROLL 20167 tesnenie pre profil Pax XL</v>
      </c>
      <c r="C1652" s="198">
        <f t="shared" si="69"/>
        <v>0.59347000000000005</v>
      </c>
      <c r="D1652" s="526" t="s">
        <v>1468</v>
      </c>
      <c r="E1652" s="526" t="s">
        <v>1905</v>
      </c>
      <c r="F1652" s="526" t="s">
        <v>5945</v>
      </c>
      <c r="G1652" s="526" t="s">
        <v>2443</v>
      </c>
      <c r="H1652" s="412">
        <v>17.437449999999998</v>
      </c>
      <c r="I1652" s="411">
        <v>0.59347000000000005</v>
      </c>
      <c r="J1652" s="411">
        <v>2.1318000000000001</v>
      </c>
      <c r="K1652" s="411">
        <v>230.52885000000001</v>
      </c>
      <c r="L1652" s="526" t="s">
        <v>554</v>
      </c>
    </row>
    <row r="1653" spans="1:12" ht="15" x14ac:dyDescent="0.25">
      <c r="A1653">
        <v>335666</v>
      </c>
      <c r="B1653" t="e">
        <f t="shared" si="68"/>
        <v>#N/A</v>
      </c>
      <c r="C1653" s="198" t="e">
        <f t="shared" si="69"/>
        <v>#N/A</v>
      </c>
      <c r="D1653" s="526" t="e">
        <v>#N/A</v>
      </c>
      <c r="E1653" s="526" t="e">
        <v>#N/A</v>
      </c>
      <c r="F1653" s="526" t="e">
        <v>#N/A</v>
      </c>
      <c r="G1653" s="526" t="e">
        <v>#N/A</v>
      </c>
      <c r="H1653" s="412" t="e">
        <v>#N/A</v>
      </c>
      <c r="I1653" s="411" t="e">
        <v>#N/A</v>
      </c>
      <c r="J1653" s="411" t="e">
        <v>#N/A</v>
      </c>
      <c r="K1653" s="411" t="e">
        <v>#N/A</v>
      </c>
      <c r="L1653" s="526" t="e">
        <v>#N/A</v>
      </c>
    </row>
    <row r="1654" spans="1:12" ht="15" x14ac:dyDescent="0.25">
      <c r="A1654">
        <v>385652</v>
      </c>
      <c r="B1654" t="e">
        <f t="shared" si="68"/>
        <v>#N/A</v>
      </c>
      <c r="C1654" s="198" t="e">
        <f t="shared" si="69"/>
        <v>#N/A</v>
      </c>
      <c r="D1654" s="526" t="e">
        <v>#N/A</v>
      </c>
      <c r="E1654" s="526" t="e">
        <v>#N/A</v>
      </c>
      <c r="F1654" s="526" t="e">
        <v>#N/A</v>
      </c>
      <c r="G1654" s="526" t="e">
        <v>#N/A</v>
      </c>
      <c r="H1654" s="412" t="e">
        <v>#N/A</v>
      </c>
      <c r="I1654" s="411" t="e">
        <v>#N/A</v>
      </c>
      <c r="J1654" s="411" t="e">
        <v>#N/A</v>
      </c>
      <c r="K1654" s="411" t="e">
        <v>#N/A</v>
      </c>
      <c r="L1654" s="526" t="e">
        <v>#N/A</v>
      </c>
    </row>
    <row r="1655" spans="1:12" ht="15" x14ac:dyDescent="0.25">
      <c r="A1655">
        <v>385659</v>
      </c>
      <c r="B1655" t="e">
        <f t="shared" si="68"/>
        <v>#N/A</v>
      </c>
      <c r="C1655" s="198" t="e">
        <f t="shared" si="69"/>
        <v>#N/A</v>
      </c>
      <c r="D1655" s="526" t="e">
        <v>#N/A</v>
      </c>
      <c r="E1655" s="526" t="e">
        <v>#N/A</v>
      </c>
      <c r="F1655" s="526" t="e">
        <v>#N/A</v>
      </c>
      <c r="G1655" s="526" t="e">
        <v>#N/A</v>
      </c>
      <c r="H1655" s="412" t="e">
        <v>#N/A</v>
      </c>
      <c r="I1655" s="411" t="e">
        <v>#N/A</v>
      </c>
      <c r="J1655" s="411" t="e">
        <v>#N/A</v>
      </c>
      <c r="K1655" s="411" t="e">
        <v>#N/A</v>
      </c>
      <c r="L1655" s="526" t="e">
        <v>#N/A</v>
      </c>
    </row>
    <row r="1656" spans="1:12" ht="15" x14ac:dyDescent="0.25">
      <c r="A1656">
        <v>385660</v>
      </c>
      <c r="B1656" t="e">
        <f t="shared" si="68"/>
        <v>#N/A</v>
      </c>
      <c r="C1656" s="198" t="e">
        <f t="shared" si="69"/>
        <v>#N/A</v>
      </c>
      <c r="D1656" s="526" t="e">
        <v>#N/A</v>
      </c>
      <c r="E1656" s="526" t="e">
        <v>#N/A</v>
      </c>
      <c r="F1656" s="526" t="e">
        <v>#N/A</v>
      </c>
      <c r="G1656" s="526" t="e">
        <v>#N/A</v>
      </c>
      <c r="H1656" s="412" t="e">
        <v>#N/A</v>
      </c>
      <c r="I1656" s="411" t="e">
        <v>#N/A</v>
      </c>
      <c r="J1656" s="411" t="e">
        <v>#N/A</v>
      </c>
      <c r="K1656" s="411" t="e">
        <v>#N/A</v>
      </c>
      <c r="L1656" s="526" t="e">
        <v>#N/A</v>
      </c>
    </row>
    <row r="1657" spans="1:12" ht="15" x14ac:dyDescent="0.25">
      <c r="A1657">
        <v>385661</v>
      </c>
      <c r="B1657" t="e">
        <f t="shared" si="68"/>
        <v>#N/A</v>
      </c>
      <c r="C1657" s="198" t="e">
        <f t="shared" si="69"/>
        <v>#N/A</v>
      </c>
      <c r="D1657" s="526" t="e">
        <v>#N/A</v>
      </c>
      <c r="E1657" s="526" t="e">
        <v>#N/A</v>
      </c>
      <c r="F1657" s="526" t="e">
        <v>#N/A</v>
      </c>
      <c r="G1657" s="526" t="e">
        <v>#N/A</v>
      </c>
      <c r="H1657" s="412" t="e">
        <v>#N/A</v>
      </c>
      <c r="I1657" s="411" t="e">
        <v>#N/A</v>
      </c>
      <c r="J1657" s="411" t="e">
        <v>#N/A</v>
      </c>
      <c r="K1657" s="411" t="e">
        <v>#N/A</v>
      </c>
      <c r="L1657" s="526" t="e">
        <v>#N/A</v>
      </c>
    </row>
    <row r="1658" spans="1:12" ht="15" x14ac:dyDescent="0.25">
      <c r="A1658">
        <v>385662</v>
      </c>
      <c r="B1658" t="e">
        <f t="shared" si="68"/>
        <v>#N/A</v>
      </c>
      <c r="C1658" s="198" t="e">
        <f t="shared" si="69"/>
        <v>#N/A</v>
      </c>
      <c r="D1658" s="526" t="e">
        <v>#N/A</v>
      </c>
      <c r="E1658" s="526" t="e">
        <v>#N/A</v>
      </c>
      <c r="F1658" s="526" t="e">
        <v>#N/A</v>
      </c>
      <c r="G1658" s="526" t="e">
        <v>#N/A</v>
      </c>
      <c r="H1658" s="412" t="e">
        <v>#N/A</v>
      </c>
      <c r="I1658" s="411" t="e">
        <v>#N/A</v>
      </c>
      <c r="J1658" s="411" t="e">
        <v>#N/A</v>
      </c>
      <c r="K1658" s="411" t="e">
        <v>#N/A</v>
      </c>
      <c r="L1658" s="526" t="e">
        <v>#N/A</v>
      </c>
    </row>
    <row r="1659" spans="1:12" ht="15" x14ac:dyDescent="0.25">
      <c r="A1659">
        <v>407348</v>
      </c>
      <c r="B1659" t="e">
        <f t="shared" si="68"/>
        <v>#N/A</v>
      </c>
      <c r="C1659" s="198" t="e">
        <f t="shared" si="69"/>
        <v>#N/A</v>
      </c>
      <c r="D1659" s="526" t="e">
        <v>#N/A</v>
      </c>
      <c r="E1659" s="526" t="e">
        <v>#N/A</v>
      </c>
      <c r="F1659" s="526" t="e">
        <v>#N/A</v>
      </c>
      <c r="G1659" s="526" t="e">
        <v>#N/A</v>
      </c>
      <c r="H1659" s="412" t="e">
        <v>#N/A</v>
      </c>
      <c r="I1659" s="411" t="e">
        <v>#N/A</v>
      </c>
      <c r="J1659" s="411" t="e">
        <v>#N/A</v>
      </c>
      <c r="K1659" s="411" t="e">
        <v>#N/A</v>
      </c>
      <c r="L1659" s="526" t="e">
        <v>#N/A</v>
      </c>
    </row>
    <row r="1660" spans="1:12" ht="15" x14ac:dyDescent="0.25">
      <c r="A1660">
        <v>456957</v>
      </c>
      <c r="B1660" t="e">
        <f t="shared" ref="B1660:B1701" si="70">IF($A$2=1,D1660,IF($A$2=2,F1660,IF($A$2=3,G1660,IF($A$2=4,E1660,"zadat jazyk"))))</f>
        <v>#N/A</v>
      </c>
      <c r="C1660" s="198" t="e">
        <f t="shared" ref="C1660:C1701" si="71">IF($A$2=1,H1660,IF($A$2=2,I1660,IF($A$2=3,J1660,IF($A$2=4,K1660,"zadat jazyk"))))</f>
        <v>#N/A</v>
      </c>
      <c r="D1660" s="526" t="e">
        <v>#N/A</v>
      </c>
      <c r="E1660" s="526" t="e">
        <v>#N/A</v>
      </c>
      <c r="F1660" s="526" t="e">
        <v>#N/A</v>
      </c>
      <c r="G1660" s="526" t="e">
        <v>#N/A</v>
      </c>
      <c r="H1660" s="412" t="e">
        <v>#N/A</v>
      </c>
      <c r="I1660" s="411" t="e">
        <v>#N/A</v>
      </c>
      <c r="J1660" s="411" t="e">
        <v>#N/A</v>
      </c>
      <c r="K1660" s="411" t="e">
        <v>#N/A</v>
      </c>
      <c r="L1660" s="526" t="e">
        <v>#N/A</v>
      </c>
    </row>
    <row r="1661" spans="1:12" ht="15" x14ac:dyDescent="0.25">
      <c r="A1661">
        <v>457354</v>
      </c>
      <c r="B1661" t="str">
        <f t="shared" si="70"/>
        <v>SEVROLL 04511-M Era úchytová lišta 18mm 2,70m oliva new</v>
      </c>
      <c r="C1661" s="198" t="e">
        <f t="shared" si="71"/>
        <v>#N/A</v>
      </c>
      <c r="D1661" s="526" t="s">
        <v>1469</v>
      </c>
      <c r="E1661" s="526" t="s">
        <v>5946</v>
      </c>
      <c r="F1661" s="526" t="s">
        <v>1469</v>
      </c>
      <c r="G1661" s="526" t="s">
        <v>5947</v>
      </c>
      <c r="H1661" s="412" t="e">
        <v>#N/A</v>
      </c>
      <c r="I1661" s="411" t="e">
        <v>#N/A</v>
      </c>
      <c r="J1661" s="411" t="e">
        <v>#N/A</v>
      </c>
      <c r="K1661" s="411" t="e">
        <v>#N/A</v>
      </c>
      <c r="L1661" s="526" t="e">
        <v>#N/A</v>
      </c>
    </row>
    <row r="1662" spans="1:12" ht="15" x14ac:dyDescent="0.25">
      <c r="A1662">
        <v>457371</v>
      </c>
      <c r="B1662" t="str">
        <f t="shared" si="70"/>
        <v>SEVROLL 04470-M Blue horné vedenie  6m oliva new</v>
      </c>
      <c r="C1662" s="198" t="e">
        <f t="shared" si="71"/>
        <v>#N/A</v>
      </c>
      <c r="D1662" s="526" t="s">
        <v>1470</v>
      </c>
      <c r="E1662" s="526" t="s">
        <v>5948</v>
      </c>
      <c r="F1662" s="526" t="s">
        <v>5949</v>
      </c>
      <c r="G1662" s="526" t="s">
        <v>5950</v>
      </c>
      <c r="H1662" s="412" t="e">
        <v>#N/A</v>
      </c>
      <c r="I1662" s="411" t="e">
        <v>#N/A</v>
      </c>
      <c r="J1662" s="411" t="e">
        <v>#N/A</v>
      </c>
      <c r="K1662" s="411" t="e">
        <v>#N/A</v>
      </c>
      <c r="L1662" s="526" t="e">
        <v>#N/A</v>
      </c>
    </row>
    <row r="1663" spans="1:12" ht="15" x14ac:dyDescent="0.25">
      <c r="A1663">
        <v>457372</v>
      </c>
      <c r="B1663" t="str">
        <f t="shared" si="70"/>
        <v>SEVROLL 04494-M Blue-V spodné vedenie  6m oliva new</v>
      </c>
      <c r="C1663" s="198" t="e">
        <f t="shared" si="71"/>
        <v>#N/A</v>
      </c>
      <c r="D1663" s="526" t="s">
        <v>1471</v>
      </c>
      <c r="E1663" s="526" t="s">
        <v>5951</v>
      </c>
      <c r="F1663" s="526" t="s">
        <v>5952</v>
      </c>
      <c r="G1663" s="526" t="s">
        <v>5953</v>
      </c>
      <c r="H1663" s="412" t="e">
        <v>#N/A</v>
      </c>
      <c r="I1663" s="411" t="e">
        <v>#N/A</v>
      </c>
      <c r="J1663" s="411" t="e">
        <v>#N/A</v>
      </c>
      <c r="K1663" s="411" t="e">
        <v>#N/A</v>
      </c>
      <c r="L1663" s="526" t="e">
        <v>#N/A</v>
      </c>
    </row>
    <row r="1664" spans="1:12" ht="15" x14ac:dyDescent="0.25">
      <c r="A1664">
        <v>457373</v>
      </c>
      <c r="B1664" t="str">
        <f t="shared" si="70"/>
        <v>SEVROLL 04459-M horná vodiaca lišta Simple/Blue 3m (lamino 18mm) oliva new</v>
      </c>
      <c r="C1664" s="198" t="e">
        <f t="shared" si="71"/>
        <v>#N/A</v>
      </c>
      <c r="D1664" s="526" t="s">
        <v>1472</v>
      </c>
      <c r="E1664" s="526" t="s">
        <v>5954</v>
      </c>
      <c r="F1664" s="526" t="s">
        <v>5955</v>
      </c>
      <c r="G1664" s="526" t="s">
        <v>5956</v>
      </c>
      <c r="H1664" s="412" t="e">
        <v>#N/A</v>
      </c>
      <c r="I1664" s="411" t="e">
        <v>#N/A</v>
      </c>
      <c r="J1664" s="411" t="e">
        <v>#N/A</v>
      </c>
      <c r="K1664" s="411" t="e">
        <v>#N/A</v>
      </c>
      <c r="L1664" s="526" t="e">
        <v>#N/A</v>
      </c>
    </row>
    <row r="1665" spans="1:12" ht="15" x14ac:dyDescent="0.25">
      <c r="A1665">
        <v>457390</v>
      </c>
      <c r="B1665" t="str">
        <f t="shared" si="70"/>
        <v>SEVROLL 04451-M spodná krycia lišta Simple/Blue 3m (lamino 18mm) oliva new</v>
      </c>
      <c r="C1665" s="198" t="e">
        <f t="shared" si="71"/>
        <v>#N/A</v>
      </c>
      <c r="D1665" s="526" t="s">
        <v>1473</v>
      </c>
      <c r="E1665" s="526" t="s">
        <v>5957</v>
      </c>
      <c r="F1665" s="526" t="s">
        <v>5958</v>
      </c>
      <c r="G1665" s="526" t="s">
        <v>2444</v>
      </c>
      <c r="H1665" s="412" t="e">
        <v>#N/A</v>
      </c>
      <c r="I1665" s="411" t="e">
        <v>#N/A</v>
      </c>
      <c r="J1665" s="411" t="e">
        <v>#N/A</v>
      </c>
      <c r="K1665" s="411" t="e">
        <v>#N/A</v>
      </c>
      <c r="L1665" s="526" t="e">
        <v>#N/A</v>
      </c>
    </row>
    <row r="1666" spans="1:12" ht="15" x14ac:dyDescent="0.25">
      <c r="A1666">
        <v>384363</v>
      </c>
      <c r="B1666" t="str">
        <f t="shared" si="70"/>
        <v>SEVROLL 219-043 držiak horného vedenia pre lamino 25 - 45mm</v>
      </c>
      <c r="C1666" s="198">
        <f t="shared" si="71"/>
        <v>2.3222700000000001</v>
      </c>
      <c r="D1666" s="526" t="s">
        <v>1474</v>
      </c>
      <c r="E1666" s="526" t="s">
        <v>1906</v>
      </c>
      <c r="F1666" s="526" t="s">
        <v>5959</v>
      </c>
      <c r="G1666" s="526" t="s">
        <v>5960</v>
      </c>
      <c r="H1666" s="412">
        <v>61.294499999999999</v>
      </c>
      <c r="I1666" s="411">
        <v>2.3222700000000001</v>
      </c>
      <c r="J1666" s="411">
        <v>7.9903700000000004</v>
      </c>
      <c r="K1666" s="411">
        <v>855.17307000000005</v>
      </c>
      <c r="L1666" s="526" t="s">
        <v>554</v>
      </c>
    </row>
    <row r="1667" spans="1:12" ht="15" x14ac:dyDescent="0.25">
      <c r="A1667">
        <v>385004</v>
      </c>
      <c r="B1667" t="str">
        <f t="shared" si="70"/>
        <v/>
      </c>
      <c r="C1667" s="198">
        <f t="shared" si="71"/>
        <v>0</v>
      </c>
      <c r="D1667" s="526" t="s">
        <v>1475</v>
      </c>
      <c r="E1667" s="526" t="s">
        <v>71</v>
      </c>
      <c r="F1667" s="526" t="s">
        <v>71</v>
      </c>
      <c r="G1667" s="526" t="s">
        <v>71</v>
      </c>
      <c r="H1667" s="412">
        <v>0</v>
      </c>
      <c r="I1667" s="411">
        <v>0</v>
      </c>
      <c r="J1667" s="411">
        <v>0</v>
      </c>
      <c r="K1667" s="411">
        <v>1</v>
      </c>
      <c r="L1667" s="526" t="s">
        <v>556</v>
      </c>
    </row>
    <row r="1668" spans="1:12" ht="15" x14ac:dyDescent="0.25">
      <c r="A1668">
        <v>385007</v>
      </c>
      <c r="B1668" t="str">
        <f t="shared" si="70"/>
        <v/>
      </c>
      <c r="C1668" s="198">
        <f t="shared" si="71"/>
        <v>4.8164800000000003</v>
      </c>
      <c r="D1668" s="526" t="s">
        <v>1476</v>
      </c>
      <c r="E1668" s="526" t="s">
        <v>71</v>
      </c>
      <c r="F1668" s="526" t="s">
        <v>71</v>
      </c>
      <c r="G1668" s="526" t="s">
        <v>71</v>
      </c>
      <c r="H1668" s="412">
        <v>135.50897000000001</v>
      </c>
      <c r="I1668" s="411">
        <v>4.8164800000000003</v>
      </c>
      <c r="J1668" s="411">
        <v>18.35596</v>
      </c>
      <c r="K1668" s="411">
        <v>1886.0604800000001</v>
      </c>
      <c r="L1668" s="526" t="s">
        <v>556</v>
      </c>
    </row>
    <row r="1669" spans="1:12" ht="15" x14ac:dyDescent="0.25">
      <c r="A1669">
        <v>385008</v>
      </c>
      <c r="B1669" t="str">
        <f t="shared" si="70"/>
        <v/>
      </c>
      <c r="C1669" s="198">
        <f t="shared" si="71"/>
        <v>0</v>
      </c>
      <c r="D1669" s="526" t="s">
        <v>1319</v>
      </c>
      <c r="E1669" s="526" t="s">
        <v>1772</v>
      </c>
      <c r="F1669" s="526" t="s">
        <v>71</v>
      </c>
      <c r="G1669" s="526" t="s">
        <v>71</v>
      </c>
      <c r="H1669" s="412">
        <v>0</v>
      </c>
      <c r="I1669" s="411">
        <v>0</v>
      </c>
      <c r="J1669" s="411">
        <v>0</v>
      </c>
      <c r="K1669" s="411">
        <v>0</v>
      </c>
      <c r="L1669" s="526" t="s">
        <v>555</v>
      </c>
    </row>
    <row r="1670" spans="1:12" ht="15" x14ac:dyDescent="0.25">
      <c r="A1670">
        <v>298573</v>
      </c>
      <c r="B1670" t="e">
        <f t="shared" si="70"/>
        <v>#N/A</v>
      </c>
      <c r="C1670" s="198" t="e">
        <f t="shared" si="71"/>
        <v>#N/A</v>
      </c>
      <c r="D1670" s="526" t="e">
        <v>#N/A</v>
      </c>
      <c r="E1670" s="526" t="e">
        <v>#N/A</v>
      </c>
      <c r="F1670" s="526" t="e">
        <v>#N/A</v>
      </c>
      <c r="G1670" s="526" t="e">
        <v>#N/A</v>
      </c>
      <c r="H1670" s="412" t="e">
        <v>#N/A</v>
      </c>
      <c r="I1670" s="411" t="e">
        <v>#N/A</v>
      </c>
      <c r="J1670" s="411" t="e">
        <v>#N/A</v>
      </c>
      <c r="K1670" s="411" t="e">
        <v>#N/A</v>
      </c>
      <c r="L1670" s="526" t="e">
        <v>#N/A</v>
      </c>
    </row>
    <row r="1671" spans="1:12" ht="15" x14ac:dyDescent="0.25">
      <c r="A1671">
        <v>298666</v>
      </c>
      <c r="B1671" t="e">
        <f t="shared" si="70"/>
        <v>#N/A</v>
      </c>
      <c r="C1671" s="198" t="e">
        <f t="shared" si="71"/>
        <v>#N/A</v>
      </c>
      <c r="D1671" s="526" t="e">
        <v>#N/A</v>
      </c>
      <c r="E1671" s="526" t="e">
        <v>#N/A</v>
      </c>
      <c r="F1671" s="526" t="e">
        <v>#N/A</v>
      </c>
      <c r="G1671" s="526" t="e">
        <v>#N/A</v>
      </c>
      <c r="H1671" s="412" t="e">
        <v>#N/A</v>
      </c>
      <c r="I1671" s="411" t="e">
        <v>#N/A</v>
      </c>
      <c r="J1671" s="411" t="e">
        <v>#N/A</v>
      </c>
      <c r="K1671" s="411" t="e">
        <v>#N/A</v>
      </c>
      <c r="L1671" s="526" t="e">
        <v>#N/A</v>
      </c>
    </row>
    <row r="1672" spans="1:12" ht="15" x14ac:dyDescent="0.25">
      <c r="A1672">
        <v>346308</v>
      </c>
      <c r="B1672" t="e">
        <f t="shared" si="70"/>
        <v>#N/A</v>
      </c>
      <c r="C1672" s="198" t="e">
        <f t="shared" si="71"/>
        <v>#N/A</v>
      </c>
      <c r="D1672" s="526" t="e">
        <v>#N/A</v>
      </c>
      <c r="E1672" s="526" t="e">
        <v>#N/A</v>
      </c>
      <c r="F1672" s="526" t="e">
        <v>#N/A</v>
      </c>
      <c r="G1672" s="526" t="e">
        <v>#N/A</v>
      </c>
      <c r="H1672" s="412" t="e">
        <v>#N/A</v>
      </c>
      <c r="I1672" s="411" t="e">
        <v>#N/A</v>
      </c>
      <c r="J1672" s="411" t="e">
        <v>#N/A</v>
      </c>
      <c r="K1672" s="411" t="e">
        <v>#N/A</v>
      </c>
      <c r="L1672" s="526" t="e">
        <v>#N/A</v>
      </c>
    </row>
    <row r="1673" spans="1:12" ht="15" x14ac:dyDescent="0.25">
      <c r="A1673">
        <v>346310</v>
      </c>
      <c r="B1673" t="e">
        <f t="shared" si="70"/>
        <v>#N/A</v>
      </c>
      <c r="C1673" s="198" t="e">
        <f t="shared" si="71"/>
        <v>#N/A</v>
      </c>
      <c r="D1673" s="526" t="e">
        <v>#N/A</v>
      </c>
      <c r="E1673" s="526" t="e">
        <v>#N/A</v>
      </c>
      <c r="F1673" s="526" t="e">
        <v>#N/A</v>
      </c>
      <c r="G1673" s="526" t="e">
        <v>#N/A</v>
      </c>
      <c r="H1673" s="412" t="e">
        <v>#N/A</v>
      </c>
      <c r="I1673" s="411" t="e">
        <v>#N/A</v>
      </c>
      <c r="J1673" s="411" t="e">
        <v>#N/A</v>
      </c>
      <c r="K1673" s="411" t="e">
        <v>#N/A</v>
      </c>
      <c r="L1673" s="526" t="e">
        <v>#N/A</v>
      </c>
    </row>
    <row r="1674" spans="1:12" ht="15" x14ac:dyDescent="0.25">
      <c r="A1674">
        <v>346311</v>
      </c>
      <c r="B1674" t="e">
        <f t="shared" si="70"/>
        <v>#N/A</v>
      </c>
      <c r="C1674" s="198" t="e">
        <f t="shared" si="71"/>
        <v>#N/A</v>
      </c>
      <c r="D1674" s="526" t="e">
        <v>#N/A</v>
      </c>
      <c r="E1674" s="526" t="e">
        <v>#N/A</v>
      </c>
      <c r="F1674" s="526" t="e">
        <v>#N/A</v>
      </c>
      <c r="G1674" s="526" t="e">
        <v>#N/A</v>
      </c>
      <c r="H1674" s="412" t="e">
        <v>#N/A</v>
      </c>
      <c r="I1674" s="411" t="e">
        <v>#N/A</v>
      </c>
      <c r="J1674" s="411" t="e">
        <v>#N/A</v>
      </c>
      <c r="K1674" s="411" t="e">
        <v>#N/A</v>
      </c>
      <c r="L1674" s="526" t="e">
        <v>#N/A</v>
      </c>
    </row>
    <row r="1675" spans="1:12" ht="15" x14ac:dyDescent="0.25">
      <c r="A1675">
        <v>346617</v>
      </c>
      <c r="B1675" t="e">
        <f t="shared" si="70"/>
        <v>#N/A</v>
      </c>
      <c r="C1675" s="198" t="e">
        <f t="shared" si="71"/>
        <v>#N/A</v>
      </c>
      <c r="D1675" s="526" t="e">
        <v>#N/A</v>
      </c>
      <c r="E1675" s="526" t="e">
        <v>#N/A</v>
      </c>
      <c r="F1675" s="526" t="e">
        <v>#N/A</v>
      </c>
      <c r="G1675" s="526" t="e">
        <v>#N/A</v>
      </c>
      <c r="H1675" s="412" t="e">
        <v>#N/A</v>
      </c>
      <c r="I1675" s="411" t="e">
        <v>#N/A</v>
      </c>
      <c r="J1675" s="411" t="e">
        <v>#N/A</v>
      </c>
      <c r="K1675" s="411" t="e">
        <v>#N/A</v>
      </c>
      <c r="L1675" s="526" t="e">
        <v>#N/A</v>
      </c>
    </row>
    <row r="1676" spans="1:12" ht="15" x14ac:dyDescent="0.25">
      <c r="A1676">
        <v>346618</v>
      </c>
      <c r="B1676" t="e">
        <f t="shared" si="70"/>
        <v>#N/A</v>
      </c>
      <c r="C1676" s="198" t="e">
        <f t="shared" si="71"/>
        <v>#N/A</v>
      </c>
      <c r="D1676" s="526" t="e">
        <v>#N/A</v>
      </c>
      <c r="E1676" s="526" t="e">
        <v>#N/A</v>
      </c>
      <c r="F1676" s="526" t="e">
        <v>#N/A</v>
      </c>
      <c r="G1676" s="526" t="e">
        <v>#N/A</v>
      </c>
      <c r="H1676" s="412" t="e">
        <v>#N/A</v>
      </c>
      <c r="I1676" s="411" t="e">
        <v>#N/A</v>
      </c>
      <c r="J1676" s="411" t="e">
        <v>#N/A</v>
      </c>
      <c r="K1676" s="411" t="e">
        <v>#N/A</v>
      </c>
      <c r="L1676" s="526" t="e">
        <v>#N/A</v>
      </c>
    </row>
    <row r="1677" spans="1:12" ht="15" x14ac:dyDescent="0.25">
      <c r="A1677">
        <v>405364</v>
      </c>
      <c r="B1677" t="str">
        <f t="shared" si="70"/>
        <v>SEVROLL 05292 profil "U" pre lamino 18mm 3m čierna lesk</v>
      </c>
      <c r="C1677" s="198">
        <f t="shared" si="71"/>
        <v>6.1411100000000003</v>
      </c>
      <c r="D1677" s="526" t="s">
        <v>1477</v>
      </c>
      <c r="E1677" s="526" t="s">
        <v>1907</v>
      </c>
      <c r="F1677" s="526" t="s">
        <v>5961</v>
      </c>
      <c r="G1677" s="526" t="s">
        <v>2445</v>
      </c>
      <c r="H1677" s="412">
        <v>170.04148000000001</v>
      </c>
      <c r="I1677" s="411">
        <v>6.1411100000000003</v>
      </c>
      <c r="J1677" s="411">
        <v>27.009599999999999</v>
      </c>
      <c r="K1677" s="411">
        <v>2337.7643699999999</v>
      </c>
      <c r="L1677" s="526" t="s">
        <v>554</v>
      </c>
    </row>
    <row r="1678" spans="1:12" ht="15" x14ac:dyDescent="0.25">
      <c r="A1678">
        <v>405365</v>
      </c>
      <c r="B1678" t="str">
        <f t="shared" si="70"/>
        <v>SEVROLL 05138 uholník Mini 17x11mm 1,7m čiena lesk</v>
      </c>
      <c r="C1678" s="198">
        <f t="shared" si="71"/>
        <v>3.1479699999999999</v>
      </c>
      <c r="D1678" s="526" t="s">
        <v>5962</v>
      </c>
      <c r="E1678" s="526" t="s">
        <v>5963</v>
      </c>
      <c r="F1678" s="526" t="s">
        <v>5964</v>
      </c>
      <c r="G1678" s="526" t="s">
        <v>5965</v>
      </c>
      <c r="H1678" s="412">
        <v>87.164119999999997</v>
      </c>
      <c r="I1678" s="411">
        <v>3.1479699999999999</v>
      </c>
      <c r="J1678" s="411">
        <v>12.2094</v>
      </c>
      <c r="K1678" s="411">
        <v>1198.3500300000001</v>
      </c>
      <c r="L1678" s="526" t="s">
        <v>553</v>
      </c>
    </row>
    <row r="1679" spans="1:12" ht="15" x14ac:dyDescent="0.25">
      <c r="A1679">
        <v>405366</v>
      </c>
      <c r="B1679" t="str">
        <f t="shared" si="70"/>
        <v>SEVROLL 05139 uholník Mini 17x11mm 2,35m čierna lesk</v>
      </c>
      <c r="C1679" s="198">
        <f t="shared" si="71"/>
        <v>4.3607100000000001</v>
      </c>
      <c r="D1679" s="526" t="s">
        <v>5966</v>
      </c>
      <c r="E1679" s="526" t="s">
        <v>5967</v>
      </c>
      <c r="F1679" s="526" t="s">
        <v>5968</v>
      </c>
      <c r="G1679" s="526" t="s">
        <v>5969</v>
      </c>
      <c r="H1679" s="412">
        <v>120.74374</v>
      </c>
      <c r="I1679" s="411">
        <v>4.3607100000000001</v>
      </c>
      <c r="J1679" s="411">
        <v>16.901399999999999</v>
      </c>
      <c r="K1679" s="411">
        <v>1660.00919</v>
      </c>
      <c r="L1679" s="526" t="s">
        <v>553</v>
      </c>
    </row>
    <row r="1680" spans="1:12" ht="15" x14ac:dyDescent="0.25">
      <c r="A1680">
        <v>405367</v>
      </c>
      <c r="B1680" t="str">
        <f t="shared" si="70"/>
        <v>SEVROLL 05140 uholník Mini 17x11mm 3m čierna lesk</v>
      </c>
      <c r="C1680" s="198">
        <f t="shared" si="71"/>
        <v>5.5734500000000002</v>
      </c>
      <c r="D1680" s="526" t="s">
        <v>5970</v>
      </c>
      <c r="E1680" s="526" t="s">
        <v>5971</v>
      </c>
      <c r="F1680" s="526" t="s">
        <v>5972</v>
      </c>
      <c r="G1680" s="526" t="s">
        <v>5973</v>
      </c>
      <c r="H1680" s="412">
        <v>154.32336000000001</v>
      </c>
      <c r="I1680" s="411">
        <v>5.5734500000000002</v>
      </c>
      <c r="J1680" s="411">
        <v>21.583200000000001</v>
      </c>
      <c r="K1680" s="411">
        <v>2121.6687099999999</v>
      </c>
      <c r="L1680" s="526" t="s">
        <v>553</v>
      </c>
    </row>
    <row r="1681" spans="1:12" ht="15" x14ac:dyDescent="0.25">
      <c r="A1681">
        <v>405369</v>
      </c>
      <c r="B1681" t="str">
        <f t="shared" si="70"/>
        <v>SEVROLL 05144 Gemini 10 spodná krycia lišta 1,7m 10mm čierna lesk</v>
      </c>
      <c r="C1681" s="198">
        <f t="shared" si="71"/>
        <v>18.887799999999999</v>
      </c>
      <c r="D1681" s="526" t="s">
        <v>3468</v>
      </c>
      <c r="E1681" s="526" t="s">
        <v>1908</v>
      </c>
      <c r="F1681" s="526" t="s">
        <v>5974</v>
      </c>
      <c r="G1681" s="526" t="s">
        <v>5975</v>
      </c>
      <c r="H1681" s="412">
        <v>522.98472000000004</v>
      </c>
      <c r="I1681" s="411">
        <v>18.887799999999999</v>
      </c>
      <c r="J1681" s="411">
        <v>70.369799999999998</v>
      </c>
      <c r="K1681" s="411">
        <v>7190.0994300000002</v>
      </c>
      <c r="L1681" s="526" t="s">
        <v>553</v>
      </c>
    </row>
    <row r="1682" spans="1:12" ht="15" x14ac:dyDescent="0.25">
      <c r="A1682">
        <v>405375</v>
      </c>
      <c r="B1682" t="str">
        <f t="shared" si="70"/>
        <v>SEVROLL 05145 Gemini 10 spodná krycia lišta 2,35m 10mm čierna lesk</v>
      </c>
      <c r="C1682" s="198">
        <f t="shared" si="71"/>
        <v>26.086829999999999</v>
      </c>
      <c r="D1682" s="526" t="s">
        <v>3469</v>
      </c>
      <c r="E1682" s="526" t="s">
        <v>1909</v>
      </c>
      <c r="F1682" s="526" t="s">
        <v>5976</v>
      </c>
      <c r="G1682" s="526" t="s">
        <v>5977</v>
      </c>
      <c r="H1682" s="412">
        <v>722.31906000000004</v>
      </c>
      <c r="I1682" s="411">
        <v>26.086829999999999</v>
      </c>
      <c r="J1682" s="411">
        <v>97.287599999999998</v>
      </c>
      <c r="K1682" s="411">
        <v>9930.5880099999995</v>
      </c>
      <c r="L1682" s="526" t="s">
        <v>553</v>
      </c>
    </row>
    <row r="1683" spans="1:12" ht="15" x14ac:dyDescent="0.25">
      <c r="A1683">
        <v>405376</v>
      </c>
      <c r="B1683" t="str">
        <f t="shared" si="70"/>
        <v>SEVROLL 05183 Gemini 10 spodná krycia lišta 3m 10mm čierna lesk</v>
      </c>
      <c r="C1683" s="198">
        <f t="shared" si="71"/>
        <v>33.38908</v>
      </c>
      <c r="D1683" s="526" t="s">
        <v>3470</v>
      </c>
      <c r="E1683" s="526" t="s">
        <v>1910</v>
      </c>
      <c r="F1683" s="526" t="s">
        <v>5978</v>
      </c>
      <c r="G1683" s="526" t="s">
        <v>5979</v>
      </c>
      <c r="H1683" s="412">
        <v>924.51124000000004</v>
      </c>
      <c r="I1683" s="411">
        <v>33.38908</v>
      </c>
      <c r="J1683" s="411">
        <v>124.22580000000001</v>
      </c>
      <c r="K1683" s="411">
        <v>12710.366690000001</v>
      </c>
      <c r="L1683" s="526" t="s">
        <v>553</v>
      </c>
    </row>
    <row r="1684" spans="1:12" ht="15" x14ac:dyDescent="0.25">
      <c r="A1684">
        <v>405377</v>
      </c>
      <c r="B1684" t="str">
        <f t="shared" si="70"/>
        <v>SEVROLL 05149 horná vodiaca lišta 1,7m čierna lesk</v>
      </c>
      <c r="C1684" s="198">
        <f t="shared" si="71"/>
        <v>10.39861</v>
      </c>
      <c r="D1684" s="526" t="s">
        <v>1481</v>
      </c>
      <c r="E1684" s="526" t="s">
        <v>1911</v>
      </c>
      <c r="F1684" s="526" t="s">
        <v>5980</v>
      </c>
      <c r="G1684" s="526" t="s">
        <v>2446</v>
      </c>
      <c r="H1684" s="412">
        <v>287.92738000000003</v>
      </c>
      <c r="I1684" s="411">
        <v>10.39861</v>
      </c>
      <c r="J1684" s="411">
        <v>59.986199999999997</v>
      </c>
      <c r="K1684" s="411">
        <v>3958.4834700000001</v>
      </c>
      <c r="L1684" s="526" t="s">
        <v>553</v>
      </c>
    </row>
    <row r="1685" spans="1:12" ht="15" x14ac:dyDescent="0.25">
      <c r="A1685">
        <v>405379</v>
      </c>
      <c r="B1685" t="str">
        <f t="shared" si="70"/>
        <v>SEVROLL 05150 horná vodiaca lišta 2,35m černa lesk</v>
      </c>
      <c r="C1685" s="198">
        <f t="shared" si="71"/>
        <v>14.398070000000001</v>
      </c>
      <c r="D1685" s="526" t="s">
        <v>1482</v>
      </c>
      <c r="E1685" s="526" t="s">
        <v>1912</v>
      </c>
      <c r="F1685" s="526" t="s">
        <v>5981</v>
      </c>
      <c r="G1685" s="526" t="s">
        <v>2447</v>
      </c>
      <c r="H1685" s="412">
        <v>398.66867999999999</v>
      </c>
      <c r="I1685" s="411">
        <v>14.398070000000001</v>
      </c>
      <c r="J1685" s="411">
        <v>82.936199999999999</v>
      </c>
      <c r="K1685" s="411">
        <v>5480.9771700000001</v>
      </c>
      <c r="L1685" s="526" t="s">
        <v>553</v>
      </c>
    </row>
    <row r="1686" spans="1:12" ht="15" x14ac:dyDescent="0.25">
      <c r="A1686">
        <v>405382</v>
      </c>
      <c r="B1686" t="str">
        <f t="shared" si="70"/>
        <v>SEVROLL 05184 horná vodiaca lišta 3m čierna lesk</v>
      </c>
      <c r="C1686" s="198">
        <f t="shared" si="71"/>
        <v>18.371739999999999</v>
      </c>
      <c r="D1686" s="526" t="s">
        <v>1483</v>
      </c>
      <c r="E1686" s="526" t="s">
        <v>1913</v>
      </c>
      <c r="F1686" s="526" t="s">
        <v>5982</v>
      </c>
      <c r="G1686" s="526" t="s">
        <v>2448</v>
      </c>
      <c r="H1686" s="412">
        <v>508.69551999999999</v>
      </c>
      <c r="I1686" s="411">
        <v>18.371739999999999</v>
      </c>
      <c r="J1686" s="411">
        <v>105.8454</v>
      </c>
      <c r="K1686" s="411">
        <v>6993.6486299999997</v>
      </c>
      <c r="L1686" s="526" t="s">
        <v>553</v>
      </c>
    </row>
    <row r="1687" spans="1:12" ht="15" x14ac:dyDescent="0.25">
      <c r="A1687">
        <v>405392</v>
      </c>
      <c r="B1687" t="str">
        <f t="shared" si="70"/>
        <v>SEVROLL 05294 spojovacia lišta H18 3m čierna lesk</v>
      </c>
      <c r="C1687" s="198">
        <f t="shared" si="71"/>
        <v>15.456</v>
      </c>
      <c r="D1687" s="526" t="s">
        <v>1484</v>
      </c>
      <c r="E1687" s="526" t="s">
        <v>1914</v>
      </c>
      <c r="F1687" s="526" t="s">
        <v>5983</v>
      </c>
      <c r="G1687" s="526" t="s">
        <v>2449</v>
      </c>
      <c r="H1687" s="412">
        <v>427.96154000000001</v>
      </c>
      <c r="I1687" s="411">
        <v>15.456</v>
      </c>
      <c r="J1687" s="411">
        <v>62.464799999999997</v>
      </c>
      <c r="K1687" s="411">
        <v>5883.7013900000002</v>
      </c>
      <c r="L1687" s="526" t="s">
        <v>553</v>
      </c>
    </row>
    <row r="1688" spans="1:12" ht="15" x14ac:dyDescent="0.25">
      <c r="A1688">
        <v>405393</v>
      </c>
      <c r="B1688" t="str">
        <f t="shared" si="70"/>
        <v>SEVROLL 05155 Elegant II spodne vedenie 1,7m čierna lesk</v>
      </c>
      <c r="C1688" s="198">
        <f t="shared" si="71"/>
        <v>10.74747</v>
      </c>
      <c r="D1688" s="526" t="s">
        <v>1485</v>
      </c>
      <c r="E1688" s="526" t="s">
        <v>1915</v>
      </c>
      <c r="F1688" s="526" t="s">
        <v>5984</v>
      </c>
      <c r="G1688" s="526" t="s">
        <v>5985</v>
      </c>
      <c r="H1688" s="412">
        <v>297.92982000000001</v>
      </c>
      <c r="I1688" s="411">
        <v>10.74747</v>
      </c>
      <c r="J1688" s="411">
        <v>40.698</v>
      </c>
      <c r="K1688" s="411">
        <v>4091.2844</v>
      </c>
      <c r="L1688" s="526" t="s">
        <v>553</v>
      </c>
    </row>
    <row r="1689" spans="1:12" ht="15" x14ac:dyDescent="0.25">
      <c r="A1689">
        <v>405403</v>
      </c>
      <c r="B1689" t="str">
        <f t="shared" si="70"/>
        <v>SEVROLL 05157 Elegant II spodné vedenie 3m čierna lesk</v>
      </c>
      <c r="C1689" s="198">
        <f t="shared" si="71"/>
        <v>18.777889999999999</v>
      </c>
      <c r="D1689" s="526" t="s">
        <v>1486</v>
      </c>
      <c r="E1689" s="526" t="s">
        <v>1916</v>
      </c>
      <c r="F1689" s="526" t="s">
        <v>5986</v>
      </c>
      <c r="G1689" s="526" t="s">
        <v>5987</v>
      </c>
      <c r="H1689" s="412">
        <v>520.12688000000003</v>
      </c>
      <c r="I1689" s="411">
        <v>18.777889999999999</v>
      </c>
      <c r="J1689" s="411">
        <v>71.808000000000007</v>
      </c>
      <c r="K1689" s="411">
        <v>7148.2553099999996</v>
      </c>
      <c r="L1689" s="526" t="s">
        <v>553</v>
      </c>
    </row>
    <row r="1690" spans="1:12" ht="15" x14ac:dyDescent="0.25">
      <c r="A1690">
        <v>405404</v>
      </c>
      <c r="B1690" t="str">
        <f t="shared" si="70"/>
        <v>SEVROLL 05158 Elegant II spodné vedenie 4,05m čierna lesk</v>
      </c>
      <c r="C1690" s="198">
        <f t="shared" si="71"/>
        <v>25.449750000000002</v>
      </c>
      <c r="D1690" s="526" t="s">
        <v>1487</v>
      </c>
      <c r="E1690" s="526" t="s">
        <v>1917</v>
      </c>
      <c r="F1690" s="526" t="s">
        <v>5988</v>
      </c>
      <c r="G1690" s="526" t="s">
        <v>5989</v>
      </c>
      <c r="H1690" s="412">
        <v>704.45755999999994</v>
      </c>
      <c r="I1690" s="411">
        <v>25.449750000000002</v>
      </c>
      <c r="J1690" s="411">
        <v>96.930599999999998</v>
      </c>
      <c r="K1690" s="411">
        <v>9688.0696700000008</v>
      </c>
      <c r="L1690" s="526" t="s">
        <v>553</v>
      </c>
    </row>
    <row r="1691" spans="1:12" ht="15" x14ac:dyDescent="0.25">
      <c r="A1691">
        <v>405406</v>
      </c>
      <c r="B1691" t="str">
        <f t="shared" si="70"/>
        <v>SEVROLL 05159 Elegant II spodné vedenie 6m čierna lesk</v>
      </c>
      <c r="C1691" s="198">
        <f t="shared" si="71"/>
        <v>37.585949999999997</v>
      </c>
      <c r="D1691" s="526" t="s">
        <v>1488</v>
      </c>
      <c r="E1691" s="526" t="s">
        <v>1918</v>
      </c>
      <c r="F1691" s="526" t="s">
        <v>5990</v>
      </c>
      <c r="G1691" s="526" t="s">
        <v>2450</v>
      </c>
      <c r="H1691" s="412">
        <v>1040.96822</v>
      </c>
      <c r="I1691" s="411">
        <v>37.585949999999997</v>
      </c>
      <c r="J1691" s="411">
        <v>143.60579999999999</v>
      </c>
      <c r="K1691" s="411">
        <v>14308.00301</v>
      </c>
      <c r="L1691" s="526" t="s">
        <v>554</v>
      </c>
    </row>
    <row r="1692" spans="1:12" ht="15" x14ac:dyDescent="0.25">
      <c r="A1692">
        <v>405407</v>
      </c>
      <c r="B1692" t="str">
        <f t="shared" si="70"/>
        <v>SEVROLL 05175 Gemini horné vedenie 1,7m čierna lesk</v>
      </c>
      <c r="C1692" s="198">
        <f t="shared" si="71"/>
        <v>18.247890000000002</v>
      </c>
      <c r="D1692" s="526" t="s">
        <v>1489</v>
      </c>
      <c r="E1692" s="526" t="s">
        <v>1919</v>
      </c>
      <c r="F1692" s="526" t="s">
        <v>5991</v>
      </c>
      <c r="G1692" s="526" t="s">
        <v>5992</v>
      </c>
      <c r="H1692" s="412">
        <v>505.12322</v>
      </c>
      <c r="I1692" s="411">
        <v>18.247890000000002</v>
      </c>
      <c r="J1692" s="411">
        <v>74.653800000000004</v>
      </c>
      <c r="K1692" s="411">
        <v>6946.5004600000002</v>
      </c>
      <c r="L1692" s="526" t="s">
        <v>553</v>
      </c>
    </row>
    <row r="1693" spans="1:12" ht="15" x14ac:dyDescent="0.25">
      <c r="A1693">
        <v>405423</v>
      </c>
      <c r="B1693" t="str">
        <f t="shared" si="70"/>
        <v>SEVROLL 05177 Gemini horné vedenie 3m čierna lesk</v>
      </c>
      <c r="C1693" s="198">
        <f t="shared" si="71"/>
        <v>32.20214</v>
      </c>
      <c r="D1693" s="526" t="s">
        <v>1490</v>
      </c>
      <c r="E1693" s="526" t="s">
        <v>1920</v>
      </c>
      <c r="F1693" s="526" t="s">
        <v>5993</v>
      </c>
      <c r="G1693" s="526" t="s">
        <v>5994</v>
      </c>
      <c r="H1693" s="412">
        <v>891.64607999999998</v>
      </c>
      <c r="I1693" s="411">
        <v>32.20214</v>
      </c>
      <c r="J1693" s="411">
        <v>131.79419999999999</v>
      </c>
      <c r="K1693" s="411">
        <v>12258.529769999999</v>
      </c>
      <c r="L1693" s="526" t="s">
        <v>553</v>
      </c>
    </row>
    <row r="1694" spans="1:12" ht="15" x14ac:dyDescent="0.25">
      <c r="A1694">
        <v>405425</v>
      </c>
      <c r="B1694" t="str">
        <f t="shared" si="70"/>
        <v>SEVROLL 05178 Gemini horné vedenie 4,05m čierna lesk</v>
      </c>
      <c r="C1694" s="198">
        <f t="shared" si="71"/>
        <v>43.47289</v>
      </c>
      <c r="D1694" s="526" t="s">
        <v>1491</v>
      </c>
      <c r="E1694" s="526" t="s">
        <v>1921</v>
      </c>
      <c r="F1694" s="526" t="s">
        <v>5995</v>
      </c>
      <c r="G1694" s="526" t="s">
        <v>5996</v>
      </c>
      <c r="H1694" s="412">
        <v>1203.8651</v>
      </c>
      <c r="I1694" s="411">
        <v>43.47289</v>
      </c>
      <c r="J1694" s="411">
        <v>177.9186</v>
      </c>
      <c r="K1694" s="411">
        <v>16549.015370000001</v>
      </c>
      <c r="L1694" s="526" t="s">
        <v>553</v>
      </c>
    </row>
    <row r="1695" spans="1:12" ht="15" x14ac:dyDescent="0.25">
      <c r="A1695">
        <v>405426</v>
      </c>
      <c r="B1695" t="str">
        <f t="shared" si="70"/>
        <v>SEVROLL 05179 Gemini horné vedenie 6m čierna lesk</v>
      </c>
      <c r="C1695" s="198">
        <f t="shared" si="71"/>
        <v>64.404290000000003</v>
      </c>
      <c r="D1695" s="526" t="s">
        <v>1492</v>
      </c>
      <c r="E1695" s="526" t="s">
        <v>1922</v>
      </c>
      <c r="F1695" s="526" t="s">
        <v>5997</v>
      </c>
      <c r="G1695" s="526" t="s">
        <v>2451</v>
      </c>
      <c r="H1695" s="412">
        <v>1783.29216</v>
      </c>
      <c r="I1695" s="411">
        <v>64.404290000000003</v>
      </c>
      <c r="J1695" s="411">
        <v>263.56799999999998</v>
      </c>
      <c r="K1695" s="411">
        <v>24517.05991</v>
      </c>
      <c r="L1695" s="526" t="s">
        <v>554</v>
      </c>
    </row>
    <row r="1696" spans="1:12" ht="15" x14ac:dyDescent="0.25">
      <c r="A1696">
        <v>405427</v>
      </c>
      <c r="B1696" t="str">
        <f t="shared" si="70"/>
        <v>SEVROLL 05167 maska Elegant II 1,7m čierna lesk</v>
      </c>
      <c r="C1696" s="198">
        <f t="shared" si="71"/>
        <v>3.3074400000000002</v>
      </c>
      <c r="D1696" s="526" t="s">
        <v>1493</v>
      </c>
      <c r="E1696" s="526" t="s">
        <v>1923</v>
      </c>
      <c r="F1696" s="526" t="s">
        <v>5998</v>
      </c>
      <c r="G1696" s="526" t="s">
        <v>2452</v>
      </c>
      <c r="H1696" s="412">
        <v>91.450879999999998</v>
      </c>
      <c r="I1696" s="411">
        <v>3.3074400000000002</v>
      </c>
      <c r="J1696" s="411">
        <v>12.199199999999999</v>
      </c>
      <c r="K1696" s="411">
        <v>1259.0531100000001</v>
      </c>
      <c r="L1696" s="526" t="s">
        <v>553</v>
      </c>
    </row>
    <row r="1697" spans="1:12" ht="15" x14ac:dyDescent="0.25">
      <c r="A1697">
        <v>405428</v>
      </c>
      <c r="B1697" t="str">
        <f t="shared" si="70"/>
        <v>SEVROLL 05169 maska Elegant II 3m čierna lesk</v>
      </c>
      <c r="C1697" s="198">
        <f t="shared" si="71"/>
        <v>5.8366499999999997</v>
      </c>
      <c r="D1697" s="526" t="s">
        <v>1494</v>
      </c>
      <c r="E1697" s="526" t="s">
        <v>1924</v>
      </c>
      <c r="F1697" s="526" t="s">
        <v>5999</v>
      </c>
      <c r="G1697" s="526" t="s">
        <v>2453</v>
      </c>
      <c r="H1697" s="412">
        <v>161.46796000000001</v>
      </c>
      <c r="I1697" s="411">
        <v>5.8366499999999997</v>
      </c>
      <c r="J1697" s="411">
        <v>21.542400000000001</v>
      </c>
      <c r="K1697" s="411">
        <v>2221.8586500000001</v>
      </c>
      <c r="L1697" s="526" t="s">
        <v>553</v>
      </c>
    </row>
    <row r="1698" spans="1:12" ht="15" x14ac:dyDescent="0.25">
      <c r="A1698">
        <v>405429</v>
      </c>
      <c r="B1698" t="str">
        <f t="shared" si="70"/>
        <v>SEVROLL 05170 maska Elegant II 4,05m čierna lesk</v>
      </c>
      <c r="C1698" s="198">
        <f t="shared" si="71"/>
        <v>7.8794599999999999</v>
      </c>
      <c r="D1698" s="526" t="s">
        <v>1495</v>
      </c>
      <c r="E1698" s="526" t="s">
        <v>1925</v>
      </c>
      <c r="F1698" s="526" t="s">
        <v>6000</v>
      </c>
      <c r="G1698" s="526" t="s">
        <v>2454</v>
      </c>
      <c r="H1698" s="412">
        <v>217.91030000000001</v>
      </c>
      <c r="I1698" s="411">
        <v>7.8794599999999999</v>
      </c>
      <c r="J1698" s="411">
        <v>29.07</v>
      </c>
      <c r="K1698" s="411">
        <v>2999.5093700000002</v>
      </c>
      <c r="L1698" s="526" t="s">
        <v>553</v>
      </c>
    </row>
    <row r="1699" spans="1:12" ht="15" x14ac:dyDescent="0.25">
      <c r="A1699">
        <v>405430</v>
      </c>
      <c r="B1699" t="str">
        <f t="shared" si="70"/>
        <v>SEVROLL 05171 maska Elegant II 6m čierna lesk</v>
      </c>
      <c r="C1699" s="198">
        <f t="shared" si="71"/>
        <v>11.67327</v>
      </c>
      <c r="D1699" s="526" t="s">
        <v>1496</v>
      </c>
      <c r="E1699" s="526" t="s">
        <v>1926</v>
      </c>
      <c r="F1699" s="526" t="s">
        <v>6001</v>
      </c>
      <c r="G1699" s="526" t="s">
        <v>2455</v>
      </c>
      <c r="H1699" s="412">
        <v>322.93592000000001</v>
      </c>
      <c r="I1699" s="411">
        <v>11.67327</v>
      </c>
      <c r="J1699" s="411">
        <v>43.084800000000001</v>
      </c>
      <c r="K1699" s="411">
        <v>4443.7172700000001</v>
      </c>
      <c r="L1699" s="526" t="s">
        <v>554</v>
      </c>
    </row>
    <row r="1700" spans="1:12" ht="15" x14ac:dyDescent="0.25">
      <c r="A1700">
        <v>88049</v>
      </c>
      <c r="B1700" t="e">
        <f t="shared" si="70"/>
        <v>#N/A</v>
      </c>
      <c r="C1700" s="198" t="e">
        <f t="shared" si="71"/>
        <v>#N/A</v>
      </c>
      <c r="D1700" s="526" t="e">
        <v>#N/A</v>
      </c>
      <c r="E1700" s="526" t="e">
        <v>#N/A</v>
      </c>
      <c r="F1700" s="526" t="e">
        <v>#N/A</v>
      </c>
      <c r="G1700" s="526" t="e">
        <v>#N/A</v>
      </c>
      <c r="H1700" s="412" t="e">
        <v>#N/A</v>
      </c>
      <c r="I1700" s="411" t="e">
        <v>#N/A</v>
      </c>
      <c r="J1700" s="411" t="e">
        <v>#N/A</v>
      </c>
      <c r="K1700" s="411" t="e">
        <v>#N/A</v>
      </c>
      <c r="L1700" s="526" t="e">
        <v>#N/A</v>
      </c>
    </row>
    <row r="1701" spans="1:12" ht="15" x14ac:dyDescent="0.25">
      <c r="A1701">
        <v>88083</v>
      </c>
      <c r="B1701" t="e">
        <f t="shared" si="70"/>
        <v>#N/A</v>
      </c>
      <c r="C1701" s="198" t="e">
        <f t="shared" si="71"/>
        <v>#N/A</v>
      </c>
      <c r="D1701" s="526" t="e">
        <v>#N/A</v>
      </c>
      <c r="E1701" s="526" t="e">
        <v>#N/A</v>
      </c>
      <c r="F1701" s="526" t="e">
        <v>#N/A</v>
      </c>
      <c r="G1701" s="526" t="e">
        <v>#N/A</v>
      </c>
      <c r="H1701" s="412" t="e">
        <v>#N/A</v>
      </c>
      <c r="I1701" s="411" t="e">
        <v>#N/A</v>
      </c>
      <c r="J1701" s="411" t="e">
        <v>#N/A</v>
      </c>
      <c r="K1701" s="411" t="e">
        <v>#N/A</v>
      </c>
      <c r="L1701" s="526" t="e">
        <v>#N/A</v>
      </c>
    </row>
    <row r="1702" spans="1:12" ht="15" x14ac:dyDescent="0.25">
      <c r="A1702">
        <v>98063</v>
      </c>
      <c r="B1702" t="e">
        <f t="shared" ref="B1702:B1721" si="72">IF($A$2=1,D1702,IF($A$2=2,F1702,IF($A$2=3,G1702,IF($A$2=4,E1702,"zadat jazyk"))))</f>
        <v>#N/A</v>
      </c>
      <c r="C1702" s="198" t="e">
        <f t="shared" ref="C1702:C1721" si="73">IF($A$2=1,H1702,IF($A$2=2,I1702,IF($A$2=3,J1702,IF($A$2=4,K1702,"zadat jazyk"))))</f>
        <v>#N/A</v>
      </c>
      <c r="D1702" s="526" t="e">
        <v>#N/A</v>
      </c>
      <c r="E1702" s="526" t="e">
        <v>#N/A</v>
      </c>
      <c r="F1702" s="526" t="e">
        <v>#N/A</v>
      </c>
      <c r="G1702" s="526" t="e">
        <v>#N/A</v>
      </c>
      <c r="H1702" s="412" t="e">
        <v>#N/A</v>
      </c>
      <c r="I1702" s="411" t="e">
        <v>#N/A</v>
      </c>
      <c r="J1702" s="411" t="e">
        <v>#N/A</v>
      </c>
      <c r="K1702" s="411" t="e">
        <v>#N/A</v>
      </c>
      <c r="L1702" s="526" t="e">
        <v>#N/A</v>
      </c>
    </row>
    <row r="1703" spans="1:12" ht="15" x14ac:dyDescent="0.25">
      <c r="A1703">
        <v>364527</v>
      </c>
      <c r="B1703" t="e">
        <f t="shared" si="72"/>
        <v>#N/A</v>
      </c>
      <c r="C1703" s="198" t="e">
        <f t="shared" si="73"/>
        <v>#N/A</v>
      </c>
      <c r="D1703" s="526" t="e">
        <v>#N/A</v>
      </c>
      <c r="E1703" s="526" t="e">
        <v>#N/A</v>
      </c>
      <c r="F1703" s="526" t="e">
        <v>#N/A</v>
      </c>
      <c r="G1703" s="526" t="e">
        <v>#N/A</v>
      </c>
      <c r="H1703" s="412" t="e">
        <v>#N/A</v>
      </c>
      <c r="I1703" s="411" t="e">
        <v>#N/A</v>
      </c>
      <c r="J1703" s="411" t="e">
        <v>#N/A</v>
      </c>
      <c r="K1703" s="411" t="e">
        <v>#N/A</v>
      </c>
      <c r="L1703" s="526" t="e">
        <v>#N/A</v>
      </c>
    </row>
    <row r="1704" spans="1:12" ht="15" x14ac:dyDescent="0.25">
      <c r="A1704">
        <v>364633</v>
      </c>
      <c r="B1704" t="str">
        <f t="shared" si="72"/>
        <v>SEVROLL 01508 Single horné vedenie 6m oliva</v>
      </c>
      <c r="C1704" s="198">
        <f t="shared" si="73"/>
        <v>63.785020000000003</v>
      </c>
      <c r="D1704" s="526" t="s">
        <v>1497</v>
      </c>
      <c r="E1704" s="526" t="s">
        <v>1927</v>
      </c>
      <c r="F1704" s="526" t="s">
        <v>6002</v>
      </c>
      <c r="G1704" s="526" t="s">
        <v>2456</v>
      </c>
      <c r="H1704" s="412">
        <v>1766.1451199999999</v>
      </c>
      <c r="I1704" s="411">
        <v>63.785020000000003</v>
      </c>
      <c r="J1704" s="411">
        <v>216.48490000000001</v>
      </c>
      <c r="K1704" s="411">
        <v>24281.319029999999</v>
      </c>
      <c r="L1704" s="526" t="s">
        <v>554</v>
      </c>
    </row>
    <row r="1705" spans="1:12" ht="15" x14ac:dyDescent="0.25">
      <c r="A1705">
        <v>365378</v>
      </c>
      <c r="B1705" t="str">
        <f t="shared" si="72"/>
        <v>SEVROLL 10230 spodný vozík WD10 V Duo 60kg (2 ks)</v>
      </c>
      <c r="C1705" s="198">
        <f t="shared" si="73"/>
        <v>18.462050000000001</v>
      </c>
      <c r="D1705" s="526" t="s">
        <v>1498</v>
      </c>
      <c r="E1705" s="526" t="s">
        <v>1928</v>
      </c>
      <c r="F1705" s="526" t="s">
        <v>6003</v>
      </c>
      <c r="G1705" s="526" t="s">
        <v>2457</v>
      </c>
      <c r="H1705" s="412">
        <v>542.83540000000005</v>
      </c>
      <c r="I1705" s="411">
        <v>18.462050000000001</v>
      </c>
      <c r="J1705" s="411">
        <v>65.147400000000005</v>
      </c>
      <c r="K1705" s="411">
        <v>7171.4565499999999</v>
      </c>
      <c r="L1705" s="526" t="s">
        <v>554</v>
      </c>
    </row>
    <row r="1706" spans="1:12" ht="15" x14ac:dyDescent="0.25">
      <c r="A1706">
        <v>381264</v>
      </c>
      <c r="B1706" t="e">
        <f t="shared" si="72"/>
        <v>#N/A</v>
      </c>
      <c r="C1706" s="198" t="e">
        <f t="shared" si="73"/>
        <v>#N/A</v>
      </c>
      <c r="D1706" s="526" t="e">
        <v>#N/A</v>
      </c>
      <c r="E1706" s="526" t="e">
        <v>#N/A</v>
      </c>
      <c r="F1706" s="526" t="e">
        <v>#N/A</v>
      </c>
      <c r="G1706" s="526" t="e">
        <v>#N/A</v>
      </c>
      <c r="H1706" s="412" t="e">
        <v>#N/A</v>
      </c>
      <c r="I1706" s="411" t="e">
        <v>#N/A</v>
      </c>
      <c r="J1706" s="411" t="e">
        <v>#N/A</v>
      </c>
      <c r="K1706" s="411" t="e">
        <v>#N/A</v>
      </c>
      <c r="L1706" s="526" t="e">
        <v>#N/A</v>
      </c>
    </row>
    <row r="1707" spans="1:12" ht="15" x14ac:dyDescent="0.25">
      <c r="A1707">
        <v>310480</v>
      </c>
      <c r="B1707" t="e">
        <f t="shared" si="72"/>
        <v>#N/A</v>
      </c>
      <c r="C1707" s="198" t="e">
        <f t="shared" si="73"/>
        <v>#N/A</v>
      </c>
      <c r="D1707" s="526" t="e">
        <v>#N/A</v>
      </c>
      <c r="E1707" s="526" t="e">
        <v>#N/A</v>
      </c>
      <c r="F1707" s="526" t="e">
        <v>#N/A</v>
      </c>
      <c r="G1707" s="526" t="e">
        <v>#N/A</v>
      </c>
      <c r="H1707" s="412" t="e">
        <v>#N/A</v>
      </c>
      <c r="I1707" s="411" t="e">
        <v>#N/A</v>
      </c>
      <c r="J1707" s="411" t="e">
        <v>#N/A</v>
      </c>
      <c r="K1707" s="411" t="e">
        <v>#N/A</v>
      </c>
      <c r="L1707" s="526" t="e">
        <v>#N/A</v>
      </c>
    </row>
    <row r="1708" spans="1:12" ht="15" x14ac:dyDescent="0.25">
      <c r="A1708">
        <v>310515</v>
      </c>
      <c r="B1708" t="e">
        <f t="shared" si="72"/>
        <v>#N/A</v>
      </c>
      <c r="C1708" s="198" t="e">
        <f t="shared" si="73"/>
        <v>#N/A</v>
      </c>
      <c r="D1708" s="526" t="e">
        <v>#N/A</v>
      </c>
      <c r="E1708" s="526" t="e">
        <v>#N/A</v>
      </c>
      <c r="F1708" s="526" t="e">
        <v>#N/A</v>
      </c>
      <c r="G1708" s="526" t="e">
        <v>#N/A</v>
      </c>
      <c r="H1708" s="412" t="e">
        <v>#N/A</v>
      </c>
      <c r="I1708" s="411" t="e">
        <v>#N/A</v>
      </c>
      <c r="J1708" s="411" t="e">
        <v>#N/A</v>
      </c>
      <c r="K1708" s="411" t="e">
        <v>#N/A</v>
      </c>
      <c r="L1708" s="526" t="e">
        <v>#N/A</v>
      </c>
    </row>
    <row r="1709" spans="1:12" ht="15" x14ac:dyDescent="0.25">
      <c r="A1709">
        <v>310516</v>
      </c>
      <c r="B1709" t="e">
        <f t="shared" si="72"/>
        <v>#N/A</v>
      </c>
      <c r="C1709" s="198" t="e">
        <f t="shared" si="73"/>
        <v>#N/A</v>
      </c>
      <c r="D1709" s="526" t="e">
        <v>#N/A</v>
      </c>
      <c r="E1709" s="526" t="e">
        <v>#N/A</v>
      </c>
      <c r="F1709" s="526" t="e">
        <v>#N/A</v>
      </c>
      <c r="G1709" s="526" t="e">
        <v>#N/A</v>
      </c>
      <c r="H1709" s="412" t="e">
        <v>#N/A</v>
      </c>
      <c r="I1709" s="411" t="e">
        <v>#N/A</v>
      </c>
      <c r="J1709" s="411" t="e">
        <v>#N/A</v>
      </c>
      <c r="K1709" s="411" t="e">
        <v>#N/A</v>
      </c>
      <c r="L1709" s="526" t="e">
        <v>#N/A</v>
      </c>
    </row>
    <row r="1710" spans="1:12" ht="15" x14ac:dyDescent="0.25">
      <c r="A1710">
        <v>310841</v>
      </c>
      <c r="B1710" t="e">
        <f t="shared" si="72"/>
        <v>#N/A</v>
      </c>
      <c r="C1710" s="198" t="e">
        <f t="shared" si="73"/>
        <v>#N/A</v>
      </c>
      <c r="D1710" s="526" t="e">
        <v>#N/A</v>
      </c>
      <c r="E1710" s="526" t="e">
        <v>#N/A</v>
      </c>
      <c r="F1710" s="526" t="e">
        <v>#N/A</v>
      </c>
      <c r="G1710" s="526" t="e">
        <v>#N/A</v>
      </c>
      <c r="H1710" s="412" t="e">
        <v>#N/A</v>
      </c>
      <c r="I1710" s="411" t="e">
        <v>#N/A</v>
      </c>
      <c r="J1710" s="411" t="e">
        <v>#N/A</v>
      </c>
      <c r="K1710" s="411" t="e">
        <v>#N/A</v>
      </c>
      <c r="L1710" s="526" t="e">
        <v>#N/A</v>
      </c>
    </row>
    <row r="1711" spans="1:12" ht="15" x14ac:dyDescent="0.25">
      <c r="A1711">
        <v>276774</v>
      </c>
      <c r="B1711" t="e">
        <f t="shared" si="72"/>
        <v>#N/A</v>
      </c>
      <c r="C1711" s="198" t="e">
        <f t="shared" si="73"/>
        <v>#N/A</v>
      </c>
      <c r="D1711" s="526" t="e">
        <v>#N/A</v>
      </c>
      <c r="E1711" s="526" t="e">
        <v>#N/A</v>
      </c>
      <c r="F1711" s="526" t="e">
        <v>#N/A</v>
      </c>
      <c r="G1711" s="526" t="e">
        <v>#N/A</v>
      </c>
      <c r="H1711" s="412" t="e">
        <v>#N/A</v>
      </c>
      <c r="I1711" s="411" t="e">
        <v>#N/A</v>
      </c>
      <c r="J1711" s="411" t="e">
        <v>#N/A</v>
      </c>
      <c r="K1711" s="411" t="e">
        <v>#N/A</v>
      </c>
      <c r="L1711" s="526" t="e">
        <v>#N/A</v>
      </c>
    </row>
    <row r="1712" spans="1:12" ht="15" x14ac:dyDescent="0.25">
      <c r="A1712">
        <v>276775</v>
      </c>
      <c r="B1712" t="e">
        <f t="shared" si="72"/>
        <v>#N/A</v>
      </c>
      <c r="C1712" s="198" t="e">
        <f t="shared" si="73"/>
        <v>#N/A</v>
      </c>
      <c r="D1712" s="526" t="e">
        <v>#N/A</v>
      </c>
      <c r="E1712" s="526" t="e">
        <v>#N/A</v>
      </c>
      <c r="F1712" s="526" t="e">
        <v>#N/A</v>
      </c>
      <c r="G1712" s="526" t="e">
        <v>#N/A</v>
      </c>
      <c r="H1712" s="412" t="e">
        <v>#N/A</v>
      </c>
      <c r="I1712" s="411" t="e">
        <v>#N/A</v>
      </c>
      <c r="J1712" s="411" t="e">
        <v>#N/A</v>
      </c>
      <c r="K1712" s="411" t="e">
        <v>#N/A</v>
      </c>
      <c r="L1712" s="526" t="e">
        <v>#N/A</v>
      </c>
    </row>
    <row r="1713" spans="1:12" ht="15" x14ac:dyDescent="0.25">
      <c r="A1713">
        <v>276880</v>
      </c>
      <c r="B1713" t="e">
        <f t="shared" si="72"/>
        <v>#N/A</v>
      </c>
      <c r="C1713" s="198" t="e">
        <f t="shared" si="73"/>
        <v>#N/A</v>
      </c>
      <c r="D1713" s="526" t="e">
        <v>#N/A</v>
      </c>
      <c r="E1713" s="526" t="e">
        <v>#N/A</v>
      </c>
      <c r="F1713" s="526" t="e">
        <v>#N/A</v>
      </c>
      <c r="G1713" s="526" t="e">
        <v>#N/A</v>
      </c>
      <c r="H1713" s="412" t="e">
        <v>#N/A</v>
      </c>
      <c r="I1713" s="411" t="e">
        <v>#N/A</v>
      </c>
      <c r="J1713" s="411" t="e">
        <v>#N/A</v>
      </c>
      <c r="K1713" s="411" t="e">
        <v>#N/A</v>
      </c>
      <c r="L1713" s="526" t="e">
        <v>#N/A</v>
      </c>
    </row>
    <row r="1714" spans="1:12" ht="15" x14ac:dyDescent="0.25">
      <c r="A1714">
        <v>276883</v>
      </c>
      <c r="B1714" t="e">
        <f t="shared" si="72"/>
        <v>#N/A</v>
      </c>
      <c r="C1714" s="198" t="e">
        <f t="shared" si="73"/>
        <v>#N/A</v>
      </c>
      <c r="D1714" s="526" t="e">
        <v>#N/A</v>
      </c>
      <c r="E1714" s="526" t="e">
        <v>#N/A</v>
      </c>
      <c r="F1714" s="526" t="e">
        <v>#N/A</v>
      </c>
      <c r="G1714" s="526" t="e">
        <v>#N/A</v>
      </c>
      <c r="H1714" s="412" t="e">
        <v>#N/A</v>
      </c>
      <c r="I1714" s="411" t="e">
        <v>#N/A</v>
      </c>
      <c r="J1714" s="411" t="e">
        <v>#N/A</v>
      </c>
      <c r="K1714" s="411" t="e">
        <v>#N/A</v>
      </c>
      <c r="L1714" s="526" t="e">
        <v>#N/A</v>
      </c>
    </row>
    <row r="1715" spans="1:12" ht="15" x14ac:dyDescent="0.25">
      <c r="A1715">
        <v>403727</v>
      </c>
      <c r="B1715" t="str">
        <f t="shared" si="72"/>
        <v>SEVROLL Top horné vedenie jednoduché 2,35m strieborná</v>
      </c>
      <c r="C1715" s="198">
        <f t="shared" si="73"/>
        <v>25.906210000000002</v>
      </c>
      <c r="D1715" s="526" t="s">
        <v>1499</v>
      </c>
      <c r="E1715" s="526" t="s">
        <v>1929</v>
      </c>
      <c r="F1715" s="526" t="s">
        <v>2202</v>
      </c>
      <c r="G1715" s="526" t="s">
        <v>2458</v>
      </c>
      <c r="H1715" s="412">
        <v>717.31784000000005</v>
      </c>
      <c r="I1715" s="411">
        <v>25.906210000000002</v>
      </c>
      <c r="J1715" s="411">
        <v>91.1982</v>
      </c>
      <c r="K1715" s="411">
        <v>9861.8300899999995</v>
      </c>
      <c r="L1715" s="526" t="s">
        <v>554</v>
      </c>
    </row>
    <row r="1716" spans="1:12" ht="15" x14ac:dyDescent="0.25">
      <c r="A1716">
        <v>404234</v>
      </c>
      <c r="B1716" t="e">
        <f t="shared" si="72"/>
        <v>#N/A</v>
      </c>
      <c r="C1716" s="198" t="e">
        <f t="shared" si="73"/>
        <v>#N/A</v>
      </c>
      <c r="D1716" s="526" t="e">
        <v>#N/A</v>
      </c>
      <c r="E1716" s="526" t="e">
        <v>#N/A</v>
      </c>
      <c r="F1716" s="526" t="e">
        <v>#N/A</v>
      </c>
      <c r="G1716" s="526" t="e">
        <v>#N/A</v>
      </c>
      <c r="H1716" s="412" t="e">
        <v>#N/A</v>
      </c>
      <c r="I1716" s="411" t="e">
        <v>#N/A</v>
      </c>
      <c r="J1716" s="411" t="e">
        <v>#N/A</v>
      </c>
      <c r="K1716" s="411" t="e">
        <v>#N/A</v>
      </c>
      <c r="L1716" s="526" t="e">
        <v>#N/A</v>
      </c>
    </row>
    <row r="1717" spans="1:12" ht="15" x14ac:dyDescent="0.25">
      <c r="A1717">
        <v>404235</v>
      </c>
      <c r="B1717" t="e">
        <f t="shared" si="72"/>
        <v>#N/A</v>
      </c>
      <c r="C1717" s="198" t="e">
        <f t="shared" si="73"/>
        <v>#N/A</v>
      </c>
      <c r="D1717" s="526" t="e">
        <v>#N/A</v>
      </c>
      <c r="E1717" s="526" t="e">
        <v>#N/A</v>
      </c>
      <c r="F1717" s="526" t="e">
        <v>#N/A</v>
      </c>
      <c r="G1717" s="526" t="e">
        <v>#N/A</v>
      </c>
      <c r="H1717" s="412" t="e">
        <v>#N/A</v>
      </c>
      <c r="I1717" s="411" t="e">
        <v>#N/A</v>
      </c>
      <c r="J1717" s="411" t="e">
        <v>#N/A</v>
      </c>
      <c r="K1717" s="411" t="e">
        <v>#N/A</v>
      </c>
      <c r="L1717" s="526" t="e">
        <v>#N/A</v>
      </c>
    </row>
    <row r="1718" spans="1:12" ht="15" x14ac:dyDescent="0.25">
      <c r="A1718">
        <v>404237</v>
      </c>
      <c r="B1718" t="e">
        <f t="shared" si="72"/>
        <v>#N/A</v>
      </c>
      <c r="C1718" s="198" t="e">
        <f t="shared" si="73"/>
        <v>#N/A</v>
      </c>
      <c r="D1718" s="526" t="e">
        <v>#N/A</v>
      </c>
      <c r="E1718" s="526" t="e">
        <v>#N/A</v>
      </c>
      <c r="F1718" s="526" t="e">
        <v>#N/A</v>
      </c>
      <c r="G1718" s="526" t="e">
        <v>#N/A</v>
      </c>
      <c r="H1718" s="412" t="e">
        <v>#N/A</v>
      </c>
      <c r="I1718" s="411" t="e">
        <v>#N/A</v>
      </c>
      <c r="J1718" s="411" t="e">
        <v>#N/A</v>
      </c>
      <c r="K1718" s="411" t="e">
        <v>#N/A</v>
      </c>
      <c r="L1718" s="526" t="e">
        <v>#N/A</v>
      </c>
    </row>
    <row r="1719" spans="1:12" ht="15" x14ac:dyDescent="0.25">
      <c r="A1719">
        <v>404307</v>
      </c>
      <c r="B1719" t="str">
        <f t="shared" si="72"/>
        <v>K-SEVROLL sada kovania pro interiérové dvere Simple 18 Galaxy 50kg brzda + tlmič</v>
      </c>
      <c r="C1719" s="198">
        <f t="shared" si="73"/>
        <v>0</v>
      </c>
      <c r="D1719" s="526" t="s">
        <v>1500</v>
      </c>
      <c r="E1719" s="526" t="s">
        <v>1930</v>
      </c>
      <c r="F1719" s="526" t="s">
        <v>6004</v>
      </c>
      <c r="G1719" s="526" t="s">
        <v>6005</v>
      </c>
      <c r="H1719" s="412">
        <v>0</v>
      </c>
      <c r="I1719" s="411">
        <v>0</v>
      </c>
      <c r="J1719" s="411">
        <v>0</v>
      </c>
      <c r="K1719" s="411">
        <v>0</v>
      </c>
      <c r="L1719" s="526" t="s">
        <v>553</v>
      </c>
    </row>
    <row r="1720" spans="1:12" ht="15" x14ac:dyDescent="0.25">
      <c r="A1720">
        <v>404308</v>
      </c>
      <c r="B1720" t="str">
        <f t="shared" si="72"/>
        <v>K-SEVROLL sada kovania pro interiérové dvere Simple 18 Galaxy 50kg  2x tlmič</v>
      </c>
      <c r="C1720" s="198">
        <f t="shared" si="73"/>
        <v>0</v>
      </c>
      <c r="D1720" s="526" t="s">
        <v>1501</v>
      </c>
      <c r="E1720" s="526" t="s">
        <v>1931</v>
      </c>
      <c r="F1720" s="526" t="s">
        <v>6006</v>
      </c>
      <c r="G1720" s="526" t="s">
        <v>6007</v>
      </c>
      <c r="H1720" s="412">
        <v>0</v>
      </c>
      <c r="I1720" s="411">
        <v>0</v>
      </c>
      <c r="J1720" s="411">
        <v>0</v>
      </c>
      <c r="K1720" s="411">
        <v>0</v>
      </c>
      <c r="L1720" s="526" t="s">
        <v>553</v>
      </c>
    </row>
    <row r="1721" spans="1:12" ht="15" x14ac:dyDescent="0.25">
      <c r="A1721">
        <v>158870</v>
      </c>
      <c r="B1721" t="e">
        <f t="shared" si="72"/>
        <v>#N/A</v>
      </c>
      <c r="C1721" s="198" t="e">
        <f t="shared" si="73"/>
        <v>#N/A</v>
      </c>
      <c r="D1721" s="526" t="e">
        <v>#N/A</v>
      </c>
      <c r="E1721" s="526" t="e">
        <v>#N/A</v>
      </c>
      <c r="F1721" s="526" t="e">
        <v>#N/A</v>
      </c>
      <c r="G1721" s="526" t="e">
        <v>#N/A</v>
      </c>
      <c r="H1721" s="412" t="e">
        <v>#N/A</v>
      </c>
      <c r="I1721" s="411" t="e">
        <v>#N/A</v>
      </c>
      <c r="J1721" s="411" t="e">
        <v>#N/A</v>
      </c>
      <c r="K1721" s="411" t="e">
        <v>#N/A</v>
      </c>
      <c r="L1721" s="526" t="e">
        <v>#N/A</v>
      </c>
    </row>
    <row r="1722" spans="1:12" ht="15" x14ac:dyDescent="0.25">
      <c r="A1722">
        <v>158873</v>
      </c>
      <c r="B1722" t="e">
        <f t="shared" ref="B1722:B1749" si="74">IF($A$2=1,D1722,IF($A$2=2,F1722,IF($A$2=3,G1722,IF($A$2=4,E1722,"zadat jazyk"))))</f>
        <v>#N/A</v>
      </c>
      <c r="C1722" s="198" t="e">
        <f t="shared" ref="C1722:C1749" si="75">IF($A$2=1,H1722,IF($A$2=2,I1722,IF($A$2=3,J1722,IF($A$2=4,K1722,"zadat jazyk"))))</f>
        <v>#N/A</v>
      </c>
      <c r="D1722" s="526" t="e">
        <v>#N/A</v>
      </c>
      <c r="E1722" s="526" t="e">
        <v>#N/A</v>
      </c>
      <c r="F1722" s="526" t="e">
        <v>#N/A</v>
      </c>
      <c r="G1722" s="526" t="e">
        <v>#N/A</v>
      </c>
      <c r="H1722" s="412" t="e">
        <v>#N/A</v>
      </c>
      <c r="I1722" s="411" t="e">
        <v>#N/A</v>
      </c>
      <c r="J1722" s="411" t="e">
        <v>#N/A</v>
      </c>
      <c r="K1722" s="411" t="e">
        <v>#N/A</v>
      </c>
      <c r="L1722" s="526" t="e">
        <v>#N/A</v>
      </c>
    </row>
    <row r="1723" spans="1:12" ht="15" x14ac:dyDescent="0.25">
      <c r="A1723">
        <v>157905</v>
      </c>
      <c r="B1723" t="e">
        <f t="shared" si="74"/>
        <v>#N/A</v>
      </c>
      <c r="C1723" s="198" t="e">
        <f t="shared" si="75"/>
        <v>#N/A</v>
      </c>
      <c r="D1723" s="526" t="e">
        <v>#N/A</v>
      </c>
      <c r="E1723" s="526" t="e">
        <v>#N/A</v>
      </c>
      <c r="F1723" s="526" t="e">
        <v>#N/A</v>
      </c>
      <c r="G1723" s="526" t="e">
        <v>#N/A</v>
      </c>
      <c r="H1723" s="412" t="e">
        <v>#N/A</v>
      </c>
      <c r="I1723" s="411" t="e">
        <v>#N/A</v>
      </c>
      <c r="J1723" s="411" t="e">
        <v>#N/A</v>
      </c>
      <c r="K1723" s="411" t="e">
        <v>#N/A</v>
      </c>
      <c r="L1723" s="526" t="e">
        <v>#N/A</v>
      </c>
    </row>
    <row r="1724" spans="1:12" ht="15" x14ac:dyDescent="0.25">
      <c r="A1724">
        <v>157906</v>
      </c>
      <c r="B1724" t="e">
        <f t="shared" si="74"/>
        <v>#N/A</v>
      </c>
      <c r="C1724" s="198" t="e">
        <f t="shared" si="75"/>
        <v>#N/A</v>
      </c>
      <c r="D1724" s="526" t="e">
        <v>#N/A</v>
      </c>
      <c r="E1724" s="526" t="e">
        <v>#N/A</v>
      </c>
      <c r="F1724" s="526" t="e">
        <v>#N/A</v>
      </c>
      <c r="G1724" s="526" t="e">
        <v>#N/A</v>
      </c>
      <c r="H1724" s="412" t="e">
        <v>#N/A</v>
      </c>
      <c r="I1724" s="411" t="e">
        <v>#N/A</v>
      </c>
      <c r="J1724" s="411" t="e">
        <v>#N/A</v>
      </c>
      <c r="K1724" s="411" t="e">
        <v>#N/A</v>
      </c>
      <c r="L1724" s="526" t="e">
        <v>#N/A</v>
      </c>
    </row>
    <row r="1725" spans="1:12" ht="15" x14ac:dyDescent="0.25">
      <c r="A1725">
        <v>157907</v>
      </c>
      <c r="B1725" t="e">
        <f t="shared" si="74"/>
        <v>#N/A</v>
      </c>
      <c r="C1725" s="198" t="e">
        <f t="shared" si="75"/>
        <v>#N/A</v>
      </c>
      <c r="D1725" s="526" t="e">
        <v>#N/A</v>
      </c>
      <c r="E1725" s="526" t="e">
        <v>#N/A</v>
      </c>
      <c r="F1725" s="526" t="e">
        <v>#N/A</v>
      </c>
      <c r="G1725" s="526" t="e">
        <v>#N/A</v>
      </c>
      <c r="H1725" s="412" t="e">
        <v>#N/A</v>
      </c>
      <c r="I1725" s="411" t="e">
        <v>#N/A</v>
      </c>
      <c r="J1725" s="411" t="e">
        <v>#N/A</v>
      </c>
      <c r="K1725" s="411" t="e">
        <v>#N/A</v>
      </c>
      <c r="L1725" s="526" t="e">
        <v>#N/A</v>
      </c>
    </row>
    <row r="1726" spans="1:12" ht="15" x14ac:dyDescent="0.25">
      <c r="A1726">
        <v>157908</v>
      </c>
      <c r="B1726" t="e">
        <f t="shared" si="74"/>
        <v>#N/A</v>
      </c>
      <c r="C1726" s="198" t="e">
        <f t="shared" si="75"/>
        <v>#N/A</v>
      </c>
      <c r="D1726" s="526" t="e">
        <v>#N/A</v>
      </c>
      <c r="E1726" s="526" t="e">
        <v>#N/A</v>
      </c>
      <c r="F1726" s="526" t="e">
        <v>#N/A</v>
      </c>
      <c r="G1726" s="526" t="e">
        <v>#N/A</v>
      </c>
      <c r="H1726" s="412" t="e">
        <v>#N/A</v>
      </c>
      <c r="I1726" s="411" t="e">
        <v>#N/A</v>
      </c>
      <c r="J1726" s="411" t="e">
        <v>#N/A</v>
      </c>
      <c r="K1726" s="411" t="e">
        <v>#N/A</v>
      </c>
      <c r="L1726" s="526" t="e">
        <v>#N/A</v>
      </c>
    </row>
    <row r="1727" spans="1:12" ht="15" x14ac:dyDescent="0.25">
      <c r="A1727">
        <v>157909</v>
      </c>
      <c r="B1727" t="e">
        <f t="shared" si="74"/>
        <v>#N/A</v>
      </c>
      <c r="C1727" s="198" t="e">
        <f t="shared" si="75"/>
        <v>#N/A</v>
      </c>
      <c r="D1727" s="526" t="e">
        <v>#N/A</v>
      </c>
      <c r="E1727" s="526" t="e">
        <v>#N/A</v>
      </c>
      <c r="F1727" s="526" t="e">
        <v>#N/A</v>
      </c>
      <c r="G1727" s="526" t="e">
        <v>#N/A</v>
      </c>
      <c r="H1727" s="412" t="e">
        <v>#N/A</v>
      </c>
      <c r="I1727" s="411" t="e">
        <v>#N/A</v>
      </c>
      <c r="J1727" s="411" t="e">
        <v>#N/A</v>
      </c>
      <c r="K1727" s="411" t="e">
        <v>#N/A</v>
      </c>
      <c r="L1727" s="526" t="e">
        <v>#N/A</v>
      </c>
    </row>
    <row r="1728" spans="1:12" ht="15" x14ac:dyDescent="0.25">
      <c r="A1728">
        <v>157910</v>
      </c>
      <c r="B1728" t="e">
        <f t="shared" si="74"/>
        <v>#N/A</v>
      </c>
      <c r="C1728" s="198" t="e">
        <f t="shared" si="75"/>
        <v>#N/A</v>
      </c>
      <c r="D1728" s="526" t="e">
        <v>#N/A</v>
      </c>
      <c r="E1728" s="526" t="e">
        <v>#N/A</v>
      </c>
      <c r="F1728" s="526" t="e">
        <v>#N/A</v>
      </c>
      <c r="G1728" s="526" t="e">
        <v>#N/A</v>
      </c>
      <c r="H1728" s="412" t="e">
        <v>#N/A</v>
      </c>
      <c r="I1728" s="411" t="e">
        <v>#N/A</v>
      </c>
      <c r="J1728" s="411" t="e">
        <v>#N/A</v>
      </c>
      <c r="K1728" s="411" t="e">
        <v>#N/A</v>
      </c>
      <c r="L1728" s="526" t="e">
        <v>#N/A</v>
      </c>
    </row>
    <row r="1729" spans="1:12" ht="15" x14ac:dyDescent="0.25">
      <c r="A1729">
        <v>157923</v>
      </c>
      <c r="B1729" t="e">
        <f t="shared" si="74"/>
        <v>#N/A</v>
      </c>
      <c r="C1729" s="198" t="e">
        <f t="shared" si="75"/>
        <v>#N/A</v>
      </c>
      <c r="D1729" s="526" t="e">
        <v>#N/A</v>
      </c>
      <c r="E1729" s="526" t="e">
        <v>#N/A</v>
      </c>
      <c r="F1729" s="526" t="e">
        <v>#N/A</v>
      </c>
      <c r="G1729" s="526" t="e">
        <v>#N/A</v>
      </c>
      <c r="H1729" s="412" t="e">
        <v>#N/A</v>
      </c>
      <c r="I1729" s="411" t="e">
        <v>#N/A</v>
      </c>
      <c r="J1729" s="411" t="e">
        <v>#N/A</v>
      </c>
      <c r="K1729" s="411" t="e">
        <v>#N/A</v>
      </c>
      <c r="L1729" s="526" t="e">
        <v>#N/A</v>
      </c>
    </row>
    <row r="1730" spans="1:12" ht="15" x14ac:dyDescent="0.25">
      <c r="A1730">
        <v>157924</v>
      </c>
      <c r="B1730" t="e">
        <f t="shared" si="74"/>
        <v>#N/A</v>
      </c>
      <c r="C1730" s="198" t="e">
        <f t="shared" si="75"/>
        <v>#N/A</v>
      </c>
      <c r="D1730" s="526" t="e">
        <v>#N/A</v>
      </c>
      <c r="E1730" s="526" t="e">
        <v>#N/A</v>
      </c>
      <c r="F1730" s="526" t="e">
        <v>#N/A</v>
      </c>
      <c r="G1730" s="526" t="e">
        <v>#N/A</v>
      </c>
      <c r="H1730" s="412" t="e">
        <v>#N/A</v>
      </c>
      <c r="I1730" s="411" t="e">
        <v>#N/A</v>
      </c>
      <c r="J1730" s="411" t="e">
        <v>#N/A</v>
      </c>
      <c r="K1730" s="411" t="e">
        <v>#N/A</v>
      </c>
      <c r="L1730" s="526" t="e">
        <v>#N/A</v>
      </c>
    </row>
    <row r="1731" spans="1:12" ht="15" x14ac:dyDescent="0.25">
      <c r="A1731">
        <v>157925</v>
      </c>
      <c r="B1731" t="e">
        <f t="shared" si="74"/>
        <v>#N/A</v>
      </c>
      <c r="C1731" s="198" t="e">
        <f t="shared" si="75"/>
        <v>#N/A</v>
      </c>
      <c r="D1731" s="526" t="e">
        <v>#N/A</v>
      </c>
      <c r="E1731" s="526" t="e">
        <v>#N/A</v>
      </c>
      <c r="F1731" s="526" t="e">
        <v>#N/A</v>
      </c>
      <c r="G1731" s="526" t="e">
        <v>#N/A</v>
      </c>
      <c r="H1731" s="412" t="e">
        <v>#N/A</v>
      </c>
      <c r="I1731" s="411" t="e">
        <v>#N/A</v>
      </c>
      <c r="J1731" s="411" t="e">
        <v>#N/A</v>
      </c>
      <c r="K1731" s="411" t="e">
        <v>#N/A</v>
      </c>
      <c r="L1731" s="526" t="e">
        <v>#N/A</v>
      </c>
    </row>
    <row r="1732" spans="1:12" ht="15" x14ac:dyDescent="0.25">
      <c r="A1732">
        <v>157926</v>
      </c>
      <c r="B1732" t="e">
        <f t="shared" si="74"/>
        <v>#N/A</v>
      </c>
      <c r="C1732" s="198" t="e">
        <f t="shared" si="75"/>
        <v>#N/A</v>
      </c>
      <c r="D1732" s="526" t="e">
        <v>#N/A</v>
      </c>
      <c r="E1732" s="526" t="e">
        <v>#N/A</v>
      </c>
      <c r="F1732" s="526" t="e">
        <v>#N/A</v>
      </c>
      <c r="G1732" s="526" t="e">
        <v>#N/A</v>
      </c>
      <c r="H1732" s="412" t="e">
        <v>#N/A</v>
      </c>
      <c r="I1732" s="411" t="e">
        <v>#N/A</v>
      </c>
      <c r="J1732" s="411" t="e">
        <v>#N/A</v>
      </c>
      <c r="K1732" s="411" t="e">
        <v>#N/A</v>
      </c>
      <c r="L1732" s="526" t="e">
        <v>#N/A</v>
      </c>
    </row>
    <row r="1733" spans="1:12" ht="15" x14ac:dyDescent="0.25">
      <c r="A1733">
        <v>157928</v>
      </c>
      <c r="B1733" t="e">
        <f t="shared" si="74"/>
        <v>#N/A</v>
      </c>
      <c r="C1733" s="198" t="e">
        <f t="shared" si="75"/>
        <v>#N/A</v>
      </c>
      <c r="D1733" s="526" t="e">
        <v>#N/A</v>
      </c>
      <c r="E1733" s="526" t="e">
        <v>#N/A</v>
      </c>
      <c r="F1733" s="526" t="e">
        <v>#N/A</v>
      </c>
      <c r="G1733" s="526" t="e">
        <v>#N/A</v>
      </c>
      <c r="H1733" s="412" t="e">
        <v>#N/A</v>
      </c>
      <c r="I1733" s="411" t="e">
        <v>#N/A</v>
      </c>
      <c r="J1733" s="411" t="e">
        <v>#N/A</v>
      </c>
      <c r="K1733" s="411" t="e">
        <v>#N/A</v>
      </c>
      <c r="L1733" s="526" t="e">
        <v>#N/A</v>
      </c>
    </row>
    <row r="1734" spans="1:12" ht="15" x14ac:dyDescent="0.25">
      <c r="A1734">
        <v>157929</v>
      </c>
      <c r="B1734" t="e">
        <f t="shared" si="74"/>
        <v>#N/A</v>
      </c>
      <c r="C1734" s="198" t="e">
        <f t="shared" si="75"/>
        <v>#N/A</v>
      </c>
      <c r="D1734" s="526" t="e">
        <v>#N/A</v>
      </c>
      <c r="E1734" s="526" t="e">
        <v>#N/A</v>
      </c>
      <c r="F1734" s="526" t="e">
        <v>#N/A</v>
      </c>
      <c r="G1734" s="526" t="e">
        <v>#N/A</v>
      </c>
      <c r="H1734" s="412" t="e">
        <v>#N/A</v>
      </c>
      <c r="I1734" s="411" t="e">
        <v>#N/A</v>
      </c>
      <c r="J1734" s="411" t="e">
        <v>#N/A</v>
      </c>
      <c r="K1734" s="411" t="e">
        <v>#N/A</v>
      </c>
      <c r="L1734" s="526" t="e">
        <v>#N/A</v>
      </c>
    </row>
    <row r="1735" spans="1:12" ht="15" x14ac:dyDescent="0.25">
      <c r="A1735">
        <v>157967</v>
      </c>
      <c r="B1735" t="e">
        <f t="shared" si="74"/>
        <v>#N/A</v>
      </c>
      <c r="C1735" s="198" t="e">
        <f t="shared" si="75"/>
        <v>#N/A</v>
      </c>
      <c r="D1735" s="526" t="e">
        <v>#N/A</v>
      </c>
      <c r="E1735" s="526" t="e">
        <v>#N/A</v>
      </c>
      <c r="F1735" s="526" t="e">
        <v>#N/A</v>
      </c>
      <c r="G1735" s="526" t="e">
        <v>#N/A</v>
      </c>
      <c r="H1735" s="412" t="e">
        <v>#N/A</v>
      </c>
      <c r="I1735" s="411" t="e">
        <v>#N/A</v>
      </c>
      <c r="J1735" s="411" t="e">
        <v>#N/A</v>
      </c>
      <c r="K1735" s="411" t="e">
        <v>#N/A</v>
      </c>
      <c r="L1735" s="526" t="e">
        <v>#N/A</v>
      </c>
    </row>
    <row r="1736" spans="1:12" ht="15" x14ac:dyDescent="0.25">
      <c r="A1736">
        <v>158010</v>
      </c>
      <c r="B1736" t="str">
        <f t="shared" si="74"/>
        <v>SEVROLL 214-380 Herkules plus horné vedenie 1,2m</v>
      </c>
      <c r="C1736" s="198" t="e">
        <f t="shared" si="75"/>
        <v>#N/A</v>
      </c>
      <c r="D1736" s="526" t="s">
        <v>1502</v>
      </c>
      <c r="E1736" s="526" t="s">
        <v>1932</v>
      </c>
      <c r="F1736" s="526" t="s">
        <v>6008</v>
      </c>
      <c r="G1736" s="526" t="s">
        <v>2459</v>
      </c>
      <c r="H1736" s="412" t="e">
        <v>#N/A</v>
      </c>
      <c r="I1736" s="411" t="e">
        <v>#N/A</v>
      </c>
      <c r="J1736" s="411" t="e">
        <v>#N/A</v>
      </c>
      <c r="K1736" s="411" t="e">
        <v>#N/A</v>
      </c>
      <c r="L1736" s="526" t="e">
        <v>#N/A</v>
      </c>
    </row>
    <row r="1737" spans="1:12" ht="15" x14ac:dyDescent="0.25">
      <c r="A1737">
        <v>158012</v>
      </c>
      <c r="B1737" t="str">
        <f t="shared" si="74"/>
        <v>SEVROLL 215-093 vozík HP40 Herkules plus</v>
      </c>
      <c r="C1737" s="198" t="e">
        <f t="shared" si="75"/>
        <v>#N/A</v>
      </c>
      <c r="D1737" s="526" t="s">
        <v>1503</v>
      </c>
      <c r="E1737" s="526" t="s">
        <v>1933</v>
      </c>
      <c r="F1737" s="526" t="s">
        <v>1503</v>
      </c>
      <c r="G1737" s="526" t="s">
        <v>2460</v>
      </c>
      <c r="H1737" s="412" t="e">
        <v>#N/A</v>
      </c>
      <c r="I1737" s="411" t="e">
        <v>#N/A</v>
      </c>
      <c r="J1737" s="411" t="e">
        <v>#N/A</v>
      </c>
      <c r="K1737" s="411" t="e">
        <v>#N/A</v>
      </c>
      <c r="L1737" s="526" t="e">
        <v>#N/A</v>
      </c>
    </row>
    <row r="1738" spans="1:12" ht="15" x14ac:dyDescent="0.25">
      <c r="A1738">
        <v>158014</v>
      </c>
      <c r="B1738" t="str">
        <f t="shared" si="74"/>
        <v>SEVROLL 134-121 Záves dverí 25kg</v>
      </c>
      <c r="C1738" s="198">
        <f t="shared" si="75"/>
        <v>2.6835100000000001</v>
      </c>
      <c r="D1738" s="526" t="s">
        <v>1504</v>
      </c>
      <c r="E1738" s="526" t="s">
        <v>1934</v>
      </c>
      <c r="F1738" s="526" t="s">
        <v>6009</v>
      </c>
      <c r="G1738" s="526" t="s">
        <v>2461</v>
      </c>
      <c r="H1738" s="412">
        <v>70.8292</v>
      </c>
      <c r="I1738" s="411">
        <v>2.6835100000000001</v>
      </c>
      <c r="J1738" s="411">
        <v>9.2333099999999995</v>
      </c>
      <c r="K1738" s="411">
        <v>988.2</v>
      </c>
      <c r="L1738" s="526" t="s">
        <v>554</v>
      </c>
    </row>
    <row r="1739" spans="1:12" ht="15" x14ac:dyDescent="0.25">
      <c r="A1739">
        <v>158755</v>
      </c>
      <c r="B1739" t="e">
        <f t="shared" si="74"/>
        <v>#N/A</v>
      </c>
      <c r="C1739" s="198" t="e">
        <f t="shared" si="75"/>
        <v>#N/A</v>
      </c>
      <c r="D1739" s="526" t="e">
        <v>#N/A</v>
      </c>
      <c r="E1739" s="526" t="e">
        <v>#N/A</v>
      </c>
      <c r="F1739" s="526" t="e">
        <v>#N/A</v>
      </c>
      <c r="G1739" s="526" t="e">
        <v>#N/A</v>
      </c>
      <c r="H1739" s="412" t="e">
        <v>#N/A</v>
      </c>
      <c r="I1739" s="411" t="e">
        <v>#N/A</v>
      </c>
      <c r="J1739" s="411" t="e">
        <v>#N/A</v>
      </c>
      <c r="K1739" s="411" t="e">
        <v>#N/A</v>
      </c>
      <c r="L1739" s="526" t="e">
        <v>#N/A</v>
      </c>
    </row>
    <row r="1740" spans="1:12" ht="15" x14ac:dyDescent="0.25">
      <c r="A1740">
        <v>158756</v>
      </c>
      <c r="B1740" t="e">
        <f t="shared" si="74"/>
        <v>#N/A</v>
      </c>
      <c r="C1740" s="198" t="e">
        <f t="shared" si="75"/>
        <v>#N/A</v>
      </c>
      <c r="D1740" s="526" t="e">
        <v>#N/A</v>
      </c>
      <c r="E1740" s="526" t="e">
        <v>#N/A</v>
      </c>
      <c r="F1740" s="526" t="e">
        <v>#N/A</v>
      </c>
      <c r="G1740" s="526" t="e">
        <v>#N/A</v>
      </c>
      <c r="H1740" s="412" t="e">
        <v>#N/A</v>
      </c>
      <c r="I1740" s="411" t="e">
        <v>#N/A</v>
      </c>
      <c r="J1740" s="411" t="e">
        <v>#N/A</v>
      </c>
      <c r="K1740" s="411" t="e">
        <v>#N/A</v>
      </c>
      <c r="L1740" s="526" t="e">
        <v>#N/A</v>
      </c>
    </row>
    <row r="1741" spans="1:12" ht="15" x14ac:dyDescent="0.25">
      <c r="A1741">
        <v>158757</v>
      </c>
      <c r="B1741" t="e">
        <f t="shared" si="74"/>
        <v>#N/A</v>
      </c>
      <c r="C1741" s="198" t="e">
        <f t="shared" si="75"/>
        <v>#N/A</v>
      </c>
      <c r="D1741" s="526" t="e">
        <v>#N/A</v>
      </c>
      <c r="E1741" s="526" t="e">
        <v>#N/A</v>
      </c>
      <c r="F1741" s="526" t="e">
        <v>#N/A</v>
      </c>
      <c r="G1741" s="526" t="e">
        <v>#N/A</v>
      </c>
      <c r="H1741" s="412" t="e">
        <v>#N/A</v>
      </c>
      <c r="I1741" s="411" t="e">
        <v>#N/A</v>
      </c>
      <c r="J1741" s="411" t="e">
        <v>#N/A</v>
      </c>
      <c r="K1741" s="411" t="e">
        <v>#N/A</v>
      </c>
      <c r="L1741" s="526" t="e">
        <v>#N/A</v>
      </c>
    </row>
    <row r="1742" spans="1:12" ht="15" x14ac:dyDescent="0.25">
      <c r="A1742">
        <v>158883</v>
      </c>
      <c r="B1742" t="e">
        <f t="shared" si="74"/>
        <v>#N/A</v>
      </c>
      <c r="C1742" s="198" t="e">
        <f t="shared" si="75"/>
        <v>#N/A</v>
      </c>
      <c r="D1742" s="526" t="e">
        <v>#N/A</v>
      </c>
      <c r="E1742" s="526" t="e">
        <v>#N/A</v>
      </c>
      <c r="F1742" s="526" t="e">
        <v>#N/A</v>
      </c>
      <c r="G1742" s="526" t="e">
        <v>#N/A</v>
      </c>
      <c r="H1742" s="412" t="e">
        <v>#N/A</v>
      </c>
      <c r="I1742" s="411" t="e">
        <v>#N/A</v>
      </c>
      <c r="J1742" s="411" t="e">
        <v>#N/A</v>
      </c>
      <c r="K1742" s="411" t="e">
        <v>#N/A</v>
      </c>
      <c r="L1742" s="526" t="e">
        <v>#N/A</v>
      </c>
    </row>
    <row r="1743" spans="1:12" ht="15" x14ac:dyDescent="0.25">
      <c r="A1743">
        <v>158884</v>
      </c>
      <c r="B1743" t="e">
        <f t="shared" si="74"/>
        <v>#N/A</v>
      </c>
      <c r="C1743" s="198" t="e">
        <f t="shared" si="75"/>
        <v>#N/A</v>
      </c>
      <c r="D1743" s="526" t="e">
        <v>#N/A</v>
      </c>
      <c r="E1743" s="526" t="e">
        <v>#N/A</v>
      </c>
      <c r="F1743" s="526" t="e">
        <v>#N/A</v>
      </c>
      <c r="G1743" s="526" t="e">
        <v>#N/A</v>
      </c>
      <c r="H1743" s="412" t="e">
        <v>#N/A</v>
      </c>
      <c r="I1743" s="411" t="e">
        <v>#N/A</v>
      </c>
      <c r="J1743" s="411" t="e">
        <v>#N/A</v>
      </c>
      <c r="K1743" s="411" t="e">
        <v>#N/A</v>
      </c>
      <c r="L1743" s="526" t="e">
        <v>#N/A</v>
      </c>
    </row>
    <row r="1744" spans="1:12" ht="15" x14ac:dyDescent="0.25">
      <c r="A1744">
        <v>213341</v>
      </c>
      <c r="B1744" t="e">
        <f t="shared" si="74"/>
        <v>#N/A</v>
      </c>
      <c r="C1744" s="198" t="e">
        <f t="shared" si="75"/>
        <v>#N/A</v>
      </c>
      <c r="D1744" s="526" t="e">
        <v>#N/A</v>
      </c>
      <c r="E1744" s="526" t="e">
        <v>#N/A</v>
      </c>
      <c r="F1744" s="526" t="e">
        <v>#N/A</v>
      </c>
      <c r="G1744" s="526" t="e">
        <v>#N/A</v>
      </c>
      <c r="H1744" s="412" t="e">
        <v>#N/A</v>
      </c>
      <c r="I1744" s="411" t="e">
        <v>#N/A</v>
      </c>
      <c r="J1744" s="411" t="e">
        <v>#N/A</v>
      </c>
      <c r="K1744" s="411" t="e">
        <v>#N/A</v>
      </c>
      <c r="L1744" s="526" t="e">
        <v>#N/A</v>
      </c>
    </row>
    <row r="1745" spans="1:12" ht="15" x14ac:dyDescent="0.25">
      <c r="A1745">
        <v>214077</v>
      </c>
      <c r="B1745" t="e">
        <f t="shared" si="74"/>
        <v>#N/A</v>
      </c>
      <c r="C1745" s="198" t="e">
        <f t="shared" si="75"/>
        <v>#N/A</v>
      </c>
      <c r="D1745" s="526" t="e">
        <v>#N/A</v>
      </c>
      <c r="E1745" s="526" t="e">
        <v>#N/A</v>
      </c>
      <c r="F1745" s="526" t="e">
        <v>#N/A</v>
      </c>
      <c r="G1745" s="526" t="e">
        <v>#N/A</v>
      </c>
      <c r="H1745" s="412" t="e">
        <v>#N/A</v>
      </c>
      <c r="I1745" s="411" t="e">
        <v>#N/A</v>
      </c>
      <c r="J1745" s="411" t="e">
        <v>#N/A</v>
      </c>
      <c r="K1745" s="411" t="e">
        <v>#N/A</v>
      </c>
      <c r="L1745" s="526" t="e">
        <v>#N/A</v>
      </c>
    </row>
    <row r="1746" spans="1:12" ht="15" x14ac:dyDescent="0.25">
      <c r="A1746">
        <v>215527</v>
      </c>
      <c r="B1746" t="e">
        <f t="shared" si="74"/>
        <v>#N/A</v>
      </c>
      <c r="C1746" s="198" t="e">
        <f t="shared" si="75"/>
        <v>#N/A</v>
      </c>
      <c r="D1746" s="526" t="e">
        <v>#N/A</v>
      </c>
      <c r="E1746" s="526" t="e">
        <v>#N/A</v>
      </c>
      <c r="F1746" s="526" t="e">
        <v>#N/A</v>
      </c>
      <c r="G1746" s="526" t="e">
        <v>#N/A</v>
      </c>
      <c r="H1746" s="412" t="e">
        <v>#N/A</v>
      </c>
      <c r="I1746" s="411" t="e">
        <v>#N/A</v>
      </c>
      <c r="J1746" s="411" t="e">
        <v>#N/A</v>
      </c>
      <c r="K1746" s="411" t="e">
        <v>#N/A</v>
      </c>
      <c r="L1746" s="526" t="e">
        <v>#N/A</v>
      </c>
    </row>
    <row r="1747" spans="1:12" ht="15" x14ac:dyDescent="0.25">
      <c r="A1747">
        <v>215528</v>
      </c>
      <c r="B1747" t="e">
        <f t="shared" si="74"/>
        <v>#N/A</v>
      </c>
      <c r="C1747" s="198" t="e">
        <f t="shared" si="75"/>
        <v>#N/A</v>
      </c>
      <c r="D1747" s="526" t="e">
        <v>#N/A</v>
      </c>
      <c r="E1747" s="526" t="e">
        <v>#N/A</v>
      </c>
      <c r="F1747" s="526" t="e">
        <v>#N/A</v>
      </c>
      <c r="G1747" s="526" t="e">
        <v>#N/A</v>
      </c>
      <c r="H1747" s="412" t="e">
        <v>#N/A</v>
      </c>
      <c r="I1747" s="411" t="e">
        <v>#N/A</v>
      </c>
      <c r="J1747" s="411" t="e">
        <v>#N/A</v>
      </c>
      <c r="K1747" s="411" t="e">
        <v>#N/A</v>
      </c>
      <c r="L1747" s="526" t="e">
        <v>#N/A</v>
      </c>
    </row>
    <row r="1748" spans="1:12" ht="15" x14ac:dyDescent="0.25">
      <c r="A1748">
        <v>216385</v>
      </c>
      <c r="B1748" t="e">
        <f t="shared" si="74"/>
        <v>#N/A</v>
      </c>
      <c r="C1748" s="198" t="e">
        <f t="shared" si="75"/>
        <v>#N/A</v>
      </c>
      <c r="D1748" s="526" t="e">
        <v>#N/A</v>
      </c>
      <c r="E1748" s="526" t="e">
        <v>#N/A</v>
      </c>
      <c r="F1748" s="526" t="e">
        <v>#N/A</v>
      </c>
      <c r="G1748" s="526" t="e">
        <v>#N/A</v>
      </c>
      <c r="H1748" s="412" t="e">
        <v>#N/A</v>
      </c>
      <c r="I1748" s="411" t="e">
        <v>#N/A</v>
      </c>
      <c r="J1748" s="411" t="e">
        <v>#N/A</v>
      </c>
      <c r="K1748" s="411" t="e">
        <v>#N/A</v>
      </c>
      <c r="L1748" s="526" t="e">
        <v>#N/A</v>
      </c>
    </row>
    <row r="1749" spans="1:12" ht="15" x14ac:dyDescent="0.25">
      <c r="A1749">
        <v>216618</v>
      </c>
      <c r="B1749" t="e">
        <f t="shared" si="74"/>
        <v>#N/A</v>
      </c>
      <c r="C1749" s="198" t="e">
        <f t="shared" si="75"/>
        <v>#N/A</v>
      </c>
      <c r="D1749" s="526" t="e">
        <v>#N/A</v>
      </c>
      <c r="E1749" s="526" t="e">
        <v>#N/A</v>
      </c>
      <c r="F1749" s="526" t="e">
        <v>#N/A</v>
      </c>
      <c r="G1749" s="526" t="e">
        <v>#N/A</v>
      </c>
      <c r="H1749" s="412" t="e">
        <v>#N/A</v>
      </c>
      <c r="I1749" s="411" t="e">
        <v>#N/A</v>
      </c>
      <c r="J1749" s="411" t="e">
        <v>#N/A</v>
      </c>
      <c r="K1749" s="411" t="e">
        <v>#N/A</v>
      </c>
      <c r="L1749" s="526" t="e">
        <v>#N/A</v>
      </c>
    </row>
    <row r="1750" spans="1:12" ht="15" x14ac:dyDescent="0.25">
      <c r="A1750">
        <v>216852</v>
      </c>
      <c r="B1750" t="e">
        <f t="shared" ref="B1750:B1805" si="76">IF($A$2=1,D1750,IF($A$2=2,F1750,IF($A$2=3,G1750,IF($A$2=4,E1750,"zadat jazyk"))))</f>
        <v>#N/A</v>
      </c>
      <c r="C1750" s="198" t="e">
        <f t="shared" ref="C1750:C1805" si="77">IF($A$2=1,H1750,IF($A$2=2,I1750,IF($A$2=3,J1750,IF($A$2=4,K1750,"zadat jazyk"))))</f>
        <v>#N/A</v>
      </c>
      <c r="D1750" s="526" t="e">
        <v>#N/A</v>
      </c>
      <c r="E1750" s="526" t="e">
        <v>#N/A</v>
      </c>
      <c r="F1750" s="526" t="e">
        <v>#N/A</v>
      </c>
      <c r="G1750" s="526" t="e">
        <v>#N/A</v>
      </c>
      <c r="H1750" s="412" t="e">
        <v>#N/A</v>
      </c>
      <c r="I1750" s="411" t="e">
        <v>#N/A</v>
      </c>
      <c r="J1750" s="411" t="e">
        <v>#N/A</v>
      </c>
      <c r="K1750" s="411" t="e">
        <v>#N/A</v>
      </c>
      <c r="L1750" s="526" t="e">
        <v>#N/A</v>
      </c>
    </row>
    <row r="1751" spans="1:12" ht="15" x14ac:dyDescent="0.25">
      <c r="A1751">
        <v>217068</v>
      </c>
      <c r="B1751" t="e">
        <f t="shared" si="76"/>
        <v>#N/A</v>
      </c>
      <c r="C1751" s="198" t="e">
        <f t="shared" si="77"/>
        <v>#N/A</v>
      </c>
      <c r="D1751" s="526" t="e">
        <v>#N/A</v>
      </c>
      <c r="E1751" s="526" t="e">
        <v>#N/A</v>
      </c>
      <c r="F1751" s="526" t="e">
        <v>#N/A</v>
      </c>
      <c r="G1751" s="526" t="e">
        <v>#N/A</v>
      </c>
      <c r="H1751" s="412" t="e">
        <v>#N/A</v>
      </c>
      <c r="I1751" s="411" t="e">
        <v>#N/A</v>
      </c>
      <c r="J1751" s="411" t="e">
        <v>#N/A</v>
      </c>
      <c r="K1751" s="411" t="e">
        <v>#N/A</v>
      </c>
      <c r="L1751" s="526" t="e">
        <v>#N/A</v>
      </c>
    </row>
    <row r="1752" spans="1:12" ht="15" x14ac:dyDescent="0.25">
      <c r="A1752">
        <v>275323</v>
      </c>
      <c r="B1752" t="e">
        <f t="shared" si="76"/>
        <v>#N/A</v>
      </c>
      <c r="C1752" s="198" t="e">
        <f t="shared" si="77"/>
        <v>#N/A</v>
      </c>
      <c r="D1752" s="526" t="e">
        <v>#N/A</v>
      </c>
      <c r="E1752" s="526" t="e">
        <v>#N/A</v>
      </c>
      <c r="F1752" s="526" t="e">
        <v>#N/A</v>
      </c>
      <c r="G1752" s="526" t="e">
        <v>#N/A</v>
      </c>
      <c r="H1752" s="412" t="e">
        <v>#N/A</v>
      </c>
      <c r="I1752" s="411" t="e">
        <v>#N/A</v>
      </c>
      <c r="J1752" s="411" t="e">
        <v>#N/A</v>
      </c>
      <c r="K1752" s="411" t="e">
        <v>#N/A</v>
      </c>
      <c r="L1752" s="526" t="e">
        <v>#N/A</v>
      </c>
    </row>
    <row r="1753" spans="1:12" ht="15" x14ac:dyDescent="0.25">
      <c r="A1753">
        <v>275733</v>
      </c>
      <c r="B1753" t="e">
        <f t="shared" si="76"/>
        <v>#N/A</v>
      </c>
      <c r="C1753" s="198" t="e">
        <f t="shared" si="77"/>
        <v>#N/A</v>
      </c>
      <c r="D1753" s="526" t="e">
        <v>#N/A</v>
      </c>
      <c r="E1753" s="526" t="e">
        <v>#N/A</v>
      </c>
      <c r="F1753" s="526" t="e">
        <v>#N/A</v>
      </c>
      <c r="G1753" s="526" t="e">
        <v>#N/A</v>
      </c>
      <c r="H1753" s="412" t="e">
        <v>#N/A</v>
      </c>
      <c r="I1753" s="411" t="e">
        <v>#N/A</v>
      </c>
      <c r="J1753" s="411" t="e">
        <v>#N/A</v>
      </c>
      <c r="K1753" s="411" t="e">
        <v>#N/A</v>
      </c>
      <c r="L1753" s="526" t="e">
        <v>#N/A</v>
      </c>
    </row>
    <row r="1754" spans="1:12" ht="15" x14ac:dyDescent="0.25">
      <c r="A1754">
        <v>276410</v>
      </c>
      <c r="B1754" t="e">
        <f t="shared" si="76"/>
        <v>#N/A</v>
      </c>
      <c r="C1754" s="198" t="e">
        <f t="shared" si="77"/>
        <v>#N/A</v>
      </c>
      <c r="D1754" s="526" t="e">
        <v>#N/A</v>
      </c>
      <c r="E1754" s="526" t="e">
        <v>#N/A</v>
      </c>
      <c r="F1754" s="526" t="e">
        <v>#N/A</v>
      </c>
      <c r="G1754" s="526" t="e">
        <v>#N/A</v>
      </c>
      <c r="H1754" s="412" t="e">
        <v>#N/A</v>
      </c>
      <c r="I1754" s="411" t="e">
        <v>#N/A</v>
      </c>
      <c r="J1754" s="411" t="e">
        <v>#N/A</v>
      </c>
      <c r="K1754" s="411" t="e">
        <v>#N/A</v>
      </c>
      <c r="L1754" s="526" t="e">
        <v>#N/A</v>
      </c>
    </row>
    <row r="1755" spans="1:12" ht="15" x14ac:dyDescent="0.25">
      <c r="A1755">
        <v>276411</v>
      </c>
      <c r="B1755" t="e">
        <f t="shared" si="76"/>
        <v>#N/A</v>
      </c>
      <c r="C1755" s="198" t="e">
        <f t="shared" si="77"/>
        <v>#N/A</v>
      </c>
      <c r="D1755" s="526" t="e">
        <v>#N/A</v>
      </c>
      <c r="E1755" s="526" t="e">
        <v>#N/A</v>
      </c>
      <c r="F1755" s="526" t="e">
        <v>#N/A</v>
      </c>
      <c r="G1755" s="526" t="e">
        <v>#N/A</v>
      </c>
      <c r="H1755" s="412" t="e">
        <v>#N/A</v>
      </c>
      <c r="I1755" s="411" t="e">
        <v>#N/A</v>
      </c>
      <c r="J1755" s="411" t="e">
        <v>#N/A</v>
      </c>
      <c r="K1755" s="411" t="e">
        <v>#N/A</v>
      </c>
      <c r="L1755" s="526" t="e">
        <v>#N/A</v>
      </c>
    </row>
    <row r="1756" spans="1:12" ht="15" x14ac:dyDescent="0.25">
      <c r="A1756">
        <v>276423</v>
      </c>
      <c r="B1756" t="e">
        <f t="shared" si="76"/>
        <v>#N/A</v>
      </c>
      <c r="C1756" s="198" t="e">
        <f t="shared" si="77"/>
        <v>#N/A</v>
      </c>
      <c r="D1756" s="526" t="e">
        <v>#N/A</v>
      </c>
      <c r="E1756" s="526" t="e">
        <v>#N/A</v>
      </c>
      <c r="F1756" s="526" t="e">
        <v>#N/A</v>
      </c>
      <c r="G1756" s="526" t="e">
        <v>#N/A</v>
      </c>
      <c r="H1756" s="412" t="e">
        <v>#N/A</v>
      </c>
      <c r="I1756" s="411" t="e">
        <v>#N/A</v>
      </c>
      <c r="J1756" s="411" t="e">
        <v>#N/A</v>
      </c>
      <c r="K1756" s="411" t="e">
        <v>#N/A</v>
      </c>
      <c r="L1756" s="526" t="e">
        <v>#N/A</v>
      </c>
    </row>
    <row r="1757" spans="1:12" ht="15" x14ac:dyDescent="0.25">
      <c r="A1757">
        <v>276425</v>
      </c>
      <c r="B1757" t="e">
        <f t="shared" si="76"/>
        <v>#N/A</v>
      </c>
      <c r="C1757" s="198" t="e">
        <f t="shared" si="77"/>
        <v>#N/A</v>
      </c>
      <c r="D1757" s="526" t="e">
        <v>#N/A</v>
      </c>
      <c r="E1757" s="526" t="e">
        <v>#N/A</v>
      </c>
      <c r="F1757" s="526" t="e">
        <v>#N/A</v>
      </c>
      <c r="G1757" s="526" t="e">
        <v>#N/A</v>
      </c>
      <c r="H1757" s="412" t="e">
        <v>#N/A</v>
      </c>
      <c r="I1757" s="411" t="e">
        <v>#N/A</v>
      </c>
      <c r="J1757" s="411" t="e">
        <v>#N/A</v>
      </c>
      <c r="K1757" s="411" t="e">
        <v>#N/A</v>
      </c>
      <c r="L1757" s="526" t="e">
        <v>#N/A</v>
      </c>
    </row>
    <row r="1758" spans="1:12" ht="15" x14ac:dyDescent="0.25">
      <c r="A1758">
        <v>276433</v>
      </c>
      <c r="B1758" t="e">
        <f t="shared" si="76"/>
        <v>#N/A</v>
      </c>
      <c r="C1758" s="198" t="e">
        <f t="shared" si="77"/>
        <v>#N/A</v>
      </c>
      <c r="D1758" s="526" t="e">
        <v>#N/A</v>
      </c>
      <c r="E1758" s="526" t="e">
        <v>#N/A</v>
      </c>
      <c r="F1758" s="526" t="e">
        <v>#N/A</v>
      </c>
      <c r="G1758" s="526" t="e">
        <v>#N/A</v>
      </c>
      <c r="H1758" s="412" t="e">
        <v>#N/A</v>
      </c>
      <c r="I1758" s="411" t="e">
        <v>#N/A</v>
      </c>
      <c r="J1758" s="411" t="e">
        <v>#N/A</v>
      </c>
      <c r="K1758" s="411" t="e">
        <v>#N/A</v>
      </c>
      <c r="L1758" s="526" t="e">
        <v>#N/A</v>
      </c>
    </row>
    <row r="1759" spans="1:12" ht="15" x14ac:dyDescent="0.25">
      <c r="A1759">
        <v>380524</v>
      </c>
      <c r="B1759" t="e">
        <f t="shared" si="76"/>
        <v>#N/A</v>
      </c>
      <c r="C1759" s="198" t="e">
        <f t="shared" si="77"/>
        <v>#N/A</v>
      </c>
      <c r="D1759" s="526" t="e">
        <v>#N/A</v>
      </c>
      <c r="E1759" s="526" t="e">
        <v>#N/A</v>
      </c>
      <c r="F1759" s="526" t="e">
        <v>#N/A</v>
      </c>
      <c r="G1759" s="526" t="e">
        <v>#N/A</v>
      </c>
      <c r="H1759" s="412" t="e">
        <v>#N/A</v>
      </c>
      <c r="I1759" s="411" t="e">
        <v>#N/A</v>
      </c>
      <c r="J1759" s="411" t="e">
        <v>#N/A</v>
      </c>
      <c r="K1759" s="411" t="e">
        <v>#N/A</v>
      </c>
      <c r="L1759" s="526" t="e">
        <v>#N/A</v>
      </c>
    </row>
    <row r="1760" spans="1:12" ht="15" x14ac:dyDescent="0.25">
      <c r="A1760">
        <v>309906</v>
      </c>
      <c r="B1760" t="e">
        <f t="shared" si="76"/>
        <v>#N/A</v>
      </c>
      <c r="C1760" s="198" t="e">
        <f t="shared" si="77"/>
        <v>#N/A</v>
      </c>
      <c r="D1760" s="526" t="e">
        <v>#N/A</v>
      </c>
      <c r="E1760" s="526" t="e">
        <v>#N/A</v>
      </c>
      <c r="F1760" s="526" t="e">
        <v>#N/A</v>
      </c>
      <c r="G1760" s="526" t="e">
        <v>#N/A</v>
      </c>
      <c r="H1760" s="412" t="e">
        <v>#N/A</v>
      </c>
      <c r="I1760" s="411" t="e">
        <v>#N/A</v>
      </c>
      <c r="J1760" s="411" t="e">
        <v>#N/A</v>
      </c>
      <c r="K1760" s="411" t="e">
        <v>#N/A</v>
      </c>
      <c r="L1760" s="526" t="e">
        <v>#N/A</v>
      </c>
    </row>
    <row r="1761" spans="1:12" ht="15" x14ac:dyDescent="0.25">
      <c r="A1761">
        <v>309908</v>
      </c>
      <c r="B1761" t="e">
        <f t="shared" si="76"/>
        <v>#N/A</v>
      </c>
      <c r="C1761" s="198" t="e">
        <f t="shared" si="77"/>
        <v>#N/A</v>
      </c>
      <c r="D1761" s="526" t="e">
        <v>#N/A</v>
      </c>
      <c r="E1761" s="526" t="e">
        <v>#N/A</v>
      </c>
      <c r="F1761" s="526" t="e">
        <v>#N/A</v>
      </c>
      <c r="G1761" s="526" t="e">
        <v>#N/A</v>
      </c>
      <c r="H1761" s="412" t="e">
        <v>#N/A</v>
      </c>
      <c r="I1761" s="411" t="e">
        <v>#N/A</v>
      </c>
      <c r="J1761" s="411" t="e">
        <v>#N/A</v>
      </c>
      <c r="K1761" s="411" t="e">
        <v>#N/A</v>
      </c>
      <c r="L1761" s="526" t="e">
        <v>#N/A</v>
      </c>
    </row>
    <row r="1762" spans="1:12" ht="15" x14ac:dyDescent="0.25">
      <c r="A1762">
        <v>309909</v>
      </c>
      <c r="B1762" t="e">
        <f t="shared" si="76"/>
        <v>#N/A</v>
      </c>
      <c r="C1762" s="198" t="e">
        <f t="shared" si="77"/>
        <v>#N/A</v>
      </c>
      <c r="D1762" s="526" t="e">
        <v>#N/A</v>
      </c>
      <c r="E1762" s="526" t="e">
        <v>#N/A</v>
      </c>
      <c r="F1762" s="526" t="e">
        <v>#N/A</v>
      </c>
      <c r="G1762" s="526" t="e">
        <v>#N/A</v>
      </c>
      <c r="H1762" s="412" t="e">
        <v>#N/A</v>
      </c>
      <c r="I1762" s="411" t="e">
        <v>#N/A</v>
      </c>
      <c r="J1762" s="411" t="e">
        <v>#N/A</v>
      </c>
      <c r="K1762" s="411" t="e">
        <v>#N/A</v>
      </c>
      <c r="L1762" s="526" t="e">
        <v>#N/A</v>
      </c>
    </row>
    <row r="1763" spans="1:12" ht="15" x14ac:dyDescent="0.25">
      <c r="A1763">
        <v>309910</v>
      </c>
      <c r="B1763" t="e">
        <f t="shared" si="76"/>
        <v>#N/A</v>
      </c>
      <c r="C1763" s="198" t="e">
        <f t="shared" si="77"/>
        <v>#N/A</v>
      </c>
      <c r="D1763" s="526" t="e">
        <v>#N/A</v>
      </c>
      <c r="E1763" s="526" t="e">
        <v>#N/A</v>
      </c>
      <c r="F1763" s="526" t="e">
        <v>#N/A</v>
      </c>
      <c r="G1763" s="526" t="e">
        <v>#N/A</v>
      </c>
      <c r="H1763" s="412" t="e">
        <v>#N/A</v>
      </c>
      <c r="I1763" s="411" t="e">
        <v>#N/A</v>
      </c>
      <c r="J1763" s="411" t="e">
        <v>#N/A</v>
      </c>
      <c r="K1763" s="411" t="e">
        <v>#N/A</v>
      </c>
      <c r="L1763" s="526" t="e">
        <v>#N/A</v>
      </c>
    </row>
    <row r="1764" spans="1:12" ht="15" x14ac:dyDescent="0.25">
      <c r="A1764">
        <v>403116</v>
      </c>
      <c r="B1764" t="e">
        <f t="shared" si="76"/>
        <v>#N/A</v>
      </c>
      <c r="C1764" s="198" t="e">
        <f t="shared" si="77"/>
        <v>#N/A</v>
      </c>
      <c r="D1764" s="526" t="e">
        <v>#N/A</v>
      </c>
      <c r="E1764" s="526" t="e">
        <v>#N/A</v>
      </c>
      <c r="F1764" s="526" t="e">
        <v>#N/A</v>
      </c>
      <c r="G1764" s="526" t="e">
        <v>#N/A</v>
      </c>
      <c r="H1764" s="412" t="e">
        <v>#N/A</v>
      </c>
      <c r="I1764" s="411" t="e">
        <v>#N/A</v>
      </c>
      <c r="J1764" s="411" t="e">
        <v>#N/A</v>
      </c>
      <c r="K1764" s="411" t="e">
        <v>#N/A</v>
      </c>
      <c r="L1764" s="526" t="e">
        <v>#N/A</v>
      </c>
    </row>
    <row r="1765" spans="1:12" ht="15" x14ac:dyDescent="0.25">
      <c r="A1765">
        <v>403118</v>
      </c>
      <c r="B1765" t="e">
        <f t="shared" si="76"/>
        <v>#N/A</v>
      </c>
      <c r="C1765" s="198" t="e">
        <f t="shared" si="77"/>
        <v>#N/A</v>
      </c>
      <c r="D1765" s="526" t="e">
        <v>#N/A</v>
      </c>
      <c r="E1765" s="526" t="e">
        <v>#N/A</v>
      </c>
      <c r="F1765" s="526" t="e">
        <v>#N/A</v>
      </c>
      <c r="G1765" s="526" t="e">
        <v>#N/A</v>
      </c>
      <c r="H1765" s="412" t="e">
        <v>#N/A</v>
      </c>
      <c r="I1765" s="411" t="e">
        <v>#N/A</v>
      </c>
      <c r="J1765" s="411" t="e">
        <v>#N/A</v>
      </c>
      <c r="K1765" s="411" t="e">
        <v>#N/A</v>
      </c>
      <c r="L1765" s="526" t="e">
        <v>#N/A</v>
      </c>
    </row>
    <row r="1766" spans="1:12" ht="15" x14ac:dyDescent="0.25">
      <c r="A1766">
        <v>403121</v>
      </c>
      <c r="B1766" t="e">
        <f t="shared" si="76"/>
        <v>#N/A</v>
      </c>
      <c r="C1766" s="198" t="e">
        <f t="shared" si="77"/>
        <v>#N/A</v>
      </c>
      <c r="D1766" s="526" t="e">
        <v>#N/A</v>
      </c>
      <c r="E1766" s="526" t="e">
        <v>#N/A</v>
      </c>
      <c r="F1766" s="526" t="e">
        <v>#N/A</v>
      </c>
      <c r="G1766" s="526" t="e">
        <v>#N/A</v>
      </c>
      <c r="H1766" s="412" t="e">
        <v>#N/A</v>
      </c>
      <c r="I1766" s="411" t="e">
        <v>#N/A</v>
      </c>
      <c r="J1766" s="411" t="e">
        <v>#N/A</v>
      </c>
      <c r="K1766" s="411" t="e">
        <v>#N/A</v>
      </c>
      <c r="L1766" s="526" t="e">
        <v>#N/A</v>
      </c>
    </row>
    <row r="1767" spans="1:12" ht="15" x14ac:dyDescent="0.25">
      <c r="A1767">
        <v>231818</v>
      </c>
      <c r="B1767" t="e">
        <f t="shared" si="76"/>
        <v>#N/A</v>
      </c>
      <c r="C1767" s="198" t="e">
        <f t="shared" si="77"/>
        <v>#N/A</v>
      </c>
      <c r="D1767" s="526" t="e">
        <v>#N/A</v>
      </c>
      <c r="E1767" s="526" t="e">
        <v>#N/A</v>
      </c>
      <c r="F1767" s="526" t="e">
        <v>#N/A</v>
      </c>
      <c r="G1767" s="526" t="e">
        <v>#N/A</v>
      </c>
      <c r="H1767" s="412" t="e">
        <v>#N/A</v>
      </c>
      <c r="I1767" s="411" t="e">
        <v>#N/A</v>
      </c>
      <c r="J1767" s="411" t="e">
        <v>#N/A</v>
      </c>
      <c r="K1767" s="411" t="e">
        <v>#N/A</v>
      </c>
      <c r="L1767" s="526" t="e">
        <v>#N/A</v>
      </c>
    </row>
    <row r="1768" spans="1:12" ht="15" x14ac:dyDescent="0.25">
      <c r="A1768">
        <v>231877</v>
      </c>
      <c r="B1768" t="e">
        <f t="shared" si="76"/>
        <v>#N/A</v>
      </c>
      <c r="C1768" s="198" t="e">
        <f t="shared" si="77"/>
        <v>#N/A</v>
      </c>
      <c r="D1768" s="526" t="e">
        <v>#N/A</v>
      </c>
      <c r="E1768" s="526" t="e">
        <v>#N/A</v>
      </c>
      <c r="F1768" s="526" t="e">
        <v>#N/A</v>
      </c>
      <c r="G1768" s="526" t="e">
        <v>#N/A</v>
      </c>
      <c r="H1768" s="412" t="e">
        <v>#N/A</v>
      </c>
      <c r="I1768" s="411" t="e">
        <v>#N/A</v>
      </c>
      <c r="J1768" s="411" t="e">
        <v>#N/A</v>
      </c>
      <c r="K1768" s="411" t="e">
        <v>#N/A</v>
      </c>
      <c r="L1768" s="526" t="e">
        <v>#N/A</v>
      </c>
    </row>
    <row r="1769" spans="1:12" ht="15" x14ac:dyDescent="0.25">
      <c r="A1769">
        <v>231879</v>
      </c>
      <c r="B1769" t="e">
        <f t="shared" si="76"/>
        <v>#N/A</v>
      </c>
      <c r="C1769" s="198" t="e">
        <f t="shared" si="77"/>
        <v>#N/A</v>
      </c>
      <c r="D1769" s="526" t="e">
        <v>#N/A</v>
      </c>
      <c r="E1769" s="526" t="e">
        <v>#N/A</v>
      </c>
      <c r="F1769" s="526" t="e">
        <v>#N/A</v>
      </c>
      <c r="G1769" s="526" t="e">
        <v>#N/A</v>
      </c>
      <c r="H1769" s="412" t="e">
        <v>#N/A</v>
      </c>
      <c r="I1769" s="411" t="e">
        <v>#N/A</v>
      </c>
      <c r="J1769" s="411" t="e">
        <v>#N/A</v>
      </c>
      <c r="K1769" s="411" t="e">
        <v>#N/A</v>
      </c>
      <c r="L1769" s="526" t="e">
        <v>#N/A</v>
      </c>
    </row>
    <row r="1770" spans="1:12" ht="15" x14ac:dyDescent="0.25">
      <c r="A1770">
        <v>231880</v>
      </c>
      <c r="B1770" t="e">
        <f t="shared" si="76"/>
        <v>#N/A</v>
      </c>
      <c r="C1770" s="198" t="e">
        <f t="shared" si="77"/>
        <v>#N/A</v>
      </c>
      <c r="D1770" s="526" t="e">
        <v>#N/A</v>
      </c>
      <c r="E1770" s="526" t="e">
        <v>#N/A</v>
      </c>
      <c r="F1770" s="526" t="e">
        <v>#N/A</v>
      </c>
      <c r="G1770" s="526" t="e">
        <v>#N/A</v>
      </c>
      <c r="H1770" s="412" t="e">
        <v>#N/A</v>
      </c>
      <c r="I1770" s="411" t="e">
        <v>#N/A</v>
      </c>
      <c r="J1770" s="411" t="e">
        <v>#N/A</v>
      </c>
      <c r="K1770" s="411" t="e">
        <v>#N/A</v>
      </c>
      <c r="L1770" s="526" t="e">
        <v>#N/A</v>
      </c>
    </row>
    <row r="1771" spans="1:12" ht="15" x14ac:dyDescent="0.25">
      <c r="A1771">
        <v>231888</v>
      </c>
      <c r="B1771" t="e">
        <f t="shared" si="76"/>
        <v>#N/A</v>
      </c>
      <c r="C1771" s="198" t="e">
        <f t="shared" si="77"/>
        <v>#N/A</v>
      </c>
      <c r="D1771" s="526" t="e">
        <v>#N/A</v>
      </c>
      <c r="E1771" s="526" t="e">
        <v>#N/A</v>
      </c>
      <c r="F1771" s="526" t="e">
        <v>#N/A</v>
      </c>
      <c r="G1771" s="526" t="e">
        <v>#N/A</v>
      </c>
      <c r="H1771" s="412" t="e">
        <v>#N/A</v>
      </c>
      <c r="I1771" s="411" t="e">
        <v>#N/A</v>
      </c>
      <c r="J1771" s="411" t="e">
        <v>#N/A</v>
      </c>
      <c r="K1771" s="411" t="e">
        <v>#N/A</v>
      </c>
      <c r="L1771" s="526" t="e">
        <v>#N/A</v>
      </c>
    </row>
    <row r="1772" spans="1:12" ht="15" x14ac:dyDescent="0.25">
      <c r="A1772">
        <v>231889</v>
      </c>
      <c r="B1772" t="e">
        <f t="shared" si="76"/>
        <v>#N/A</v>
      </c>
      <c r="C1772" s="198" t="e">
        <f t="shared" si="77"/>
        <v>#N/A</v>
      </c>
      <c r="D1772" s="526" t="e">
        <v>#N/A</v>
      </c>
      <c r="E1772" s="526" t="e">
        <v>#N/A</v>
      </c>
      <c r="F1772" s="526" t="e">
        <v>#N/A</v>
      </c>
      <c r="G1772" s="526" t="e">
        <v>#N/A</v>
      </c>
      <c r="H1772" s="412" t="e">
        <v>#N/A</v>
      </c>
      <c r="I1772" s="411" t="e">
        <v>#N/A</v>
      </c>
      <c r="J1772" s="411" t="e">
        <v>#N/A</v>
      </c>
      <c r="K1772" s="411" t="e">
        <v>#N/A</v>
      </c>
      <c r="L1772" s="526" t="e">
        <v>#N/A</v>
      </c>
    </row>
    <row r="1773" spans="1:12" ht="15" x14ac:dyDescent="0.25">
      <c r="A1773">
        <v>231890</v>
      </c>
      <c r="B1773" t="e">
        <f t="shared" si="76"/>
        <v>#N/A</v>
      </c>
      <c r="C1773" s="198" t="e">
        <f t="shared" si="77"/>
        <v>#N/A</v>
      </c>
      <c r="D1773" s="526" t="e">
        <v>#N/A</v>
      </c>
      <c r="E1773" s="526" t="e">
        <v>#N/A</v>
      </c>
      <c r="F1773" s="526" t="e">
        <v>#N/A</v>
      </c>
      <c r="G1773" s="526" t="e">
        <v>#N/A</v>
      </c>
      <c r="H1773" s="412" t="e">
        <v>#N/A</v>
      </c>
      <c r="I1773" s="411" t="e">
        <v>#N/A</v>
      </c>
      <c r="J1773" s="411" t="e">
        <v>#N/A</v>
      </c>
      <c r="K1773" s="411" t="e">
        <v>#N/A</v>
      </c>
      <c r="L1773" s="526" t="e">
        <v>#N/A</v>
      </c>
    </row>
    <row r="1774" spans="1:12" ht="15" x14ac:dyDescent="0.25">
      <c r="A1774">
        <v>231891</v>
      </c>
      <c r="B1774" t="e">
        <f t="shared" si="76"/>
        <v>#N/A</v>
      </c>
      <c r="C1774" s="198" t="e">
        <f t="shared" si="77"/>
        <v>#N/A</v>
      </c>
      <c r="D1774" s="526" t="e">
        <v>#N/A</v>
      </c>
      <c r="E1774" s="526" t="e">
        <v>#N/A</v>
      </c>
      <c r="F1774" s="526" t="e">
        <v>#N/A</v>
      </c>
      <c r="G1774" s="526" t="e">
        <v>#N/A</v>
      </c>
      <c r="H1774" s="412" t="e">
        <v>#N/A</v>
      </c>
      <c r="I1774" s="411" t="e">
        <v>#N/A</v>
      </c>
      <c r="J1774" s="411" t="e">
        <v>#N/A</v>
      </c>
      <c r="K1774" s="411" t="e">
        <v>#N/A</v>
      </c>
      <c r="L1774" s="526" t="e">
        <v>#N/A</v>
      </c>
    </row>
    <row r="1775" spans="1:12" ht="15" x14ac:dyDescent="0.25">
      <c r="A1775">
        <v>231892</v>
      </c>
      <c r="B1775" t="e">
        <f t="shared" si="76"/>
        <v>#N/A</v>
      </c>
      <c r="C1775" s="198" t="e">
        <f t="shared" si="77"/>
        <v>#N/A</v>
      </c>
      <c r="D1775" s="526" t="e">
        <v>#N/A</v>
      </c>
      <c r="E1775" s="526" t="e">
        <v>#N/A</v>
      </c>
      <c r="F1775" s="526" t="e">
        <v>#N/A</v>
      </c>
      <c r="G1775" s="526" t="e">
        <v>#N/A</v>
      </c>
      <c r="H1775" s="412" t="e">
        <v>#N/A</v>
      </c>
      <c r="I1775" s="411" t="e">
        <v>#N/A</v>
      </c>
      <c r="J1775" s="411" t="e">
        <v>#N/A</v>
      </c>
      <c r="K1775" s="411" t="e">
        <v>#N/A</v>
      </c>
      <c r="L1775" s="526" t="e">
        <v>#N/A</v>
      </c>
    </row>
    <row r="1776" spans="1:12" ht="15" x14ac:dyDescent="0.25">
      <c r="A1776">
        <v>231893</v>
      </c>
      <c r="B1776" t="e">
        <f t="shared" si="76"/>
        <v>#N/A</v>
      </c>
      <c r="C1776" s="198" t="e">
        <f t="shared" si="77"/>
        <v>#N/A</v>
      </c>
      <c r="D1776" s="526" t="e">
        <v>#N/A</v>
      </c>
      <c r="E1776" s="526" t="e">
        <v>#N/A</v>
      </c>
      <c r="F1776" s="526" t="e">
        <v>#N/A</v>
      </c>
      <c r="G1776" s="526" t="e">
        <v>#N/A</v>
      </c>
      <c r="H1776" s="412" t="e">
        <v>#N/A</v>
      </c>
      <c r="I1776" s="411" t="e">
        <v>#N/A</v>
      </c>
      <c r="J1776" s="411" t="e">
        <v>#N/A</v>
      </c>
      <c r="K1776" s="411" t="e">
        <v>#N/A</v>
      </c>
      <c r="L1776" s="526" t="e">
        <v>#N/A</v>
      </c>
    </row>
    <row r="1777" spans="1:12" ht="15" x14ac:dyDescent="0.25">
      <c r="A1777">
        <v>231947</v>
      </c>
      <c r="B1777" t="e">
        <f t="shared" si="76"/>
        <v>#N/A</v>
      </c>
      <c r="C1777" s="198" t="e">
        <f t="shared" si="77"/>
        <v>#N/A</v>
      </c>
      <c r="D1777" s="526" t="e">
        <v>#N/A</v>
      </c>
      <c r="E1777" s="526" t="e">
        <v>#N/A</v>
      </c>
      <c r="F1777" s="526" t="e">
        <v>#N/A</v>
      </c>
      <c r="G1777" s="526" t="e">
        <v>#N/A</v>
      </c>
      <c r="H1777" s="412" t="e">
        <v>#N/A</v>
      </c>
      <c r="I1777" s="411" t="e">
        <v>#N/A</v>
      </c>
      <c r="J1777" s="411" t="e">
        <v>#N/A</v>
      </c>
      <c r="K1777" s="411" t="e">
        <v>#N/A</v>
      </c>
      <c r="L1777" s="526" t="e">
        <v>#N/A</v>
      </c>
    </row>
    <row r="1778" spans="1:12" ht="15" x14ac:dyDescent="0.25">
      <c r="A1778">
        <v>231949</v>
      </c>
      <c r="B1778" t="e">
        <f t="shared" si="76"/>
        <v>#N/A</v>
      </c>
      <c r="C1778" s="198" t="e">
        <f t="shared" si="77"/>
        <v>#N/A</v>
      </c>
      <c r="D1778" s="526" t="e">
        <v>#N/A</v>
      </c>
      <c r="E1778" s="526" t="e">
        <v>#N/A</v>
      </c>
      <c r="F1778" s="526" t="e">
        <v>#N/A</v>
      </c>
      <c r="G1778" s="526" t="e">
        <v>#N/A</v>
      </c>
      <c r="H1778" s="412" t="e">
        <v>#N/A</v>
      </c>
      <c r="I1778" s="411" t="e">
        <v>#N/A</v>
      </c>
      <c r="J1778" s="411" t="e">
        <v>#N/A</v>
      </c>
      <c r="K1778" s="411" t="e">
        <v>#N/A</v>
      </c>
      <c r="L1778" s="526" t="e">
        <v>#N/A</v>
      </c>
    </row>
    <row r="1779" spans="1:12" ht="15" x14ac:dyDescent="0.25">
      <c r="A1779">
        <v>231950</v>
      </c>
      <c r="B1779" t="e">
        <f t="shared" si="76"/>
        <v>#N/A</v>
      </c>
      <c r="C1779" s="198" t="e">
        <f t="shared" si="77"/>
        <v>#N/A</v>
      </c>
      <c r="D1779" s="526" t="e">
        <v>#N/A</v>
      </c>
      <c r="E1779" s="526" t="e">
        <v>#N/A</v>
      </c>
      <c r="F1779" s="526" t="e">
        <v>#N/A</v>
      </c>
      <c r="G1779" s="526" t="e">
        <v>#N/A</v>
      </c>
      <c r="H1779" s="412" t="e">
        <v>#N/A</v>
      </c>
      <c r="I1779" s="411" t="e">
        <v>#N/A</v>
      </c>
      <c r="J1779" s="411" t="e">
        <v>#N/A</v>
      </c>
      <c r="K1779" s="411" t="e">
        <v>#N/A</v>
      </c>
      <c r="L1779" s="526" t="e">
        <v>#N/A</v>
      </c>
    </row>
    <row r="1780" spans="1:12" ht="15" x14ac:dyDescent="0.25">
      <c r="A1780">
        <v>231954</v>
      </c>
      <c r="B1780" t="e">
        <f t="shared" si="76"/>
        <v>#N/A</v>
      </c>
      <c r="C1780" s="198" t="e">
        <f t="shared" si="77"/>
        <v>#N/A</v>
      </c>
      <c r="D1780" s="526" t="e">
        <v>#N/A</v>
      </c>
      <c r="E1780" s="526" t="e">
        <v>#N/A</v>
      </c>
      <c r="F1780" s="526" t="e">
        <v>#N/A</v>
      </c>
      <c r="G1780" s="526" t="e">
        <v>#N/A</v>
      </c>
      <c r="H1780" s="412" t="e">
        <v>#N/A</v>
      </c>
      <c r="I1780" s="411" t="e">
        <v>#N/A</v>
      </c>
      <c r="J1780" s="411" t="e">
        <v>#N/A</v>
      </c>
      <c r="K1780" s="411" t="e">
        <v>#N/A</v>
      </c>
      <c r="L1780" s="526" t="e">
        <v>#N/A</v>
      </c>
    </row>
    <row r="1781" spans="1:12" ht="15" x14ac:dyDescent="0.25">
      <c r="A1781">
        <v>231968</v>
      </c>
      <c r="B1781" t="e">
        <f t="shared" si="76"/>
        <v>#N/A</v>
      </c>
      <c r="C1781" s="198" t="e">
        <f t="shared" si="77"/>
        <v>#N/A</v>
      </c>
      <c r="D1781" s="526" t="e">
        <v>#N/A</v>
      </c>
      <c r="E1781" s="526" t="e">
        <v>#N/A</v>
      </c>
      <c r="F1781" s="526" t="e">
        <v>#N/A</v>
      </c>
      <c r="G1781" s="526" t="e">
        <v>#N/A</v>
      </c>
      <c r="H1781" s="412" t="e">
        <v>#N/A</v>
      </c>
      <c r="I1781" s="411" t="e">
        <v>#N/A</v>
      </c>
      <c r="J1781" s="411" t="e">
        <v>#N/A</v>
      </c>
      <c r="K1781" s="411" t="e">
        <v>#N/A</v>
      </c>
      <c r="L1781" s="526" t="e">
        <v>#N/A</v>
      </c>
    </row>
    <row r="1782" spans="1:12" ht="15" x14ac:dyDescent="0.25">
      <c r="A1782">
        <v>231991</v>
      </c>
      <c r="B1782" t="e">
        <f t="shared" si="76"/>
        <v>#N/A</v>
      </c>
      <c r="C1782" s="198" t="e">
        <f t="shared" si="77"/>
        <v>#N/A</v>
      </c>
      <c r="D1782" s="526" t="e">
        <v>#N/A</v>
      </c>
      <c r="E1782" s="526" t="e">
        <v>#N/A</v>
      </c>
      <c r="F1782" s="526" t="e">
        <v>#N/A</v>
      </c>
      <c r="G1782" s="526" t="e">
        <v>#N/A</v>
      </c>
      <c r="H1782" s="412" t="e">
        <v>#N/A</v>
      </c>
      <c r="I1782" s="411" t="e">
        <v>#N/A</v>
      </c>
      <c r="J1782" s="411" t="e">
        <v>#N/A</v>
      </c>
      <c r="K1782" s="411" t="e">
        <v>#N/A</v>
      </c>
      <c r="L1782" s="526" t="e">
        <v>#N/A</v>
      </c>
    </row>
    <row r="1783" spans="1:12" ht="15" x14ac:dyDescent="0.25">
      <c r="A1783">
        <v>232699</v>
      </c>
      <c r="B1783" t="e">
        <f t="shared" si="76"/>
        <v>#N/A</v>
      </c>
      <c r="C1783" s="198" t="e">
        <f t="shared" si="77"/>
        <v>#N/A</v>
      </c>
      <c r="D1783" s="526" t="e">
        <v>#N/A</v>
      </c>
      <c r="E1783" s="526" t="e">
        <v>#N/A</v>
      </c>
      <c r="F1783" s="526" t="e">
        <v>#N/A</v>
      </c>
      <c r="G1783" s="526" t="e">
        <v>#N/A</v>
      </c>
      <c r="H1783" s="412" t="e">
        <v>#N/A</v>
      </c>
      <c r="I1783" s="411" t="e">
        <v>#N/A</v>
      </c>
      <c r="J1783" s="411" t="e">
        <v>#N/A</v>
      </c>
      <c r="K1783" s="411" t="e">
        <v>#N/A</v>
      </c>
      <c r="L1783" s="526" t="e">
        <v>#N/A</v>
      </c>
    </row>
    <row r="1784" spans="1:12" ht="15" x14ac:dyDescent="0.25">
      <c r="A1784">
        <v>232700</v>
      </c>
      <c r="B1784" t="e">
        <f t="shared" si="76"/>
        <v>#N/A</v>
      </c>
      <c r="C1784" s="198" t="e">
        <f t="shared" si="77"/>
        <v>#N/A</v>
      </c>
      <c r="D1784" s="526" t="e">
        <v>#N/A</v>
      </c>
      <c r="E1784" s="526" t="e">
        <v>#N/A</v>
      </c>
      <c r="F1784" s="526" t="e">
        <v>#N/A</v>
      </c>
      <c r="G1784" s="526" t="e">
        <v>#N/A</v>
      </c>
      <c r="H1784" s="412" t="e">
        <v>#N/A</v>
      </c>
      <c r="I1784" s="411" t="e">
        <v>#N/A</v>
      </c>
      <c r="J1784" s="411" t="e">
        <v>#N/A</v>
      </c>
      <c r="K1784" s="411" t="e">
        <v>#N/A</v>
      </c>
      <c r="L1784" s="526" t="e">
        <v>#N/A</v>
      </c>
    </row>
    <row r="1785" spans="1:12" ht="15" x14ac:dyDescent="0.25">
      <c r="A1785">
        <v>232702</v>
      </c>
      <c r="B1785" t="e">
        <f t="shared" si="76"/>
        <v>#N/A</v>
      </c>
      <c r="C1785" s="198" t="e">
        <f t="shared" si="77"/>
        <v>#N/A</v>
      </c>
      <c r="D1785" s="526" t="e">
        <v>#N/A</v>
      </c>
      <c r="E1785" s="526" t="e">
        <v>#N/A</v>
      </c>
      <c r="F1785" s="526" t="e">
        <v>#N/A</v>
      </c>
      <c r="G1785" s="526" t="e">
        <v>#N/A</v>
      </c>
      <c r="H1785" s="412" t="e">
        <v>#N/A</v>
      </c>
      <c r="I1785" s="411" t="e">
        <v>#N/A</v>
      </c>
      <c r="J1785" s="411" t="e">
        <v>#N/A</v>
      </c>
      <c r="K1785" s="411" t="e">
        <v>#N/A</v>
      </c>
      <c r="L1785" s="526" t="e">
        <v>#N/A</v>
      </c>
    </row>
    <row r="1786" spans="1:12" ht="15" x14ac:dyDescent="0.25">
      <c r="A1786">
        <v>233016</v>
      </c>
      <c r="B1786" t="str">
        <f t="shared" si="76"/>
        <v>SEVROLL 03889 Gemini horné vedenie 3m biela mat</v>
      </c>
      <c r="C1786" s="198">
        <f t="shared" si="77"/>
        <v>32.20214</v>
      </c>
      <c r="D1786" s="526" t="s">
        <v>1505</v>
      </c>
      <c r="E1786" s="526" t="s">
        <v>1935</v>
      </c>
      <c r="F1786" s="526" t="s">
        <v>6010</v>
      </c>
      <c r="G1786" s="526" t="s">
        <v>6011</v>
      </c>
      <c r="H1786" s="412">
        <v>891.64607999999998</v>
      </c>
      <c r="I1786" s="411">
        <v>32.20214</v>
      </c>
      <c r="J1786" s="411">
        <v>131.79419999999999</v>
      </c>
      <c r="K1786" s="411">
        <v>12258.529769999999</v>
      </c>
      <c r="L1786" s="526" t="s">
        <v>553</v>
      </c>
    </row>
    <row r="1787" spans="1:12" ht="15" x14ac:dyDescent="0.25">
      <c r="A1787">
        <v>233020</v>
      </c>
      <c r="B1787" t="e">
        <f t="shared" si="76"/>
        <v>#N/A</v>
      </c>
      <c r="C1787" s="198" t="e">
        <f t="shared" si="77"/>
        <v>#N/A</v>
      </c>
      <c r="D1787" s="526" t="e">
        <v>#N/A</v>
      </c>
      <c r="E1787" s="526" t="e">
        <v>#N/A</v>
      </c>
      <c r="F1787" s="526" t="e">
        <v>#N/A</v>
      </c>
      <c r="G1787" s="526" t="e">
        <v>#N/A</v>
      </c>
      <c r="H1787" s="412" t="e">
        <v>#N/A</v>
      </c>
      <c r="I1787" s="411" t="e">
        <v>#N/A</v>
      </c>
      <c r="J1787" s="411" t="e">
        <v>#N/A</v>
      </c>
      <c r="K1787" s="411" t="e">
        <v>#N/A</v>
      </c>
      <c r="L1787" s="526" t="e">
        <v>#N/A</v>
      </c>
    </row>
    <row r="1788" spans="1:12" ht="15" x14ac:dyDescent="0.25">
      <c r="A1788">
        <v>233021</v>
      </c>
      <c r="B1788" t="e">
        <f t="shared" si="76"/>
        <v>#N/A</v>
      </c>
      <c r="C1788" s="198" t="e">
        <f t="shared" si="77"/>
        <v>#N/A</v>
      </c>
      <c r="D1788" s="526" t="e">
        <v>#N/A</v>
      </c>
      <c r="E1788" s="526" t="e">
        <v>#N/A</v>
      </c>
      <c r="F1788" s="526" t="e">
        <v>#N/A</v>
      </c>
      <c r="G1788" s="526" t="e">
        <v>#N/A</v>
      </c>
      <c r="H1788" s="412" t="e">
        <v>#N/A</v>
      </c>
      <c r="I1788" s="411" t="e">
        <v>#N/A</v>
      </c>
      <c r="J1788" s="411" t="e">
        <v>#N/A</v>
      </c>
      <c r="K1788" s="411" t="e">
        <v>#N/A</v>
      </c>
      <c r="L1788" s="526" t="e">
        <v>#N/A</v>
      </c>
    </row>
    <row r="1789" spans="1:12" ht="15" x14ac:dyDescent="0.25">
      <c r="A1789">
        <v>233022</v>
      </c>
      <c r="B1789" t="e">
        <f t="shared" si="76"/>
        <v>#N/A</v>
      </c>
      <c r="C1789" s="198" t="e">
        <f t="shared" si="77"/>
        <v>#N/A</v>
      </c>
      <c r="D1789" s="526" t="e">
        <v>#N/A</v>
      </c>
      <c r="E1789" s="526" t="e">
        <v>#N/A</v>
      </c>
      <c r="F1789" s="526" t="e">
        <v>#N/A</v>
      </c>
      <c r="G1789" s="526" t="e">
        <v>#N/A</v>
      </c>
      <c r="H1789" s="412" t="e">
        <v>#N/A</v>
      </c>
      <c r="I1789" s="411" t="e">
        <v>#N/A</v>
      </c>
      <c r="J1789" s="411" t="e">
        <v>#N/A</v>
      </c>
      <c r="K1789" s="411" t="e">
        <v>#N/A</v>
      </c>
      <c r="L1789" s="526" t="e">
        <v>#N/A</v>
      </c>
    </row>
    <row r="1790" spans="1:12" ht="15" x14ac:dyDescent="0.25">
      <c r="A1790">
        <v>233502</v>
      </c>
      <c r="B1790" t="e">
        <f t="shared" si="76"/>
        <v>#N/A</v>
      </c>
      <c r="C1790" s="198" t="e">
        <f t="shared" si="77"/>
        <v>#N/A</v>
      </c>
      <c r="D1790" s="526" t="e">
        <v>#N/A</v>
      </c>
      <c r="E1790" s="526" t="e">
        <v>#N/A</v>
      </c>
      <c r="F1790" s="526" t="e">
        <v>#N/A</v>
      </c>
      <c r="G1790" s="526" t="e">
        <v>#N/A</v>
      </c>
      <c r="H1790" s="412" t="e">
        <v>#N/A</v>
      </c>
      <c r="I1790" s="411" t="e">
        <v>#N/A</v>
      </c>
      <c r="J1790" s="411" t="e">
        <v>#N/A</v>
      </c>
      <c r="K1790" s="411" t="e">
        <v>#N/A</v>
      </c>
      <c r="L1790" s="526" t="e">
        <v>#N/A</v>
      </c>
    </row>
    <row r="1791" spans="1:12" ht="15" x14ac:dyDescent="0.25">
      <c r="A1791">
        <v>234164</v>
      </c>
      <c r="B1791" t="e">
        <f t="shared" si="76"/>
        <v>#N/A</v>
      </c>
      <c r="C1791" s="198" t="e">
        <f t="shared" si="77"/>
        <v>#N/A</v>
      </c>
      <c r="D1791" s="526" t="e">
        <v>#N/A</v>
      </c>
      <c r="E1791" s="526" t="e">
        <v>#N/A</v>
      </c>
      <c r="F1791" s="526" t="e">
        <v>#N/A</v>
      </c>
      <c r="G1791" s="526" t="e">
        <v>#N/A</v>
      </c>
      <c r="H1791" s="412" t="e">
        <v>#N/A</v>
      </c>
      <c r="I1791" s="411" t="e">
        <v>#N/A</v>
      </c>
      <c r="J1791" s="411" t="e">
        <v>#N/A</v>
      </c>
      <c r="K1791" s="411" t="e">
        <v>#N/A</v>
      </c>
      <c r="L1791" s="526" t="e">
        <v>#N/A</v>
      </c>
    </row>
    <row r="1792" spans="1:12" ht="15" x14ac:dyDescent="0.25">
      <c r="A1792">
        <v>234222</v>
      </c>
      <c r="B1792" t="e">
        <f t="shared" si="76"/>
        <v>#N/A</v>
      </c>
      <c r="C1792" s="198" t="e">
        <f t="shared" si="77"/>
        <v>#N/A</v>
      </c>
      <c r="D1792" s="526" t="e">
        <v>#N/A</v>
      </c>
      <c r="E1792" s="526" t="e">
        <v>#N/A</v>
      </c>
      <c r="F1792" s="526" t="e">
        <v>#N/A</v>
      </c>
      <c r="G1792" s="526" t="e">
        <v>#N/A</v>
      </c>
      <c r="H1792" s="412" t="e">
        <v>#N/A</v>
      </c>
      <c r="I1792" s="411" t="e">
        <v>#N/A</v>
      </c>
      <c r="J1792" s="411" t="e">
        <v>#N/A</v>
      </c>
      <c r="K1792" s="411" t="e">
        <v>#N/A</v>
      </c>
      <c r="L1792" s="526" t="e">
        <v>#N/A</v>
      </c>
    </row>
    <row r="1793" spans="1:12" ht="15" x14ac:dyDescent="0.25">
      <c r="A1793">
        <v>234223</v>
      </c>
      <c r="B1793" t="e">
        <f t="shared" si="76"/>
        <v>#N/A</v>
      </c>
      <c r="C1793" s="198" t="e">
        <f t="shared" si="77"/>
        <v>#N/A</v>
      </c>
      <c r="D1793" s="526" t="e">
        <v>#N/A</v>
      </c>
      <c r="E1793" s="526" t="e">
        <v>#N/A</v>
      </c>
      <c r="F1793" s="526" t="e">
        <v>#N/A</v>
      </c>
      <c r="G1793" s="526" t="e">
        <v>#N/A</v>
      </c>
      <c r="H1793" s="412" t="e">
        <v>#N/A</v>
      </c>
      <c r="I1793" s="411" t="e">
        <v>#N/A</v>
      </c>
      <c r="J1793" s="411" t="e">
        <v>#N/A</v>
      </c>
      <c r="K1793" s="411" t="e">
        <v>#N/A</v>
      </c>
      <c r="L1793" s="526" t="e">
        <v>#N/A</v>
      </c>
    </row>
    <row r="1794" spans="1:12" ht="15" x14ac:dyDescent="0.25">
      <c r="A1794">
        <v>234224</v>
      </c>
      <c r="B1794" t="e">
        <f t="shared" si="76"/>
        <v>#N/A</v>
      </c>
      <c r="C1794" s="198" t="e">
        <f t="shared" si="77"/>
        <v>#N/A</v>
      </c>
      <c r="D1794" s="526" t="e">
        <v>#N/A</v>
      </c>
      <c r="E1794" s="526" t="e">
        <v>#N/A</v>
      </c>
      <c r="F1794" s="526" t="e">
        <v>#N/A</v>
      </c>
      <c r="G1794" s="526" t="e">
        <v>#N/A</v>
      </c>
      <c r="H1794" s="412" t="e">
        <v>#N/A</v>
      </c>
      <c r="I1794" s="411" t="e">
        <v>#N/A</v>
      </c>
      <c r="J1794" s="411" t="e">
        <v>#N/A</v>
      </c>
      <c r="K1794" s="411" t="e">
        <v>#N/A</v>
      </c>
      <c r="L1794" s="526" t="e">
        <v>#N/A</v>
      </c>
    </row>
    <row r="1795" spans="1:12" ht="15" x14ac:dyDescent="0.25">
      <c r="A1795">
        <v>234227</v>
      </c>
      <c r="B1795" t="e">
        <f t="shared" si="76"/>
        <v>#N/A</v>
      </c>
      <c r="C1795" s="198" t="e">
        <f t="shared" si="77"/>
        <v>#N/A</v>
      </c>
      <c r="D1795" s="526" t="e">
        <v>#N/A</v>
      </c>
      <c r="E1795" s="526" t="e">
        <v>#N/A</v>
      </c>
      <c r="F1795" s="526" t="e">
        <v>#N/A</v>
      </c>
      <c r="G1795" s="526" t="e">
        <v>#N/A</v>
      </c>
      <c r="H1795" s="412" t="e">
        <v>#N/A</v>
      </c>
      <c r="I1795" s="411" t="e">
        <v>#N/A</v>
      </c>
      <c r="J1795" s="411" t="e">
        <v>#N/A</v>
      </c>
      <c r="K1795" s="411" t="e">
        <v>#N/A</v>
      </c>
      <c r="L1795" s="526" t="e">
        <v>#N/A</v>
      </c>
    </row>
    <row r="1796" spans="1:12" ht="15" x14ac:dyDescent="0.25">
      <c r="A1796">
        <v>234228</v>
      </c>
      <c r="B1796" t="e">
        <f t="shared" si="76"/>
        <v>#N/A</v>
      </c>
      <c r="C1796" s="198" t="e">
        <f t="shared" si="77"/>
        <v>#N/A</v>
      </c>
      <c r="D1796" s="526" t="e">
        <v>#N/A</v>
      </c>
      <c r="E1796" s="526" t="e">
        <v>#N/A</v>
      </c>
      <c r="F1796" s="526" t="e">
        <v>#N/A</v>
      </c>
      <c r="G1796" s="526" t="e">
        <v>#N/A</v>
      </c>
      <c r="H1796" s="412" t="e">
        <v>#N/A</v>
      </c>
      <c r="I1796" s="411" t="e">
        <v>#N/A</v>
      </c>
      <c r="J1796" s="411" t="e">
        <v>#N/A</v>
      </c>
      <c r="K1796" s="411" t="e">
        <v>#N/A</v>
      </c>
      <c r="L1796" s="526" t="e">
        <v>#N/A</v>
      </c>
    </row>
    <row r="1797" spans="1:12" ht="15" x14ac:dyDescent="0.25">
      <c r="A1797">
        <v>234229</v>
      </c>
      <c r="B1797" t="e">
        <f t="shared" si="76"/>
        <v>#N/A</v>
      </c>
      <c r="C1797" s="198" t="e">
        <f t="shared" si="77"/>
        <v>#N/A</v>
      </c>
      <c r="D1797" s="526" t="e">
        <v>#N/A</v>
      </c>
      <c r="E1797" s="526" t="e">
        <v>#N/A</v>
      </c>
      <c r="F1797" s="526" t="e">
        <v>#N/A</v>
      </c>
      <c r="G1797" s="526" t="e">
        <v>#N/A</v>
      </c>
      <c r="H1797" s="412" t="e">
        <v>#N/A</v>
      </c>
      <c r="I1797" s="411" t="e">
        <v>#N/A</v>
      </c>
      <c r="J1797" s="411" t="e">
        <v>#N/A</v>
      </c>
      <c r="K1797" s="411" t="e">
        <v>#N/A</v>
      </c>
      <c r="L1797" s="526" t="e">
        <v>#N/A</v>
      </c>
    </row>
    <row r="1798" spans="1:12" ht="15" x14ac:dyDescent="0.25">
      <c r="A1798">
        <v>234233</v>
      </c>
      <c r="B1798" t="e">
        <f t="shared" si="76"/>
        <v>#N/A</v>
      </c>
      <c r="C1798" s="198" t="e">
        <f t="shared" si="77"/>
        <v>#N/A</v>
      </c>
      <c r="D1798" s="526" t="e">
        <v>#N/A</v>
      </c>
      <c r="E1798" s="526" t="e">
        <v>#N/A</v>
      </c>
      <c r="F1798" s="526" t="e">
        <v>#N/A</v>
      </c>
      <c r="G1798" s="526" t="e">
        <v>#N/A</v>
      </c>
      <c r="H1798" s="412" t="e">
        <v>#N/A</v>
      </c>
      <c r="I1798" s="411" t="e">
        <v>#N/A</v>
      </c>
      <c r="J1798" s="411" t="e">
        <v>#N/A</v>
      </c>
      <c r="K1798" s="411" t="e">
        <v>#N/A</v>
      </c>
      <c r="L1798" s="526" t="e">
        <v>#N/A</v>
      </c>
    </row>
    <row r="1799" spans="1:12" ht="15" x14ac:dyDescent="0.25">
      <c r="A1799">
        <v>234263</v>
      </c>
      <c r="B1799" t="e">
        <f t="shared" si="76"/>
        <v>#N/A</v>
      </c>
      <c r="C1799" s="198" t="e">
        <f t="shared" si="77"/>
        <v>#N/A</v>
      </c>
      <c r="D1799" s="526" t="e">
        <v>#N/A</v>
      </c>
      <c r="E1799" s="526" t="e">
        <v>#N/A</v>
      </c>
      <c r="F1799" s="526" t="e">
        <v>#N/A</v>
      </c>
      <c r="G1799" s="526" t="e">
        <v>#N/A</v>
      </c>
      <c r="H1799" s="412" t="e">
        <v>#N/A</v>
      </c>
      <c r="I1799" s="411" t="e">
        <v>#N/A</v>
      </c>
      <c r="J1799" s="411" t="e">
        <v>#N/A</v>
      </c>
      <c r="K1799" s="411" t="e">
        <v>#N/A</v>
      </c>
      <c r="L1799" s="526" t="e">
        <v>#N/A</v>
      </c>
    </row>
    <row r="1800" spans="1:12" ht="15" x14ac:dyDescent="0.25">
      <c r="A1800">
        <v>234285</v>
      </c>
      <c r="B1800" t="e">
        <f t="shared" si="76"/>
        <v>#N/A</v>
      </c>
      <c r="C1800" s="198" t="e">
        <f t="shared" si="77"/>
        <v>#N/A</v>
      </c>
      <c r="D1800" s="526" t="e">
        <v>#N/A</v>
      </c>
      <c r="E1800" s="526" t="e">
        <v>#N/A</v>
      </c>
      <c r="F1800" s="526" t="e">
        <v>#N/A</v>
      </c>
      <c r="G1800" s="526" t="e">
        <v>#N/A</v>
      </c>
      <c r="H1800" s="412" t="e">
        <v>#N/A</v>
      </c>
      <c r="I1800" s="411" t="e">
        <v>#N/A</v>
      </c>
      <c r="J1800" s="411" t="e">
        <v>#N/A</v>
      </c>
      <c r="K1800" s="411" t="e">
        <v>#N/A</v>
      </c>
      <c r="L1800" s="526" t="e">
        <v>#N/A</v>
      </c>
    </row>
    <row r="1801" spans="1:12" ht="15" x14ac:dyDescent="0.25">
      <c r="A1801">
        <v>234286</v>
      </c>
      <c r="B1801" t="e">
        <f t="shared" si="76"/>
        <v>#N/A</v>
      </c>
      <c r="C1801" s="198" t="e">
        <f t="shared" si="77"/>
        <v>#N/A</v>
      </c>
      <c r="D1801" s="526" t="e">
        <v>#N/A</v>
      </c>
      <c r="E1801" s="526" t="e">
        <v>#N/A</v>
      </c>
      <c r="F1801" s="526" t="e">
        <v>#N/A</v>
      </c>
      <c r="G1801" s="526" t="e">
        <v>#N/A</v>
      </c>
      <c r="H1801" s="412" t="e">
        <v>#N/A</v>
      </c>
      <c r="I1801" s="411" t="e">
        <v>#N/A</v>
      </c>
      <c r="J1801" s="411" t="e">
        <v>#N/A</v>
      </c>
      <c r="K1801" s="411" t="e">
        <v>#N/A</v>
      </c>
      <c r="L1801" s="526" t="e">
        <v>#N/A</v>
      </c>
    </row>
    <row r="1802" spans="1:12" ht="15" x14ac:dyDescent="0.25">
      <c r="A1802">
        <v>234287</v>
      </c>
      <c r="B1802" t="e">
        <f t="shared" si="76"/>
        <v>#N/A</v>
      </c>
      <c r="C1802" s="198" t="e">
        <f t="shared" si="77"/>
        <v>#N/A</v>
      </c>
      <c r="D1802" s="526" t="e">
        <v>#N/A</v>
      </c>
      <c r="E1802" s="526" t="e">
        <v>#N/A</v>
      </c>
      <c r="F1802" s="526" t="e">
        <v>#N/A</v>
      </c>
      <c r="G1802" s="526" t="e">
        <v>#N/A</v>
      </c>
      <c r="H1802" s="412" t="e">
        <v>#N/A</v>
      </c>
      <c r="I1802" s="411" t="e">
        <v>#N/A</v>
      </c>
      <c r="J1802" s="411" t="e">
        <v>#N/A</v>
      </c>
      <c r="K1802" s="411" t="e">
        <v>#N/A</v>
      </c>
      <c r="L1802" s="526" t="e">
        <v>#N/A</v>
      </c>
    </row>
    <row r="1803" spans="1:12" ht="15" x14ac:dyDescent="0.25">
      <c r="A1803">
        <v>234288</v>
      </c>
      <c r="B1803" t="e">
        <f t="shared" si="76"/>
        <v>#N/A</v>
      </c>
      <c r="C1803" s="198" t="e">
        <f t="shared" si="77"/>
        <v>#N/A</v>
      </c>
      <c r="D1803" s="526" t="e">
        <v>#N/A</v>
      </c>
      <c r="E1803" s="526" t="e">
        <v>#N/A</v>
      </c>
      <c r="F1803" s="526" t="e">
        <v>#N/A</v>
      </c>
      <c r="G1803" s="526" t="e">
        <v>#N/A</v>
      </c>
      <c r="H1803" s="412" t="e">
        <v>#N/A</v>
      </c>
      <c r="I1803" s="411" t="e">
        <v>#N/A</v>
      </c>
      <c r="J1803" s="411" t="e">
        <v>#N/A</v>
      </c>
      <c r="K1803" s="411" t="e">
        <v>#N/A</v>
      </c>
      <c r="L1803" s="526" t="e">
        <v>#N/A</v>
      </c>
    </row>
    <row r="1804" spans="1:12" ht="15" x14ac:dyDescent="0.25">
      <c r="A1804">
        <v>234289</v>
      </c>
      <c r="B1804" t="e">
        <f t="shared" si="76"/>
        <v>#N/A</v>
      </c>
      <c r="C1804" s="198" t="e">
        <f t="shared" si="77"/>
        <v>#N/A</v>
      </c>
      <c r="D1804" s="526" t="e">
        <v>#N/A</v>
      </c>
      <c r="E1804" s="526" t="e">
        <v>#N/A</v>
      </c>
      <c r="F1804" s="526" t="e">
        <v>#N/A</v>
      </c>
      <c r="G1804" s="526" t="e">
        <v>#N/A</v>
      </c>
      <c r="H1804" s="412" t="e">
        <v>#N/A</v>
      </c>
      <c r="I1804" s="411" t="e">
        <v>#N/A</v>
      </c>
      <c r="J1804" s="411" t="e">
        <v>#N/A</v>
      </c>
      <c r="K1804" s="411" t="e">
        <v>#N/A</v>
      </c>
      <c r="L1804" s="526" t="e">
        <v>#N/A</v>
      </c>
    </row>
    <row r="1805" spans="1:12" ht="15" x14ac:dyDescent="0.25">
      <c r="A1805">
        <v>234643</v>
      </c>
      <c r="B1805" t="e">
        <f t="shared" si="76"/>
        <v>#N/A</v>
      </c>
      <c r="C1805" s="198" t="e">
        <f t="shared" si="77"/>
        <v>#N/A</v>
      </c>
      <c r="D1805" s="526" t="e">
        <v>#N/A</v>
      </c>
      <c r="E1805" s="526" t="e">
        <v>#N/A</v>
      </c>
      <c r="F1805" s="526" t="e">
        <v>#N/A</v>
      </c>
      <c r="G1805" s="526" t="e">
        <v>#N/A</v>
      </c>
      <c r="H1805" s="412" t="e">
        <v>#N/A</v>
      </c>
      <c r="I1805" s="411" t="e">
        <v>#N/A</v>
      </c>
      <c r="J1805" s="411" t="e">
        <v>#N/A</v>
      </c>
      <c r="K1805" s="411" t="e">
        <v>#N/A</v>
      </c>
      <c r="L1805" s="526" t="e">
        <v>#N/A</v>
      </c>
    </row>
    <row r="1806" spans="1:12" ht="15" x14ac:dyDescent="0.25">
      <c r="A1806">
        <v>234758</v>
      </c>
      <c r="B1806" t="e">
        <f t="shared" ref="B1806:B1858" si="78">IF($A$2=1,D1806,IF($A$2=2,F1806,IF($A$2=3,G1806,IF($A$2=4,E1806,"zadat jazyk"))))</f>
        <v>#N/A</v>
      </c>
      <c r="C1806" s="198" t="e">
        <f t="shared" ref="C1806:C1858" si="79">IF($A$2=1,H1806,IF($A$2=2,I1806,IF($A$2=3,J1806,IF($A$2=4,K1806,"zadat jazyk"))))</f>
        <v>#N/A</v>
      </c>
      <c r="D1806" s="526" t="e">
        <v>#N/A</v>
      </c>
      <c r="E1806" s="526" t="e">
        <v>#N/A</v>
      </c>
      <c r="F1806" s="526" t="e">
        <v>#N/A</v>
      </c>
      <c r="G1806" s="526" t="e">
        <v>#N/A</v>
      </c>
      <c r="H1806" s="412" t="e">
        <v>#N/A</v>
      </c>
      <c r="I1806" s="411" t="e">
        <v>#N/A</v>
      </c>
      <c r="J1806" s="411" t="e">
        <v>#N/A</v>
      </c>
      <c r="K1806" s="411" t="e">
        <v>#N/A</v>
      </c>
      <c r="L1806" s="526" t="e">
        <v>#N/A</v>
      </c>
    </row>
    <row r="1807" spans="1:12" ht="15" x14ac:dyDescent="0.25">
      <c r="A1807">
        <v>234759</v>
      </c>
      <c r="B1807" t="e">
        <f t="shared" si="78"/>
        <v>#N/A</v>
      </c>
      <c r="C1807" s="198" t="e">
        <f t="shared" si="79"/>
        <v>#N/A</v>
      </c>
      <c r="D1807" s="526" t="e">
        <v>#N/A</v>
      </c>
      <c r="E1807" s="526" t="e">
        <v>#N/A</v>
      </c>
      <c r="F1807" s="526" t="e">
        <v>#N/A</v>
      </c>
      <c r="G1807" s="526" t="e">
        <v>#N/A</v>
      </c>
      <c r="H1807" s="412" t="e">
        <v>#N/A</v>
      </c>
      <c r="I1807" s="411" t="e">
        <v>#N/A</v>
      </c>
      <c r="J1807" s="411" t="e">
        <v>#N/A</v>
      </c>
      <c r="K1807" s="411" t="e">
        <v>#N/A</v>
      </c>
      <c r="L1807" s="526" t="e">
        <v>#N/A</v>
      </c>
    </row>
    <row r="1808" spans="1:12" ht="15" x14ac:dyDescent="0.25">
      <c r="A1808">
        <v>234763</v>
      </c>
      <c r="B1808" t="e">
        <f t="shared" si="78"/>
        <v>#N/A</v>
      </c>
      <c r="C1808" s="198" t="e">
        <f t="shared" si="79"/>
        <v>#N/A</v>
      </c>
      <c r="D1808" s="526" t="e">
        <v>#N/A</v>
      </c>
      <c r="E1808" s="526" t="e">
        <v>#N/A</v>
      </c>
      <c r="F1808" s="526" t="e">
        <v>#N/A</v>
      </c>
      <c r="G1808" s="526" t="e">
        <v>#N/A</v>
      </c>
      <c r="H1808" s="412" t="e">
        <v>#N/A</v>
      </c>
      <c r="I1808" s="411" t="e">
        <v>#N/A</v>
      </c>
      <c r="J1808" s="411" t="e">
        <v>#N/A</v>
      </c>
      <c r="K1808" s="411" t="e">
        <v>#N/A</v>
      </c>
      <c r="L1808" s="526" t="e">
        <v>#N/A</v>
      </c>
    </row>
    <row r="1809" spans="1:12" ht="15" x14ac:dyDescent="0.25">
      <c r="A1809">
        <v>234764</v>
      </c>
      <c r="B1809" t="e">
        <f t="shared" si="78"/>
        <v>#N/A</v>
      </c>
      <c r="C1809" s="198" t="e">
        <f t="shared" si="79"/>
        <v>#N/A</v>
      </c>
      <c r="D1809" s="526" t="e">
        <v>#N/A</v>
      </c>
      <c r="E1809" s="526" t="e">
        <v>#N/A</v>
      </c>
      <c r="F1809" s="526" t="e">
        <v>#N/A</v>
      </c>
      <c r="G1809" s="526" t="e">
        <v>#N/A</v>
      </c>
      <c r="H1809" s="412" t="e">
        <v>#N/A</v>
      </c>
      <c r="I1809" s="411" t="e">
        <v>#N/A</v>
      </c>
      <c r="J1809" s="411" t="e">
        <v>#N/A</v>
      </c>
      <c r="K1809" s="411" t="e">
        <v>#N/A</v>
      </c>
      <c r="L1809" s="526" t="e">
        <v>#N/A</v>
      </c>
    </row>
    <row r="1810" spans="1:12" ht="15" x14ac:dyDescent="0.25">
      <c r="A1810">
        <v>234870</v>
      </c>
      <c r="B1810" t="e">
        <f t="shared" si="78"/>
        <v>#N/A</v>
      </c>
      <c r="C1810" s="198" t="e">
        <f t="shared" si="79"/>
        <v>#N/A</v>
      </c>
      <c r="D1810" s="526" t="e">
        <v>#N/A</v>
      </c>
      <c r="E1810" s="526" t="e">
        <v>#N/A</v>
      </c>
      <c r="F1810" s="526" t="e">
        <v>#N/A</v>
      </c>
      <c r="G1810" s="526" t="e">
        <v>#N/A</v>
      </c>
      <c r="H1810" s="412" t="e">
        <v>#N/A</v>
      </c>
      <c r="I1810" s="411" t="e">
        <v>#N/A</v>
      </c>
      <c r="J1810" s="411" t="e">
        <v>#N/A</v>
      </c>
      <c r="K1810" s="411" t="e">
        <v>#N/A</v>
      </c>
      <c r="L1810" s="526" t="e">
        <v>#N/A</v>
      </c>
    </row>
    <row r="1811" spans="1:12" ht="15" x14ac:dyDescent="0.25">
      <c r="A1811">
        <v>361223</v>
      </c>
      <c r="B1811" t="e">
        <f t="shared" si="78"/>
        <v>#N/A</v>
      </c>
      <c r="C1811" s="198" t="e">
        <f t="shared" si="79"/>
        <v>#N/A</v>
      </c>
      <c r="D1811" s="526" t="e">
        <v>#N/A</v>
      </c>
      <c r="E1811" s="526" t="e">
        <v>#N/A</v>
      </c>
      <c r="F1811" s="526" t="e">
        <v>#N/A</v>
      </c>
      <c r="G1811" s="526" t="e">
        <v>#N/A</v>
      </c>
      <c r="H1811" s="412" t="e">
        <v>#N/A</v>
      </c>
      <c r="I1811" s="411" t="e">
        <v>#N/A</v>
      </c>
      <c r="J1811" s="411" t="e">
        <v>#N/A</v>
      </c>
      <c r="K1811" s="411" t="e">
        <v>#N/A</v>
      </c>
      <c r="L1811" s="526" t="e">
        <v>#N/A</v>
      </c>
    </row>
    <row r="1812" spans="1:12" ht="15" x14ac:dyDescent="0.25">
      <c r="A1812">
        <v>361224</v>
      </c>
      <c r="B1812" t="e">
        <f t="shared" si="78"/>
        <v>#N/A</v>
      </c>
      <c r="C1812" s="198" t="e">
        <f t="shared" si="79"/>
        <v>#N/A</v>
      </c>
      <c r="D1812" s="526" t="e">
        <v>#N/A</v>
      </c>
      <c r="E1812" s="526" t="e">
        <v>#N/A</v>
      </c>
      <c r="F1812" s="526" t="e">
        <v>#N/A</v>
      </c>
      <c r="G1812" s="526" t="e">
        <v>#N/A</v>
      </c>
      <c r="H1812" s="412" t="e">
        <v>#N/A</v>
      </c>
      <c r="I1812" s="411" t="e">
        <v>#N/A</v>
      </c>
      <c r="J1812" s="411" t="e">
        <v>#N/A</v>
      </c>
      <c r="K1812" s="411" t="e">
        <v>#N/A</v>
      </c>
      <c r="L1812" s="526" t="e">
        <v>#N/A</v>
      </c>
    </row>
    <row r="1813" spans="1:12" ht="15" x14ac:dyDescent="0.25">
      <c r="A1813">
        <v>361361</v>
      </c>
      <c r="B1813" t="e">
        <f t="shared" si="78"/>
        <v>#N/A</v>
      </c>
      <c r="C1813" s="198" t="e">
        <f t="shared" si="79"/>
        <v>#N/A</v>
      </c>
      <c r="D1813" s="526" t="e">
        <v>#N/A</v>
      </c>
      <c r="E1813" s="526" t="e">
        <v>#N/A</v>
      </c>
      <c r="F1813" s="526" t="e">
        <v>#N/A</v>
      </c>
      <c r="G1813" s="526" t="e">
        <v>#N/A</v>
      </c>
      <c r="H1813" s="412" t="e">
        <v>#N/A</v>
      </c>
      <c r="I1813" s="411" t="e">
        <v>#N/A</v>
      </c>
      <c r="J1813" s="411" t="e">
        <v>#N/A</v>
      </c>
      <c r="K1813" s="411" t="e">
        <v>#N/A</v>
      </c>
      <c r="L1813" s="526" t="e">
        <v>#N/A</v>
      </c>
    </row>
    <row r="1814" spans="1:12" ht="15" x14ac:dyDescent="0.25">
      <c r="A1814">
        <v>361362</v>
      </c>
      <c r="B1814" t="e">
        <f t="shared" si="78"/>
        <v>#N/A</v>
      </c>
      <c r="C1814" s="198" t="e">
        <f t="shared" si="79"/>
        <v>#N/A</v>
      </c>
      <c r="D1814" s="526" t="e">
        <v>#N/A</v>
      </c>
      <c r="E1814" s="526" t="e">
        <v>#N/A</v>
      </c>
      <c r="F1814" s="526" t="e">
        <v>#N/A</v>
      </c>
      <c r="G1814" s="526" t="e">
        <v>#N/A</v>
      </c>
      <c r="H1814" s="412" t="e">
        <v>#N/A</v>
      </c>
      <c r="I1814" s="411" t="e">
        <v>#N/A</v>
      </c>
      <c r="J1814" s="411" t="e">
        <v>#N/A</v>
      </c>
      <c r="K1814" s="411" t="e">
        <v>#N/A</v>
      </c>
      <c r="L1814" s="526" t="e">
        <v>#N/A</v>
      </c>
    </row>
    <row r="1815" spans="1:12" ht="15" x14ac:dyDescent="0.25">
      <c r="A1815">
        <v>361363</v>
      </c>
      <c r="B1815" t="e">
        <f t="shared" si="78"/>
        <v>#N/A</v>
      </c>
      <c r="C1815" s="198" t="e">
        <f t="shared" si="79"/>
        <v>#N/A</v>
      </c>
      <c r="D1815" s="526" t="e">
        <v>#N/A</v>
      </c>
      <c r="E1815" s="526" t="e">
        <v>#N/A</v>
      </c>
      <c r="F1815" s="526" t="e">
        <v>#N/A</v>
      </c>
      <c r="G1815" s="526" t="e">
        <v>#N/A</v>
      </c>
      <c r="H1815" s="412" t="e">
        <v>#N/A</v>
      </c>
      <c r="I1815" s="411" t="e">
        <v>#N/A</v>
      </c>
      <c r="J1815" s="411" t="e">
        <v>#N/A</v>
      </c>
      <c r="K1815" s="411" t="e">
        <v>#N/A</v>
      </c>
      <c r="L1815" s="526" t="e">
        <v>#N/A</v>
      </c>
    </row>
    <row r="1816" spans="1:12" ht="15" x14ac:dyDescent="0.25">
      <c r="A1816">
        <v>361457</v>
      </c>
      <c r="B1816" t="e">
        <f t="shared" si="78"/>
        <v>#N/A</v>
      </c>
      <c r="C1816" s="198" t="e">
        <f t="shared" si="79"/>
        <v>#N/A</v>
      </c>
      <c r="D1816" s="526" t="e">
        <v>#N/A</v>
      </c>
      <c r="E1816" s="526" t="e">
        <v>#N/A</v>
      </c>
      <c r="F1816" s="526" t="e">
        <v>#N/A</v>
      </c>
      <c r="G1816" s="526" t="e">
        <v>#N/A</v>
      </c>
      <c r="H1816" s="412" t="e">
        <v>#N/A</v>
      </c>
      <c r="I1816" s="411" t="e">
        <v>#N/A</v>
      </c>
      <c r="J1816" s="411" t="e">
        <v>#N/A</v>
      </c>
      <c r="K1816" s="411" t="e">
        <v>#N/A</v>
      </c>
      <c r="L1816" s="526" t="e">
        <v>#N/A</v>
      </c>
    </row>
    <row r="1817" spans="1:12" ht="15" x14ac:dyDescent="0.25">
      <c r="A1817">
        <v>361511</v>
      </c>
      <c r="B1817" t="e">
        <f t="shared" si="78"/>
        <v>#N/A</v>
      </c>
      <c r="C1817" s="198" t="e">
        <f t="shared" si="79"/>
        <v>#N/A</v>
      </c>
      <c r="D1817" s="526" t="e">
        <v>#N/A</v>
      </c>
      <c r="E1817" s="526" t="e">
        <v>#N/A</v>
      </c>
      <c r="F1817" s="526" t="e">
        <v>#N/A</v>
      </c>
      <c r="G1817" s="526" t="e">
        <v>#N/A</v>
      </c>
      <c r="H1817" s="412" t="e">
        <v>#N/A</v>
      </c>
      <c r="I1817" s="411" t="e">
        <v>#N/A</v>
      </c>
      <c r="J1817" s="411" t="e">
        <v>#N/A</v>
      </c>
      <c r="K1817" s="411" t="e">
        <v>#N/A</v>
      </c>
      <c r="L1817" s="526" t="e">
        <v>#N/A</v>
      </c>
    </row>
    <row r="1818" spans="1:12" ht="15" x14ac:dyDescent="0.25">
      <c r="A1818">
        <v>361813</v>
      </c>
      <c r="B1818" t="e">
        <f t="shared" si="78"/>
        <v>#N/A</v>
      </c>
      <c r="C1818" s="198" t="e">
        <f t="shared" si="79"/>
        <v>#N/A</v>
      </c>
      <c r="D1818" s="526" t="e">
        <v>#N/A</v>
      </c>
      <c r="E1818" s="526" t="e">
        <v>#N/A</v>
      </c>
      <c r="F1818" s="526" t="e">
        <v>#N/A</v>
      </c>
      <c r="G1818" s="526" t="e">
        <v>#N/A</v>
      </c>
      <c r="H1818" s="412" t="e">
        <v>#N/A</v>
      </c>
      <c r="I1818" s="411" t="e">
        <v>#N/A</v>
      </c>
      <c r="J1818" s="411" t="e">
        <v>#N/A</v>
      </c>
      <c r="K1818" s="411" t="e">
        <v>#N/A</v>
      </c>
      <c r="L1818" s="526" t="e">
        <v>#N/A</v>
      </c>
    </row>
    <row r="1819" spans="1:12" ht="15" x14ac:dyDescent="0.25">
      <c r="A1819">
        <v>361819</v>
      </c>
      <c r="B1819" t="e">
        <f t="shared" si="78"/>
        <v>#N/A</v>
      </c>
      <c r="C1819" s="198" t="e">
        <f t="shared" si="79"/>
        <v>#N/A</v>
      </c>
      <c r="D1819" s="526" t="e">
        <v>#N/A</v>
      </c>
      <c r="E1819" s="526" t="e">
        <v>#N/A</v>
      </c>
      <c r="F1819" s="526" t="e">
        <v>#N/A</v>
      </c>
      <c r="G1819" s="526" t="e">
        <v>#N/A</v>
      </c>
      <c r="H1819" s="412" t="e">
        <v>#N/A</v>
      </c>
      <c r="I1819" s="411" t="e">
        <v>#N/A</v>
      </c>
      <c r="J1819" s="411" t="e">
        <v>#N/A</v>
      </c>
      <c r="K1819" s="411" t="e">
        <v>#N/A</v>
      </c>
      <c r="L1819" s="526" t="e">
        <v>#N/A</v>
      </c>
    </row>
    <row r="1820" spans="1:12" ht="15" x14ac:dyDescent="0.25">
      <c r="A1820">
        <v>361822</v>
      </c>
      <c r="B1820" t="e">
        <f t="shared" si="78"/>
        <v>#N/A</v>
      </c>
      <c r="C1820" s="198" t="e">
        <f t="shared" si="79"/>
        <v>#N/A</v>
      </c>
      <c r="D1820" s="526" t="e">
        <v>#N/A</v>
      </c>
      <c r="E1820" s="526" t="e">
        <v>#N/A</v>
      </c>
      <c r="F1820" s="526" t="e">
        <v>#N/A</v>
      </c>
      <c r="G1820" s="526" t="e">
        <v>#N/A</v>
      </c>
      <c r="H1820" s="412" t="e">
        <v>#N/A</v>
      </c>
      <c r="I1820" s="411" t="e">
        <v>#N/A</v>
      </c>
      <c r="J1820" s="411" t="e">
        <v>#N/A</v>
      </c>
      <c r="K1820" s="411" t="e">
        <v>#N/A</v>
      </c>
      <c r="L1820" s="526" t="e">
        <v>#N/A</v>
      </c>
    </row>
    <row r="1821" spans="1:12" ht="15" x14ac:dyDescent="0.25">
      <c r="A1821">
        <v>361829</v>
      </c>
      <c r="B1821" t="e">
        <f t="shared" si="78"/>
        <v>#N/A</v>
      </c>
      <c r="C1821" s="198" t="e">
        <f t="shared" si="79"/>
        <v>#N/A</v>
      </c>
      <c r="D1821" s="526" t="e">
        <v>#N/A</v>
      </c>
      <c r="E1821" s="526" t="e">
        <v>#N/A</v>
      </c>
      <c r="F1821" s="526" t="e">
        <v>#N/A</v>
      </c>
      <c r="G1821" s="526" t="e">
        <v>#N/A</v>
      </c>
      <c r="H1821" s="412" t="e">
        <v>#N/A</v>
      </c>
      <c r="I1821" s="411" t="e">
        <v>#N/A</v>
      </c>
      <c r="J1821" s="411" t="e">
        <v>#N/A</v>
      </c>
      <c r="K1821" s="411" t="e">
        <v>#N/A</v>
      </c>
      <c r="L1821" s="526" t="e">
        <v>#N/A</v>
      </c>
    </row>
    <row r="1822" spans="1:12" ht="15" x14ac:dyDescent="0.25">
      <c r="A1822">
        <v>361830</v>
      </c>
      <c r="B1822" t="e">
        <f t="shared" si="78"/>
        <v>#N/A</v>
      </c>
      <c r="C1822" s="198" t="e">
        <f t="shared" si="79"/>
        <v>#N/A</v>
      </c>
      <c r="D1822" s="526" t="e">
        <v>#N/A</v>
      </c>
      <c r="E1822" s="526" t="e">
        <v>#N/A</v>
      </c>
      <c r="F1822" s="526" t="e">
        <v>#N/A</v>
      </c>
      <c r="G1822" s="526" t="e">
        <v>#N/A</v>
      </c>
      <c r="H1822" s="412" t="e">
        <v>#N/A</v>
      </c>
      <c r="I1822" s="411" t="e">
        <v>#N/A</v>
      </c>
      <c r="J1822" s="411" t="e">
        <v>#N/A</v>
      </c>
      <c r="K1822" s="411" t="e">
        <v>#N/A</v>
      </c>
      <c r="L1822" s="526" t="e">
        <v>#N/A</v>
      </c>
    </row>
    <row r="1823" spans="1:12" ht="15" x14ac:dyDescent="0.25">
      <c r="A1823">
        <v>361831</v>
      </c>
      <c r="B1823" t="e">
        <f t="shared" si="78"/>
        <v>#N/A</v>
      </c>
      <c r="C1823" s="198" t="e">
        <f t="shared" si="79"/>
        <v>#N/A</v>
      </c>
      <c r="D1823" s="526" t="e">
        <v>#N/A</v>
      </c>
      <c r="E1823" s="526" t="e">
        <v>#N/A</v>
      </c>
      <c r="F1823" s="526" t="e">
        <v>#N/A</v>
      </c>
      <c r="G1823" s="526" t="e">
        <v>#N/A</v>
      </c>
      <c r="H1823" s="412" t="e">
        <v>#N/A</v>
      </c>
      <c r="I1823" s="411" t="e">
        <v>#N/A</v>
      </c>
      <c r="J1823" s="411" t="e">
        <v>#N/A</v>
      </c>
      <c r="K1823" s="411" t="e">
        <v>#N/A</v>
      </c>
      <c r="L1823" s="526" t="e">
        <v>#N/A</v>
      </c>
    </row>
    <row r="1824" spans="1:12" ht="15" x14ac:dyDescent="0.25">
      <c r="A1824">
        <v>361832</v>
      </c>
      <c r="B1824" t="e">
        <f t="shared" si="78"/>
        <v>#N/A</v>
      </c>
      <c r="C1824" s="198" t="e">
        <f t="shared" si="79"/>
        <v>#N/A</v>
      </c>
      <c r="D1824" s="526" t="e">
        <v>#N/A</v>
      </c>
      <c r="E1824" s="526" t="e">
        <v>#N/A</v>
      </c>
      <c r="F1824" s="526" t="e">
        <v>#N/A</v>
      </c>
      <c r="G1824" s="526" t="e">
        <v>#N/A</v>
      </c>
      <c r="H1824" s="412" t="e">
        <v>#N/A</v>
      </c>
      <c r="I1824" s="411" t="e">
        <v>#N/A</v>
      </c>
      <c r="J1824" s="411" t="e">
        <v>#N/A</v>
      </c>
      <c r="K1824" s="411" t="e">
        <v>#N/A</v>
      </c>
      <c r="L1824" s="526" t="e">
        <v>#N/A</v>
      </c>
    </row>
    <row r="1825" spans="1:12" ht="15" x14ac:dyDescent="0.25">
      <c r="A1825">
        <v>393868</v>
      </c>
      <c r="B1825" t="e">
        <f t="shared" si="78"/>
        <v>#N/A</v>
      </c>
      <c r="C1825" s="198" t="e">
        <f t="shared" si="79"/>
        <v>#N/A</v>
      </c>
      <c r="D1825" s="526" t="e">
        <v>#N/A</v>
      </c>
      <c r="E1825" s="526" t="e">
        <v>#N/A</v>
      </c>
      <c r="F1825" s="526" t="e">
        <v>#N/A</v>
      </c>
      <c r="G1825" s="526" t="e">
        <v>#N/A</v>
      </c>
      <c r="H1825" s="412" t="e">
        <v>#N/A</v>
      </c>
      <c r="I1825" s="411" t="e">
        <v>#N/A</v>
      </c>
      <c r="J1825" s="411" t="e">
        <v>#N/A</v>
      </c>
      <c r="K1825" s="411" t="e">
        <v>#N/A</v>
      </c>
      <c r="L1825" s="526" t="e">
        <v>#N/A</v>
      </c>
    </row>
    <row r="1826" spans="1:12" ht="15" x14ac:dyDescent="0.25">
      <c r="A1826">
        <v>393927</v>
      </c>
      <c r="B1826" t="e">
        <f t="shared" si="78"/>
        <v>#N/A</v>
      </c>
      <c r="C1826" s="198" t="e">
        <f t="shared" si="79"/>
        <v>#N/A</v>
      </c>
      <c r="D1826" s="526" t="e">
        <v>#N/A</v>
      </c>
      <c r="E1826" s="526" t="e">
        <v>#N/A</v>
      </c>
      <c r="F1826" s="526" t="e">
        <v>#N/A</v>
      </c>
      <c r="G1826" s="526" t="e">
        <v>#N/A</v>
      </c>
      <c r="H1826" s="412" t="e">
        <v>#N/A</v>
      </c>
      <c r="I1826" s="411" t="e">
        <v>#N/A</v>
      </c>
      <c r="J1826" s="411" t="e">
        <v>#N/A</v>
      </c>
      <c r="K1826" s="411" t="e">
        <v>#N/A</v>
      </c>
      <c r="L1826" s="526" t="e">
        <v>#N/A</v>
      </c>
    </row>
    <row r="1827" spans="1:12" ht="15" x14ac:dyDescent="0.25">
      <c r="A1827">
        <v>394231</v>
      </c>
      <c r="B1827" t="str">
        <f t="shared" si="78"/>
        <v>SEVROLL 04940 spodná krycia lišta Simple/Blue 2m (pre lamino 18mm) biely lesk</v>
      </c>
      <c r="C1827" s="198">
        <f t="shared" si="79"/>
        <v>17.184799999999999</v>
      </c>
      <c r="D1827" s="526" t="s">
        <v>1506</v>
      </c>
      <c r="E1827" s="526" t="s">
        <v>1936</v>
      </c>
      <c r="F1827" s="526" t="s">
        <v>6012</v>
      </c>
      <c r="G1827" s="526" t="s">
        <v>2462</v>
      </c>
      <c r="H1827" s="412">
        <v>470.69549999999998</v>
      </c>
      <c r="I1827" s="411">
        <v>17.184799999999999</v>
      </c>
      <c r="J1827" s="411">
        <v>85.189250000000001</v>
      </c>
      <c r="K1827" s="411">
        <v>6675.31808</v>
      </c>
      <c r="L1827" s="526" t="s">
        <v>553</v>
      </c>
    </row>
    <row r="1828" spans="1:12" ht="15" x14ac:dyDescent="0.25">
      <c r="A1828">
        <v>394265</v>
      </c>
      <c r="B1828" t="str">
        <f t="shared" si="78"/>
        <v>SEVROLL 04941 spodná krycia lišta Simple/Blue 3m (pre lamino 18mm) biely lesk</v>
      </c>
      <c r="C1828" s="198">
        <f t="shared" si="79"/>
        <v>25.751390000000001</v>
      </c>
      <c r="D1828" s="526" t="s">
        <v>1507</v>
      </c>
      <c r="E1828" s="526" t="s">
        <v>1937</v>
      </c>
      <c r="F1828" s="526" t="s">
        <v>6013</v>
      </c>
      <c r="G1828" s="526" t="s">
        <v>2463</v>
      </c>
      <c r="H1828" s="412">
        <v>705.3365</v>
      </c>
      <c r="I1828" s="411">
        <v>25.751390000000001</v>
      </c>
      <c r="J1828" s="411">
        <v>127.83893999999999</v>
      </c>
      <c r="K1828" s="411">
        <v>10002.95385</v>
      </c>
      <c r="L1828" s="526" t="s">
        <v>554</v>
      </c>
    </row>
    <row r="1829" spans="1:12" ht="15" x14ac:dyDescent="0.25">
      <c r="A1829">
        <v>394267</v>
      </c>
      <c r="B1829" t="str">
        <f t="shared" si="78"/>
        <v>SEVROLL 04942 horná vodiaca lišta Simple/Blue 2m (pre lamino 18mm) biely lesk</v>
      </c>
      <c r="C1829" s="198">
        <f t="shared" si="79"/>
        <v>8.7730200000000007</v>
      </c>
      <c r="D1829" s="526" t="s">
        <v>1508</v>
      </c>
      <c r="E1829" s="526" t="s">
        <v>1938</v>
      </c>
      <c r="F1829" s="526" t="s">
        <v>6014</v>
      </c>
      <c r="G1829" s="526" t="s">
        <v>2464</v>
      </c>
      <c r="H1829" s="412">
        <v>240.29499999999999</v>
      </c>
      <c r="I1829" s="411">
        <v>8.7730200000000007</v>
      </c>
      <c r="J1829" s="411">
        <v>44.207169999999998</v>
      </c>
      <c r="K1829" s="411">
        <v>3407.82</v>
      </c>
      <c r="L1829" s="526" t="s">
        <v>553</v>
      </c>
    </row>
    <row r="1830" spans="1:12" ht="15" x14ac:dyDescent="0.25">
      <c r="A1830">
        <v>394270</v>
      </c>
      <c r="B1830" t="str">
        <f t="shared" si="78"/>
        <v>SEVROLL 04943 horná vodiaca lišta Simple/Blue 3m (pre lamino 18mm) biely lesk</v>
      </c>
      <c r="C1830" s="198">
        <f t="shared" si="79"/>
        <v>13.15953</v>
      </c>
      <c r="D1830" s="526" t="s">
        <v>1509</v>
      </c>
      <c r="E1830" s="526" t="s">
        <v>1939</v>
      </c>
      <c r="F1830" s="526" t="s">
        <v>6015</v>
      </c>
      <c r="G1830" s="526" t="s">
        <v>2406</v>
      </c>
      <c r="H1830" s="412">
        <v>360.4425</v>
      </c>
      <c r="I1830" s="411">
        <v>13.15953</v>
      </c>
      <c r="J1830" s="411">
        <v>66.326480000000004</v>
      </c>
      <c r="K1830" s="411">
        <v>5111.7299999999996</v>
      </c>
      <c r="L1830" s="526" t="s">
        <v>553</v>
      </c>
    </row>
    <row r="1831" spans="1:12" ht="15" x14ac:dyDescent="0.25">
      <c r="A1831">
        <v>394273</v>
      </c>
      <c r="B1831" t="str">
        <f t="shared" si="78"/>
        <v>SEVROLL 04929 spojovacia lišta Simple/Blue H21 3m (pre lamino 18mm) biely lesk</v>
      </c>
      <c r="C1831" s="198">
        <f t="shared" si="79"/>
        <v>14.72578</v>
      </c>
      <c r="D1831" s="526" t="s">
        <v>1510</v>
      </c>
      <c r="E1831" s="526" t="s">
        <v>1940</v>
      </c>
      <c r="F1831" s="526" t="s">
        <v>6016</v>
      </c>
      <c r="G1831" s="526" t="s">
        <v>2465</v>
      </c>
      <c r="H1831" s="412">
        <v>403.55425000000002</v>
      </c>
      <c r="I1831" s="411">
        <v>14.72578</v>
      </c>
      <c r="J1831" s="411">
        <v>61.339410000000001</v>
      </c>
      <c r="K1831" s="411">
        <v>5720.1261500000001</v>
      </c>
      <c r="L1831" s="526" t="s">
        <v>553</v>
      </c>
    </row>
    <row r="1832" spans="1:12" ht="15" x14ac:dyDescent="0.25">
      <c r="A1832">
        <v>394281</v>
      </c>
      <c r="B1832" t="str">
        <f t="shared" si="78"/>
        <v>SEVROLL 04932 spojovacia lišta Simple/Blue H28 3m (pre lamino 18mm) biely lesk</v>
      </c>
      <c r="C1832" s="198">
        <f t="shared" si="79"/>
        <v>25.519169999999999</v>
      </c>
      <c r="D1832" s="526" t="s">
        <v>1511</v>
      </c>
      <c r="E1832" s="526" t="s">
        <v>1941</v>
      </c>
      <c r="F1832" s="526" t="s">
        <v>6017</v>
      </c>
      <c r="G1832" s="526" t="s">
        <v>2466</v>
      </c>
      <c r="H1832" s="412">
        <v>698.97574999999995</v>
      </c>
      <c r="I1832" s="411">
        <v>25.519169999999999</v>
      </c>
      <c r="J1832" s="411">
        <v>93.29128</v>
      </c>
      <c r="K1832" s="411">
        <v>9912.7469299999993</v>
      </c>
      <c r="L1832" s="526" t="s">
        <v>553</v>
      </c>
    </row>
    <row r="1833" spans="1:12" ht="15" x14ac:dyDescent="0.25">
      <c r="A1833">
        <v>394283</v>
      </c>
      <c r="B1833" t="str">
        <f t="shared" si="78"/>
        <v>SEVROLL 04934 Blue-V spodné vedenie 2m biela lesk</v>
      </c>
      <c r="C1833" s="198">
        <f t="shared" si="79"/>
        <v>10.39861</v>
      </c>
      <c r="D1833" s="526" t="s">
        <v>1512</v>
      </c>
      <c r="E1833" s="526" t="s">
        <v>1942</v>
      </c>
      <c r="F1833" s="526" t="s">
        <v>6018</v>
      </c>
      <c r="G1833" s="526" t="s">
        <v>2467</v>
      </c>
      <c r="H1833" s="412">
        <v>284.82024999999999</v>
      </c>
      <c r="I1833" s="411">
        <v>10.39861</v>
      </c>
      <c r="J1833" s="411">
        <v>44.993769999999998</v>
      </c>
      <c r="K1833" s="411">
        <v>4039.2688499999999</v>
      </c>
      <c r="L1833" s="526" t="s">
        <v>553</v>
      </c>
    </row>
    <row r="1834" spans="1:12" ht="15" x14ac:dyDescent="0.25">
      <c r="A1834">
        <v>394284</v>
      </c>
      <c r="B1834" t="str">
        <f t="shared" si="78"/>
        <v>SEVROLL 04935 Blue-V spodné vedenie 3m biela lesk</v>
      </c>
      <c r="C1834" s="198">
        <f t="shared" si="79"/>
        <v>15.597910000000001</v>
      </c>
      <c r="D1834" s="526" t="s">
        <v>1513</v>
      </c>
      <c r="E1834" s="526" t="s">
        <v>1943</v>
      </c>
      <c r="F1834" s="526" t="s">
        <v>6019</v>
      </c>
      <c r="G1834" s="526" t="s">
        <v>2468</v>
      </c>
      <c r="H1834" s="412">
        <v>427.58375000000001</v>
      </c>
      <c r="I1834" s="411">
        <v>15.597910000000001</v>
      </c>
      <c r="J1834" s="411">
        <v>67.490650000000002</v>
      </c>
      <c r="K1834" s="411">
        <v>6058.9034799999999</v>
      </c>
      <c r="L1834" s="526" t="s">
        <v>554</v>
      </c>
    </row>
    <row r="1835" spans="1:12" ht="15" x14ac:dyDescent="0.25">
      <c r="A1835">
        <v>394285</v>
      </c>
      <c r="B1835" t="str">
        <f t="shared" si="78"/>
        <v>SEVROLL 04936 Blue-V spodné vedenie 6m biela lesk</v>
      </c>
      <c r="C1835" s="198">
        <f t="shared" si="79"/>
        <v>31.195830000000001</v>
      </c>
      <c r="D1835" s="526" t="s">
        <v>1514</v>
      </c>
      <c r="E1835" s="526" t="s">
        <v>1944</v>
      </c>
      <c r="F1835" s="526" t="s">
        <v>6020</v>
      </c>
      <c r="G1835" s="526" t="s">
        <v>2469</v>
      </c>
      <c r="H1835" s="412">
        <v>854.46074999999996</v>
      </c>
      <c r="I1835" s="411">
        <v>31.195830000000001</v>
      </c>
      <c r="J1835" s="411">
        <v>134.91838000000001</v>
      </c>
      <c r="K1835" s="411">
        <v>12117.806930000001</v>
      </c>
      <c r="L1835" s="526" t="s">
        <v>554</v>
      </c>
    </row>
    <row r="1836" spans="1:12" ht="15" x14ac:dyDescent="0.25">
      <c r="A1836">
        <v>394287</v>
      </c>
      <c r="B1836" t="str">
        <f t="shared" si="78"/>
        <v>SEVROLL 04937 Blue horné vedenie 2m biela lesk</v>
      </c>
      <c r="C1836" s="198">
        <f t="shared" si="79"/>
        <v>19.455459999999999</v>
      </c>
      <c r="D1836" s="526" t="s">
        <v>1515</v>
      </c>
      <c r="E1836" s="526" t="s">
        <v>1945</v>
      </c>
      <c r="F1836" s="526" t="s">
        <v>6021</v>
      </c>
      <c r="G1836" s="526" t="s">
        <v>2470</v>
      </c>
      <c r="H1836" s="412">
        <v>532.8895</v>
      </c>
      <c r="I1836" s="411">
        <v>19.455459999999999</v>
      </c>
      <c r="J1836" s="411">
        <v>66.342209999999994</v>
      </c>
      <c r="K1836" s="411">
        <v>7557.3419299999996</v>
      </c>
      <c r="L1836" s="526" t="s">
        <v>553</v>
      </c>
    </row>
    <row r="1837" spans="1:12" ht="15" x14ac:dyDescent="0.25">
      <c r="A1837">
        <v>394289</v>
      </c>
      <c r="B1837" t="str">
        <f t="shared" si="78"/>
        <v>SEVROLL 04938 Blue horné vedenie 3m biela lesk</v>
      </c>
      <c r="C1837" s="198">
        <f t="shared" si="79"/>
        <v>29.18319</v>
      </c>
      <c r="D1837" s="526" t="s">
        <v>1516</v>
      </c>
      <c r="E1837" s="526" t="s">
        <v>1946</v>
      </c>
      <c r="F1837" s="526" t="s">
        <v>6022</v>
      </c>
      <c r="G1837" s="526" t="s">
        <v>2471</v>
      </c>
      <c r="H1837" s="412">
        <v>799.33425</v>
      </c>
      <c r="I1837" s="411">
        <v>29.18319</v>
      </c>
      <c r="J1837" s="411">
        <v>99.55265</v>
      </c>
      <c r="K1837" s="411">
        <v>11336.013080000001</v>
      </c>
      <c r="L1837" s="526" t="s">
        <v>553</v>
      </c>
    </row>
    <row r="1838" spans="1:12" ht="15" x14ac:dyDescent="0.25">
      <c r="A1838">
        <v>394290</v>
      </c>
      <c r="B1838" t="str">
        <f t="shared" si="78"/>
        <v>SEVROLL 04939 Blue horné vedenie 6m biela lesk</v>
      </c>
      <c r="C1838" s="198">
        <f t="shared" si="79"/>
        <v>58.366390000000003</v>
      </c>
      <c r="D1838" s="526" t="s">
        <v>1517</v>
      </c>
      <c r="E1838" s="526" t="s">
        <v>1947</v>
      </c>
      <c r="F1838" s="526" t="s">
        <v>6023</v>
      </c>
      <c r="G1838" s="526" t="s">
        <v>2472</v>
      </c>
      <c r="H1838" s="412">
        <v>1598.6685</v>
      </c>
      <c r="I1838" s="411">
        <v>58.366390000000003</v>
      </c>
      <c r="J1838" s="411">
        <v>199.01089999999999</v>
      </c>
      <c r="K1838" s="411">
        <v>22672.026150000002</v>
      </c>
      <c r="L1838" s="526" t="s">
        <v>554</v>
      </c>
    </row>
    <row r="1839" spans="1:12" ht="15" x14ac:dyDescent="0.25">
      <c r="A1839">
        <v>394690</v>
      </c>
      <c r="B1839" t="str">
        <f t="shared" si="78"/>
        <v>SEVROLL 04920-A Lynx úchytová lišta 2,7m strieborná</v>
      </c>
      <c r="C1839" s="198">
        <f t="shared" si="79"/>
        <v>22.355709999999998</v>
      </c>
      <c r="D1839" s="526" t="s">
        <v>1518</v>
      </c>
      <c r="E1839" s="526" t="s">
        <v>1948</v>
      </c>
      <c r="F1839" s="526" t="s">
        <v>6024</v>
      </c>
      <c r="G1839" s="526" t="s">
        <v>6025</v>
      </c>
      <c r="H1839" s="412">
        <v>619.43682000000001</v>
      </c>
      <c r="I1839" s="411">
        <v>22.355709999999998</v>
      </c>
      <c r="J1839" s="411">
        <v>80.671800000000005</v>
      </c>
      <c r="K1839" s="411">
        <v>8510.2487500000007</v>
      </c>
      <c r="L1839" s="526" t="s">
        <v>553</v>
      </c>
    </row>
    <row r="1840" spans="1:12" ht="15" x14ac:dyDescent="0.25">
      <c r="A1840">
        <v>394691</v>
      </c>
      <c r="B1840" t="str">
        <f t="shared" si="78"/>
        <v>SEVROLL 04920 Lynx úchytová lišta 2,7m oliva</v>
      </c>
      <c r="C1840" s="198">
        <f t="shared" si="79"/>
        <v>27.944649999999999</v>
      </c>
      <c r="D1840" s="526" t="s">
        <v>1519</v>
      </c>
      <c r="E1840" s="526" t="s">
        <v>1949</v>
      </c>
      <c r="F1840" s="526" t="s">
        <v>1519</v>
      </c>
      <c r="G1840" s="526" t="s">
        <v>2473</v>
      </c>
      <c r="H1840" s="412">
        <v>773.76017999999999</v>
      </c>
      <c r="I1840" s="411">
        <v>27.944649999999999</v>
      </c>
      <c r="J1840" s="411">
        <v>94.840900000000005</v>
      </c>
      <c r="K1840" s="411">
        <v>10637.810670000001</v>
      </c>
      <c r="L1840" s="526" t="s">
        <v>553</v>
      </c>
    </row>
    <row r="1841" spans="1:12" ht="15" x14ac:dyDescent="0.25">
      <c r="A1841">
        <v>394791</v>
      </c>
      <c r="B1841" t="str">
        <f t="shared" si="78"/>
        <v>SEVROLL 05153 Alfa II úchytová lišta 18mm 2,7m biela mat</v>
      </c>
      <c r="C1841" s="198">
        <f t="shared" si="79"/>
        <v>16.302330000000001</v>
      </c>
      <c r="D1841" s="526" t="s">
        <v>1520</v>
      </c>
      <c r="E1841" s="526" t="s">
        <v>1950</v>
      </c>
      <c r="F1841" s="526" t="s">
        <v>6026</v>
      </c>
      <c r="G1841" s="526" t="s">
        <v>2474</v>
      </c>
      <c r="H1841" s="412">
        <v>451.53872000000001</v>
      </c>
      <c r="I1841" s="411">
        <v>16.302330000000001</v>
      </c>
      <c r="J1841" s="411">
        <v>66.463200000000001</v>
      </c>
      <c r="K1841" s="411">
        <v>6205.8809199999996</v>
      </c>
      <c r="L1841" s="526" t="s">
        <v>553</v>
      </c>
    </row>
    <row r="1842" spans="1:12" ht="15" x14ac:dyDescent="0.25">
      <c r="A1842">
        <v>394792</v>
      </c>
      <c r="B1842" t="str">
        <f t="shared" si="78"/>
        <v>SEVROLL 05081 Elegant II spodné vedenie 1,7m biela mat</v>
      </c>
      <c r="C1842" s="198">
        <f t="shared" si="79"/>
        <v>10.74747</v>
      </c>
      <c r="D1842" s="526" t="s">
        <v>1521</v>
      </c>
      <c r="E1842" s="526" t="s">
        <v>1951</v>
      </c>
      <c r="F1842" s="526" t="s">
        <v>6027</v>
      </c>
      <c r="G1842" s="526" t="s">
        <v>6028</v>
      </c>
      <c r="H1842" s="412">
        <v>297.92982000000001</v>
      </c>
      <c r="I1842" s="411">
        <v>10.74747</v>
      </c>
      <c r="J1842" s="411">
        <v>40.698</v>
      </c>
      <c r="K1842" s="411">
        <v>4091.2844</v>
      </c>
      <c r="L1842" s="526" t="s">
        <v>553</v>
      </c>
    </row>
    <row r="1843" spans="1:12" ht="15" x14ac:dyDescent="0.25">
      <c r="A1843">
        <v>394795</v>
      </c>
      <c r="B1843" t="str">
        <f t="shared" si="78"/>
        <v>SEVROLL 05160 Elegant II spodné vedenie 2,35m biely mat</v>
      </c>
      <c r="C1843" s="198">
        <f t="shared" si="79"/>
        <v>14.79285</v>
      </c>
      <c r="D1843" s="526" t="s">
        <v>1522</v>
      </c>
      <c r="E1843" s="526" t="s">
        <v>1952</v>
      </c>
      <c r="F1843" s="526" t="s">
        <v>6029</v>
      </c>
      <c r="G1843" s="526" t="s">
        <v>6030</v>
      </c>
      <c r="H1843" s="412">
        <v>409.38558</v>
      </c>
      <c r="I1843" s="411">
        <v>14.79285</v>
      </c>
      <c r="J1843" s="411">
        <v>56.253</v>
      </c>
      <c r="K1843" s="411">
        <v>5631.26206</v>
      </c>
      <c r="L1843" s="526" t="s">
        <v>553</v>
      </c>
    </row>
    <row r="1844" spans="1:12" ht="15" x14ac:dyDescent="0.25">
      <c r="A1844">
        <v>394796</v>
      </c>
      <c r="B1844" t="str">
        <f t="shared" si="78"/>
        <v>SEVROLL 05161 Elegant II spodné vedenie 4,05m biela mat</v>
      </c>
      <c r="C1844" s="198">
        <f t="shared" si="79"/>
        <v>25.449750000000002</v>
      </c>
      <c r="D1844" s="526" t="s">
        <v>1523</v>
      </c>
      <c r="E1844" s="526" t="s">
        <v>1953</v>
      </c>
      <c r="F1844" s="526" t="s">
        <v>6031</v>
      </c>
      <c r="G1844" s="526" t="s">
        <v>6032</v>
      </c>
      <c r="H1844" s="412">
        <v>704.45755999999994</v>
      </c>
      <c r="I1844" s="411">
        <v>25.449750000000002</v>
      </c>
      <c r="J1844" s="411">
        <v>96.930599999999998</v>
      </c>
      <c r="K1844" s="411">
        <v>9688.0696700000008</v>
      </c>
      <c r="L1844" s="526" t="s">
        <v>553</v>
      </c>
    </row>
    <row r="1845" spans="1:12" ht="15" x14ac:dyDescent="0.25">
      <c r="A1845">
        <v>394800</v>
      </c>
      <c r="B1845" t="str">
        <f t="shared" si="78"/>
        <v>SEVROLL 05162 Elegant II spodné vedenie 6m biela mat</v>
      </c>
      <c r="C1845" s="198">
        <f t="shared" si="79"/>
        <v>37.585949999999997</v>
      </c>
      <c r="D1845" s="526" t="s">
        <v>1524</v>
      </c>
      <c r="E1845" s="526" t="s">
        <v>1954</v>
      </c>
      <c r="F1845" s="526" t="s">
        <v>6033</v>
      </c>
      <c r="G1845" s="526" t="s">
        <v>2475</v>
      </c>
      <c r="H1845" s="412">
        <v>1040.96822</v>
      </c>
      <c r="I1845" s="411">
        <v>37.585949999999997</v>
      </c>
      <c r="J1845" s="411">
        <v>143.60579999999999</v>
      </c>
      <c r="K1845" s="411">
        <v>14308.00301</v>
      </c>
      <c r="L1845" s="526" t="s">
        <v>554</v>
      </c>
    </row>
    <row r="1846" spans="1:12" ht="15" x14ac:dyDescent="0.25">
      <c r="A1846">
        <v>293169</v>
      </c>
      <c r="B1846" t="e">
        <f t="shared" si="78"/>
        <v>#N/A</v>
      </c>
      <c r="C1846" s="198" t="e">
        <f t="shared" si="79"/>
        <v>#N/A</v>
      </c>
      <c r="D1846" s="526" t="e">
        <v>#N/A</v>
      </c>
      <c r="E1846" s="526" t="e">
        <v>#N/A</v>
      </c>
      <c r="F1846" s="526" t="e">
        <v>#N/A</v>
      </c>
      <c r="G1846" s="526" t="e">
        <v>#N/A</v>
      </c>
      <c r="H1846" s="412" t="e">
        <v>#N/A</v>
      </c>
      <c r="I1846" s="411" t="e">
        <v>#N/A</v>
      </c>
      <c r="J1846" s="411" t="e">
        <v>#N/A</v>
      </c>
      <c r="K1846" s="411" t="e">
        <v>#N/A</v>
      </c>
      <c r="L1846" s="526" t="e">
        <v>#N/A</v>
      </c>
    </row>
    <row r="1847" spans="1:12" ht="15" x14ac:dyDescent="0.25">
      <c r="A1847">
        <v>293175</v>
      </c>
      <c r="B1847" t="e">
        <f t="shared" si="78"/>
        <v>#N/A</v>
      </c>
      <c r="C1847" s="198" t="e">
        <f t="shared" si="79"/>
        <v>#N/A</v>
      </c>
      <c r="D1847" s="526" t="e">
        <v>#N/A</v>
      </c>
      <c r="E1847" s="526" t="e">
        <v>#N/A</v>
      </c>
      <c r="F1847" s="526" t="e">
        <v>#N/A</v>
      </c>
      <c r="G1847" s="526" t="e">
        <v>#N/A</v>
      </c>
      <c r="H1847" s="412" t="e">
        <v>#N/A</v>
      </c>
      <c r="I1847" s="411" t="e">
        <v>#N/A</v>
      </c>
      <c r="J1847" s="411" t="e">
        <v>#N/A</v>
      </c>
      <c r="K1847" s="411" t="e">
        <v>#N/A</v>
      </c>
      <c r="L1847" s="526" t="e">
        <v>#N/A</v>
      </c>
    </row>
    <row r="1848" spans="1:12" ht="15" x14ac:dyDescent="0.25">
      <c r="A1848">
        <v>293197</v>
      </c>
      <c r="B1848" t="e">
        <f t="shared" si="78"/>
        <v>#N/A</v>
      </c>
      <c r="C1848" s="198" t="e">
        <f t="shared" si="79"/>
        <v>#N/A</v>
      </c>
      <c r="D1848" s="526" t="e">
        <v>#N/A</v>
      </c>
      <c r="E1848" s="526" t="e">
        <v>#N/A</v>
      </c>
      <c r="F1848" s="526" t="e">
        <v>#N/A</v>
      </c>
      <c r="G1848" s="526" t="e">
        <v>#N/A</v>
      </c>
      <c r="H1848" s="412" t="e">
        <v>#N/A</v>
      </c>
      <c r="I1848" s="411" t="e">
        <v>#N/A</v>
      </c>
      <c r="J1848" s="411" t="e">
        <v>#N/A</v>
      </c>
      <c r="K1848" s="411" t="e">
        <v>#N/A</v>
      </c>
      <c r="L1848" s="526" t="e">
        <v>#N/A</v>
      </c>
    </row>
    <row r="1849" spans="1:12" ht="15" x14ac:dyDescent="0.25">
      <c r="A1849">
        <v>293268</v>
      </c>
      <c r="B1849" t="e">
        <f t="shared" si="78"/>
        <v>#N/A</v>
      </c>
      <c r="C1849" s="198" t="e">
        <f t="shared" si="79"/>
        <v>#N/A</v>
      </c>
      <c r="D1849" s="526" t="e">
        <v>#N/A</v>
      </c>
      <c r="E1849" s="526" t="e">
        <v>#N/A</v>
      </c>
      <c r="F1849" s="526" t="e">
        <v>#N/A</v>
      </c>
      <c r="G1849" s="526" t="e">
        <v>#N/A</v>
      </c>
      <c r="H1849" s="412" t="e">
        <v>#N/A</v>
      </c>
      <c r="I1849" s="411" t="e">
        <v>#N/A</v>
      </c>
      <c r="J1849" s="411" t="e">
        <v>#N/A</v>
      </c>
      <c r="K1849" s="411" t="e">
        <v>#N/A</v>
      </c>
      <c r="L1849" s="526" t="e">
        <v>#N/A</v>
      </c>
    </row>
    <row r="1850" spans="1:12" ht="15" x14ac:dyDescent="0.25">
      <c r="A1850">
        <v>344179</v>
      </c>
      <c r="B1850" t="e">
        <f t="shared" si="78"/>
        <v>#N/A</v>
      </c>
      <c r="C1850" s="198" t="e">
        <f t="shared" si="79"/>
        <v>#N/A</v>
      </c>
      <c r="D1850" s="526" t="e">
        <v>#N/A</v>
      </c>
      <c r="E1850" s="526" t="e">
        <v>#N/A</v>
      </c>
      <c r="F1850" s="526" t="e">
        <v>#N/A</v>
      </c>
      <c r="G1850" s="526" t="e">
        <v>#N/A</v>
      </c>
      <c r="H1850" s="412" t="e">
        <v>#N/A</v>
      </c>
      <c r="I1850" s="411" t="e">
        <v>#N/A</v>
      </c>
      <c r="J1850" s="411" t="e">
        <v>#N/A</v>
      </c>
      <c r="K1850" s="411" t="e">
        <v>#N/A</v>
      </c>
      <c r="L1850" s="526" t="e">
        <v>#N/A</v>
      </c>
    </row>
    <row r="1851" spans="1:12" ht="15" x14ac:dyDescent="0.25">
      <c r="A1851">
        <v>146978</v>
      </c>
      <c r="B1851" t="e">
        <f t="shared" si="78"/>
        <v>#N/A</v>
      </c>
      <c r="C1851" s="198" t="e">
        <f t="shared" si="79"/>
        <v>#N/A</v>
      </c>
      <c r="D1851" s="526" t="e">
        <v>#N/A</v>
      </c>
      <c r="E1851" s="526" t="e">
        <v>#N/A</v>
      </c>
      <c r="F1851" s="526" t="e">
        <v>#N/A</v>
      </c>
      <c r="G1851" s="526" t="e">
        <v>#N/A</v>
      </c>
      <c r="H1851" s="412" t="e">
        <v>#N/A</v>
      </c>
      <c r="I1851" s="411" t="e">
        <v>#N/A</v>
      </c>
      <c r="J1851" s="411" t="e">
        <v>#N/A</v>
      </c>
      <c r="K1851" s="411" t="e">
        <v>#N/A</v>
      </c>
      <c r="L1851" s="526" t="e">
        <v>#N/A</v>
      </c>
    </row>
    <row r="1852" spans="1:12" ht="15" x14ac:dyDescent="0.25">
      <c r="A1852">
        <v>146979</v>
      </c>
      <c r="B1852" t="e">
        <f t="shared" si="78"/>
        <v>#N/A</v>
      </c>
      <c r="C1852" s="198" t="e">
        <f t="shared" si="79"/>
        <v>#N/A</v>
      </c>
      <c r="D1852" s="526" t="e">
        <v>#N/A</v>
      </c>
      <c r="E1852" s="526" t="e">
        <v>#N/A</v>
      </c>
      <c r="F1852" s="526" t="e">
        <v>#N/A</v>
      </c>
      <c r="G1852" s="526" t="e">
        <v>#N/A</v>
      </c>
      <c r="H1852" s="412" t="e">
        <v>#N/A</v>
      </c>
      <c r="I1852" s="411" t="e">
        <v>#N/A</v>
      </c>
      <c r="J1852" s="411" t="e">
        <v>#N/A</v>
      </c>
      <c r="K1852" s="411" t="e">
        <v>#N/A</v>
      </c>
      <c r="L1852" s="526" t="e">
        <v>#N/A</v>
      </c>
    </row>
    <row r="1853" spans="1:12" ht="15" x14ac:dyDescent="0.25">
      <c r="A1853">
        <v>272998</v>
      </c>
      <c r="B1853" t="str">
        <f t="shared" si="78"/>
        <v>MSE-imbusový klúc SEVROLL</v>
      </c>
      <c r="C1853" s="198" t="e">
        <f t="shared" si="79"/>
        <v>#N/A</v>
      </c>
      <c r="D1853" s="526" t="s">
        <v>1525</v>
      </c>
      <c r="E1853" s="526" t="s">
        <v>1955</v>
      </c>
      <c r="F1853" s="526" t="s">
        <v>2204</v>
      </c>
      <c r="G1853" s="526" t="s">
        <v>2476</v>
      </c>
      <c r="H1853" s="412" t="e">
        <v>#N/A</v>
      </c>
      <c r="I1853" s="411" t="e">
        <v>#N/A</v>
      </c>
      <c r="J1853" s="411" t="e">
        <v>#N/A</v>
      </c>
      <c r="K1853" s="411" t="e">
        <v>#N/A</v>
      </c>
      <c r="L1853" s="526" t="e">
        <v>#N/A</v>
      </c>
    </row>
    <row r="1854" spans="1:12" ht="15" x14ac:dyDescent="0.25">
      <c r="A1854">
        <v>378570</v>
      </c>
      <c r="B1854" t="str">
        <f t="shared" si="78"/>
        <v>SEVROLL 40265 Simple šablóna pre vozíky pre lamino 18mm</v>
      </c>
      <c r="C1854" s="198">
        <f t="shared" si="79"/>
        <v>4.6192500000000001</v>
      </c>
      <c r="D1854" s="526" t="s">
        <v>1526</v>
      </c>
      <c r="E1854" s="526" t="s">
        <v>1956</v>
      </c>
      <c r="F1854" s="526" t="s">
        <v>6034</v>
      </c>
      <c r="G1854" s="526" t="s">
        <v>6035</v>
      </c>
      <c r="H1854" s="412">
        <v>115.8982</v>
      </c>
      <c r="I1854" s="411">
        <v>4.6192500000000001</v>
      </c>
      <c r="J1854" s="411">
        <v>20.175750000000001</v>
      </c>
      <c r="K1854" s="411">
        <v>1881.7835700000001</v>
      </c>
      <c r="L1854" s="526" t="s">
        <v>554</v>
      </c>
    </row>
    <row r="1855" spans="1:12" ht="15" x14ac:dyDescent="0.25">
      <c r="A1855">
        <v>378693</v>
      </c>
      <c r="B1855" t="str">
        <f t="shared" si="78"/>
        <v/>
      </c>
      <c r="C1855" s="198">
        <f t="shared" si="79"/>
        <v>0</v>
      </c>
      <c r="D1855" s="526" t="s">
        <v>1527</v>
      </c>
      <c r="E1855" s="526" t="s">
        <v>71</v>
      </c>
      <c r="F1855" s="526" t="s">
        <v>71</v>
      </c>
      <c r="G1855" s="526" t="s">
        <v>71</v>
      </c>
      <c r="H1855" s="412">
        <v>0</v>
      </c>
      <c r="I1855" s="411">
        <v>0</v>
      </c>
      <c r="J1855" s="411">
        <v>0</v>
      </c>
      <c r="K1855" s="411">
        <v>0</v>
      </c>
      <c r="L1855" s="526" t="s">
        <v>555</v>
      </c>
    </row>
    <row r="1856" spans="1:12" ht="15" x14ac:dyDescent="0.25">
      <c r="A1856">
        <v>378694</v>
      </c>
      <c r="B1856" t="str">
        <f t="shared" si="78"/>
        <v/>
      </c>
      <c r="C1856" s="198">
        <f t="shared" si="79"/>
        <v>0</v>
      </c>
      <c r="D1856" s="526" t="s">
        <v>1528</v>
      </c>
      <c r="E1856" s="526" t="s">
        <v>71</v>
      </c>
      <c r="F1856" s="526" t="s">
        <v>71</v>
      </c>
      <c r="G1856" s="526" t="s">
        <v>71</v>
      </c>
      <c r="H1856" s="412">
        <v>0</v>
      </c>
      <c r="I1856" s="411">
        <v>0</v>
      </c>
      <c r="J1856" s="411">
        <v>0</v>
      </c>
      <c r="K1856" s="411">
        <v>0</v>
      </c>
      <c r="L1856" s="526" t="s">
        <v>555</v>
      </c>
    </row>
    <row r="1857" spans="1:12" ht="15" x14ac:dyDescent="0.25">
      <c r="A1857">
        <v>378695</v>
      </c>
      <c r="B1857" t="e">
        <f t="shared" si="78"/>
        <v>#N/A</v>
      </c>
      <c r="C1857" s="198" t="e">
        <f t="shared" si="79"/>
        <v>#N/A</v>
      </c>
      <c r="D1857" s="526" t="e">
        <v>#N/A</v>
      </c>
      <c r="E1857" s="526" t="e">
        <v>#N/A</v>
      </c>
      <c r="F1857" s="526" t="e">
        <v>#N/A</v>
      </c>
      <c r="G1857" s="526" t="e">
        <v>#N/A</v>
      </c>
      <c r="H1857" s="412" t="e">
        <v>#N/A</v>
      </c>
      <c r="I1857" s="411" t="e">
        <v>#N/A</v>
      </c>
      <c r="J1857" s="411" t="e">
        <v>#N/A</v>
      </c>
      <c r="K1857" s="411" t="e">
        <v>#N/A</v>
      </c>
      <c r="L1857" s="526" t="e">
        <v>#N/A</v>
      </c>
    </row>
    <row r="1858" spans="1:12" ht="15" x14ac:dyDescent="0.25">
      <c r="A1858">
        <v>378696</v>
      </c>
      <c r="B1858" t="str">
        <f t="shared" si="78"/>
        <v/>
      </c>
      <c r="C1858" s="198">
        <f t="shared" si="79"/>
        <v>0</v>
      </c>
      <c r="D1858" s="526" t="s">
        <v>1529</v>
      </c>
      <c r="E1858" s="526" t="s">
        <v>71</v>
      </c>
      <c r="F1858" s="526" t="s">
        <v>71</v>
      </c>
      <c r="G1858" s="526" t="s">
        <v>71</v>
      </c>
      <c r="H1858" s="412" t="e">
        <v>#N/A</v>
      </c>
      <c r="I1858" s="411">
        <v>0</v>
      </c>
      <c r="J1858" s="411">
        <v>0</v>
      </c>
      <c r="K1858" s="411">
        <v>0</v>
      </c>
      <c r="L1858" s="526" t="e">
        <v>#N/A</v>
      </c>
    </row>
    <row r="1859" spans="1:12" ht="15" x14ac:dyDescent="0.25">
      <c r="A1859">
        <v>308132</v>
      </c>
      <c r="B1859" t="e">
        <f t="shared" ref="B1859:B1894" si="80">IF($A$2=1,D1859,IF($A$2=2,F1859,IF($A$2=3,G1859,IF($A$2=4,E1859,"zadat jazyk"))))</f>
        <v>#N/A</v>
      </c>
      <c r="C1859" s="198" t="e">
        <f t="shared" ref="C1859:C1894" si="81">IF($A$2=1,H1859,IF($A$2=2,I1859,IF($A$2=3,J1859,IF($A$2=4,K1859,"zadat jazyk"))))</f>
        <v>#N/A</v>
      </c>
      <c r="D1859" s="526" t="e">
        <v>#N/A</v>
      </c>
      <c r="E1859" s="526" t="e">
        <v>#N/A</v>
      </c>
      <c r="F1859" s="526" t="e">
        <v>#N/A</v>
      </c>
      <c r="G1859" s="526" t="e">
        <v>#N/A</v>
      </c>
      <c r="H1859" s="412" t="e">
        <v>#N/A</v>
      </c>
      <c r="I1859" s="411" t="e">
        <v>#N/A</v>
      </c>
      <c r="J1859" s="411" t="e">
        <v>#N/A</v>
      </c>
      <c r="K1859" s="411" t="e">
        <v>#N/A</v>
      </c>
      <c r="L1859" s="526" t="e">
        <v>#N/A</v>
      </c>
    </row>
    <row r="1860" spans="1:12" ht="15" x14ac:dyDescent="0.25">
      <c r="A1860">
        <v>425057</v>
      </c>
      <c r="B1860" t="str">
        <f t="shared" si="80"/>
        <v>SEVROLL 05307 Fox II úchytová lišta 2,7m čierna mat</v>
      </c>
      <c r="C1860" s="198">
        <f t="shared" si="81"/>
        <v>21.41649</v>
      </c>
      <c r="D1860" s="526" t="s">
        <v>1530</v>
      </c>
      <c r="E1860" s="526" t="s">
        <v>1957</v>
      </c>
      <c r="F1860" s="526" t="s">
        <v>6036</v>
      </c>
      <c r="G1860" s="526" t="s">
        <v>2477</v>
      </c>
      <c r="H1860" s="412">
        <v>593.0018</v>
      </c>
      <c r="I1860" s="411">
        <v>21.41649</v>
      </c>
      <c r="J1860" s="411">
        <v>80.416799999999995</v>
      </c>
      <c r="K1860" s="411">
        <v>8152.7082</v>
      </c>
      <c r="L1860" s="526" t="s">
        <v>553</v>
      </c>
    </row>
    <row r="1861" spans="1:12" ht="15" x14ac:dyDescent="0.25">
      <c r="A1861">
        <v>452321</v>
      </c>
      <c r="B1861" t="e">
        <f t="shared" si="80"/>
        <v>#N/A</v>
      </c>
      <c r="C1861" s="198" t="e">
        <f t="shared" si="81"/>
        <v>#N/A</v>
      </c>
      <c r="D1861" s="526" t="e">
        <v>#N/A</v>
      </c>
      <c r="E1861" s="526" t="e">
        <v>#N/A</v>
      </c>
      <c r="F1861" s="526" t="e">
        <v>#N/A</v>
      </c>
      <c r="G1861" s="526" t="e">
        <v>#N/A</v>
      </c>
      <c r="H1861" s="412" t="e">
        <v>#N/A</v>
      </c>
      <c r="I1861" s="411" t="e">
        <v>#N/A</v>
      </c>
      <c r="J1861" s="411" t="e">
        <v>#N/A</v>
      </c>
      <c r="K1861" s="411" t="e">
        <v>#N/A</v>
      </c>
      <c r="L1861" s="526" t="e">
        <v>#N/A</v>
      </c>
    </row>
    <row r="1862" spans="1:12" ht="15" x14ac:dyDescent="0.25">
      <c r="A1862">
        <v>452322</v>
      </c>
      <c r="B1862" t="e">
        <f t="shared" si="80"/>
        <v>#N/A</v>
      </c>
      <c r="C1862" s="198" t="e">
        <f t="shared" si="81"/>
        <v>#N/A</v>
      </c>
      <c r="D1862" s="526" t="e">
        <v>#N/A</v>
      </c>
      <c r="E1862" s="526" t="e">
        <v>#N/A</v>
      </c>
      <c r="F1862" s="526" t="e">
        <v>#N/A</v>
      </c>
      <c r="G1862" s="526" t="e">
        <v>#N/A</v>
      </c>
      <c r="H1862" s="412" t="e">
        <v>#N/A</v>
      </c>
      <c r="I1862" s="411" t="e">
        <v>#N/A</v>
      </c>
      <c r="J1862" s="411" t="e">
        <v>#N/A</v>
      </c>
      <c r="K1862" s="411" t="e">
        <v>#N/A</v>
      </c>
      <c r="L1862" s="526" t="e">
        <v>#N/A</v>
      </c>
    </row>
    <row r="1863" spans="1:12" ht="15" x14ac:dyDescent="0.25">
      <c r="A1863">
        <v>343109</v>
      </c>
      <c r="B1863" t="str">
        <f t="shared" si="80"/>
        <v>SEVROLL 10227-SV Eden sada kovania pre dvojo dverí</v>
      </c>
      <c r="C1863" s="198">
        <f t="shared" si="81"/>
        <v>46.476370000000003</v>
      </c>
      <c r="D1863" s="526" t="s">
        <v>1531</v>
      </c>
      <c r="E1863" s="526" t="s">
        <v>1959</v>
      </c>
      <c r="F1863" s="526" t="s">
        <v>6037</v>
      </c>
      <c r="G1863" s="526" t="s">
        <v>2383</v>
      </c>
      <c r="H1863" s="412">
        <v>1286.7424599999999</v>
      </c>
      <c r="I1863" s="411">
        <v>46.476370000000003</v>
      </c>
      <c r="J1863" s="411">
        <v>156.9102</v>
      </c>
      <c r="K1863" s="411">
        <v>17692.35915</v>
      </c>
      <c r="L1863" s="526" t="s">
        <v>553</v>
      </c>
    </row>
    <row r="1864" spans="1:12" ht="15" x14ac:dyDescent="0.25">
      <c r="A1864">
        <v>343110</v>
      </c>
      <c r="B1864" t="str">
        <f t="shared" si="80"/>
        <v>SEVROLL 10226-SV Eden sada kovania pre vnútorné dvere</v>
      </c>
      <c r="C1864" s="198">
        <f t="shared" si="81"/>
        <v>22.96855</v>
      </c>
      <c r="D1864" s="526" t="s">
        <v>1532</v>
      </c>
      <c r="E1864" s="526" t="s">
        <v>1960</v>
      </c>
      <c r="F1864" s="526" t="s">
        <v>6038</v>
      </c>
      <c r="G1864" s="526" t="s">
        <v>2479</v>
      </c>
      <c r="H1864" s="412">
        <v>635.86940000000004</v>
      </c>
      <c r="I1864" s="411">
        <v>22.96855</v>
      </c>
      <c r="J1864" s="411">
        <v>77.497200000000007</v>
      </c>
      <c r="K1864" s="411">
        <v>8743.5340099999994</v>
      </c>
      <c r="L1864" s="526" t="s">
        <v>554</v>
      </c>
    </row>
    <row r="1865" spans="1:12" ht="15" x14ac:dyDescent="0.25">
      <c r="A1865">
        <v>343112</v>
      </c>
      <c r="B1865" t="str">
        <f t="shared" si="80"/>
        <v>SEVROLL 04715 Eden horné vedenie  1,7m strieborná</v>
      </c>
      <c r="C1865" s="198">
        <f t="shared" si="81"/>
        <v>8.0763400000000001</v>
      </c>
      <c r="D1865" s="526" t="s">
        <v>1533</v>
      </c>
      <c r="E1865" s="526" t="s">
        <v>1961</v>
      </c>
      <c r="F1865" s="526" t="s">
        <v>6039</v>
      </c>
      <c r="G1865" s="526" t="s">
        <v>2480</v>
      </c>
      <c r="H1865" s="412">
        <v>223.62598</v>
      </c>
      <c r="I1865" s="411">
        <v>8.0763400000000001</v>
      </c>
      <c r="J1865" s="411">
        <v>27.253799999999998</v>
      </c>
      <c r="K1865" s="411">
        <v>3074.45487</v>
      </c>
      <c r="L1865" s="526" t="s">
        <v>554</v>
      </c>
    </row>
    <row r="1866" spans="1:12" ht="15" x14ac:dyDescent="0.25">
      <c r="A1866">
        <v>343113</v>
      </c>
      <c r="B1866" t="str">
        <f t="shared" si="80"/>
        <v>SEVROLL 04717 Eden horné vedenie 1,7m biela lesk</v>
      </c>
      <c r="C1866" s="198">
        <f t="shared" si="81"/>
        <v>10.49924</v>
      </c>
      <c r="D1866" s="526" t="s">
        <v>1534</v>
      </c>
      <c r="E1866" s="526" t="s">
        <v>1962</v>
      </c>
      <c r="F1866" s="526" t="s">
        <v>6040</v>
      </c>
      <c r="G1866" s="526" t="s">
        <v>2481</v>
      </c>
      <c r="H1866" s="412">
        <v>290.78521999999998</v>
      </c>
      <c r="I1866" s="411">
        <v>10.49924</v>
      </c>
      <c r="J1866" s="411">
        <v>35.374200000000002</v>
      </c>
      <c r="K1866" s="411">
        <v>3996.7916700000001</v>
      </c>
      <c r="L1866" s="526" t="s">
        <v>554</v>
      </c>
    </row>
    <row r="1867" spans="1:12" ht="15" x14ac:dyDescent="0.25">
      <c r="A1867">
        <v>343115</v>
      </c>
      <c r="B1867" t="str">
        <f t="shared" si="80"/>
        <v>SEVROLL 04716 Eden horné vedenie  2,35m strieborná</v>
      </c>
      <c r="C1867" s="198">
        <f t="shared" si="81"/>
        <v>11.1469</v>
      </c>
      <c r="D1867" s="526" t="s">
        <v>1535</v>
      </c>
      <c r="E1867" s="526" t="s">
        <v>1963</v>
      </c>
      <c r="F1867" s="526" t="s">
        <v>6041</v>
      </c>
      <c r="G1867" s="526" t="s">
        <v>2382</v>
      </c>
      <c r="H1867" s="412">
        <v>308.64672000000002</v>
      </c>
      <c r="I1867" s="411">
        <v>11.1469</v>
      </c>
      <c r="J1867" s="411">
        <v>37.656799999999997</v>
      </c>
      <c r="K1867" s="411">
        <v>4243.3374299999996</v>
      </c>
      <c r="L1867" s="526" t="s">
        <v>554</v>
      </c>
    </row>
    <row r="1868" spans="1:12" ht="15" x14ac:dyDescent="0.25">
      <c r="A1868">
        <v>343116</v>
      </c>
      <c r="B1868" t="str">
        <f t="shared" si="80"/>
        <v>SEVROLL 04718 Eden horné vedenie 2,35 m biela lesk</v>
      </c>
      <c r="C1868" s="198">
        <f t="shared" si="81"/>
        <v>14.490970000000001</v>
      </c>
      <c r="D1868" s="526" t="s">
        <v>1536</v>
      </c>
      <c r="E1868" s="526" t="s">
        <v>1964</v>
      </c>
      <c r="F1868" s="526" t="s">
        <v>6042</v>
      </c>
      <c r="G1868" s="526" t="s">
        <v>2482</v>
      </c>
      <c r="H1868" s="412">
        <v>401.52652</v>
      </c>
      <c r="I1868" s="411">
        <v>14.490970000000001</v>
      </c>
      <c r="J1868" s="411">
        <v>48.848399999999998</v>
      </c>
      <c r="K1868" s="411">
        <v>5516.3385900000003</v>
      </c>
      <c r="L1868" s="526" t="s">
        <v>554</v>
      </c>
    </row>
    <row r="1869" spans="1:12" ht="15" x14ac:dyDescent="0.25">
      <c r="A1869">
        <v>343117</v>
      </c>
      <c r="B1869" t="str">
        <f t="shared" si="80"/>
        <v>SEVROLL 04697 Eden horné vedenie  3m strieborná</v>
      </c>
      <c r="C1869" s="198">
        <f t="shared" si="81"/>
        <v>14.243259999999999</v>
      </c>
      <c r="D1869" s="526" t="s">
        <v>1537</v>
      </c>
      <c r="E1869" s="526" t="s">
        <v>1965</v>
      </c>
      <c r="F1869" s="526" t="s">
        <v>6043</v>
      </c>
      <c r="G1869" s="526" t="s">
        <v>2483</v>
      </c>
      <c r="H1869" s="412">
        <v>394.38191999999998</v>
      </c>
      <c r="I1869" s="411">
        <v>14.243259999999999</v>
      </c>
      <c r="J1869" s="411">
        <v>48.100999999999999</v>
      </c>
      <c r="K1869" s="411">
        <v>5422.04223</v>
      </c>
      <c r="L1869" s="526" t="s">
        <v>554</v>
      </c>
    </row>
    <row r="1870" spans="1:12" ht="15" x14ac:dyDescent="0.25">
      <c r="A1870">
        <v>343118</v>
      </c>
      <c r="B1870" t="str">
        <f t="shared" si="80"/>
        <v>SEVROLL 04698 Eden horné vedenie 3m biela lesk</v>
      </c>
      <c r="C1870" s="198">
        <f t="shared" si="81"/>
        <v>18.51624</v>
      </c>
      <c r="D1870" s="526" t="s">
        <v>1538</v>
      </c>
      <c r="E1870" s="526" t="s">
        <v>1966</v>
      </c>
      <c r="F1870" s="526" t="s">
        <v>6044</v>
      </c>
      <c r="G1870" s="526" t="s">
        <v>2484</v>
      </c>
      <c r="H1870" s="412">
        <v>512.98227999999995</v>
      </c>
      <c r="I1870" s="411">
        <v>18.51624</v>
      </c>
      <c r="J1870" s="411">
        <v>62.645000000000003</v>
      </c>
      <c r="K1870" s="411">
        <v>7048.6545299999998</v>
      </c>
      <c r="L1870" s="526" t="s">
        <v>554</v>
      </c>
    </row>
    <row r="1871" spans="1:12" ht="15" x14ac:dyDescent="0.25">
      <c r="A1871">
        <v>343119</v>
      </c>
      <c r="B1871" t="str">
        <f t="shared" si="80"/>
        <v>SEVROLL 04728 Eden horné vedenie 6m strieborná</v>
      </c>
      <c r="C1871" s="198">
        <f t="shared" si="81"/>
        <v>28.486509999999999</v>
      </c>
      <c r="D1871" s="526" t="s">
        <v>1539</v>
      </c>
      <c r="E1871" s="526" t="s">
        <v>1967</v>
      </c>
      <c r="F1871" s="526" t="s">
        <v>6045</v>
      </c>
      <c r="G1871" s="526" t="s">
        <v>2485</v>
      </c>
      <c r="H1871" s="412">
        <v>788.76383999999996</v>
      </c>
      <c r="I1871" s="411">
        <v>28.486509999999999</v>
      </c>
      <c r="J1871" s="411">
        <v>96.191699999999997</v>
      </c>
      <c r="K1871" s="411">
        <v>10844.08409</v>
      </c>
      <c r="L1871" s="526" t="s">
        <v>554</v>
      </c>
    </row>
    <row r="1872" spans="1:12" ht="15" x14ac:dyDescent="0.25">
      <c r="A1872">
        <v>343120</v>
      </c>
      <c r="B1872" t="str">
        <f t="shared" si="80"/>
        <v>SEVROLL 04727 Eden horné vedenie 6m biela lesk</v>
      </c>
      <c r="C1872" s="198">
        <f t="shared" si="81"/>
        <v>37.03248</v>
      </c>
      <c r="D1872" s="526" t="s">
        <v>1540</v>
      </c>
      <c r="E1872" s="526" t="s">
        <v>1968</v>
      </c>
      <c r="F1872" s="526" t="s">
        <v>6046</v>
      </c>
      <c r="G1872" s="526" t="s">
        <v>2486</v>
      </c>
      <c r="H1872" s="412">
        <v>1025.2501</v>
      </c>
      <c r="I1872" s="411">
        <v>37.03248</v>
      </c>
      <c r="J1872" s="411">
        <v>125.76300000000001</v>
      </c>
      <c r="K1872" s="411">
        <v>14097.309429999999</v>
      </c>
      <c r="L1872" s="526" t="s">
        <v>554</v>
      </c>
    </row>
    <row r="1873" spans="1:12" ht="15" x14ac:dyDescent="0.25">
      <c r="A1873">
        <v>343327</v>
      </c>
      <c r="B1873" t="str">
        <f t="shared" si="80"/>
        <v>SEVROLL 04721 Eden horizontálna lišta 1,7m strieborná</v>
      </c>
      <c r="C1873" s="198">
        <f t="shared" si="81"/>
        <v>21.829339999999998</v>
      </c>
      <c r="D1873" s="526" t="s">
        <v>1541</v>
      </c>
      <c r="E1873" s="526" t="s">
        <v>1969</v>
      </c>
      <c r="F1873" s="526" t="s">
        <v>6047</v>
      </c>
      <c r="G1873" s="526" t="s">
        <v>2487</v>
      </c>
      <c r="H1873" s="412">
        <v>604.43316000000004</v>
      </c>
      <c r="I1873" s="411">
        <v>21.829339999999998</v>
      </c>
      <c r="J1873" s="411">
        <v>74.0655</v>
      </c>
      <c r="K1873" s="411">
        <v>8309.8689099999992</v>
      </c>
      <c r="L1873" s="526" t="s">
        <v>554</v>
      </c>
    </row>
    <row r="1874" spans="1:12" ht="15" x14ac:dyDescent="0.25">
      <c r="A1874">
        <v>343328</v>
      </c>
      <c r="B1874" t="str">
        <f t="shared" si="80"/>
        <v>SEVROLL 04725 Eden XL horizontálna lišta 1,7m strieborná</v>
      </c>
      <c r="C1874" s="198">
        <f t="shared" si="81"/>
        <v>24.306429999999999</v>
      </c>
      <c r="D1874" s="526" t="s">
        <v>1542</v>
      </c>
      <c r="E1874" s="526" t="s">
        <v>1970</v>
      </c>
      <c r="F1874" s="526" t="s">
        <v>6048</v>
      </c>
      <c r="G1874" s="526" t="s">
        <v>2488</v>
      </c>
      <c r="H1874" s="412">
        <v>673.02131999999995</v>
      </c>
      <c r="I1874" s="411">
        <v>24.306429999999999</v>
      </c>
      <c r="J1874" s="411">
        <v>82.469399999999993</v>
      </c>
      <c r="K1874" s="411">
        <v>9252.8328299999994</v>
      </c>
      <c r="L1874" s="526" t="s">
        <v>554</v>
      </c>
    </row>
    <row r="1875" spans="1:12" ht="15" x14ac:dyDescent="0.25">
      <c r="A1875">
        <v>343329</v>
      </c>
      <c r="B1875" t="str">
        <f t="shared" si="80"/>
        <v>SEVROLL 04723 Eden XL horizontálna lišta 1,7m biela lesk</v>
      </c>
      <c r="C1875" s="198">
        <f t="shared" si="81"/>
        <v>31.60868</v>
      </c>
      <c r="D1875" s="526" t="s">
        <v>1543</v>
      </c>
      <c r="E1875" s="526" t="s">
        <v>1971</v>
      </c>
      <c r="F1875" s="526" t="s">
        <v>6049</v>
      </c>
      <c r="G1875" s="526" t="s">
        <v>2489</v>
      </c>
      <c r="H1875" s="412">
        <v>875.21349999999995</v>
      </c>
      <c r="I1875" s="411">
        <v>31.60868</v>
      </c>
      <c r="J1875" s="411">
        <v>107.2124</v>
      </c>
      <c r="K1875" s="411">
        <v>12032.611500000001</v>
      </c>
      <c r="L1875" s="526" t="s">
        <v>554</v>
      </c>
    </row>
    <row r="1876" spans="1:12" ht="15" x14ac:dyDescent="0.25">
      <c r="A1876">
        <v>343330</v>
      </c>
      <c r="B1876" t="str">
        <f t="shared" si="80"/>
        <v>SEVROLL 04719 Eden horizontálna lišta 1,7m biela lesk</v>
      </c>
      <c r="C1876" s="198">
        <f t="shared" si="81"/>
        <v>28.383299999999998</v>
      </c>
      <c r="D1876" s="526" t="s">
        <v>1544</v>
      </c>
      <c r="E1876" s="526" t="s">
        <v>1972</v>
      </c>
      <c r="F1876" s="526" t="s">
        <v>6050</v>
      </c>
      <c r="G1876" s="526" t="s">
        <v>2490</v>
      </c>
      <c r="H1876" s="412">
        <v>785.90599999999995</v>
      </c>
      <c r="I1876" s="411">
        <v>28.383299999999998</v>
      </c>
      <c r="J1876" s="411">
        <v>97.540999999999997</v>
      </c>
      <c r="K1876" s="411">
        <v>10804.794</v>
      </c>
      <c r="L1876" s="526" t="s">
        <v>554</v>
      </c>
    </row>
    <row r="1877" spans="1:12" ht="15" x14ac:dyDescent="0.25">
      <c r="A1877">
        <v>343331</v>
      </c>
      <c r="B1877" t="str">
        <f t="shared" si="80"/>
        <v>SEVROLL 04720 Eden horizontálna lišta 2,35 m biela lesk</v>
      </c>
      <c r="C1877" s="198">
        <f t="shared" si="81"/>
        <v>39.220559999999999</v>
      </c>
      <c r="D1877" s="526" t="s">
        <v>1545</v>
      </c>
      <c r="E1877" s="526" t="s">
        <v>1973</v>
      </c>
      <c r="F1877" s="526" t="s">
        <v>6051</v>
      </c>
      <c r="G1877" s="526" t="s">
        <v>2491</v>
      </c>
      <c r="H1877" s="412">
        <v>1085.9792</v>
      </c>
      <c r="I1877" s="411">
        <v>39.220559999999999</v>
      </c>
      <c r="J1877" s="411">
        <v>134.827</v>
      </c>
      <c r="K1877" s="411">
        <v>14930.2608</v>
      </c>
      <c r="L1877" s="526" t="s">
        <v>554</v>
      </c>
    </row>
    <row r="1878" spans="1:12" ht="15" x14ac:dyDescent="0.25">
      <c r="A1878">
        <v>343332</v>
      </c>
      <c r="B1878" t="str">
        <f t="shared" si="80"/>
        <v>SEVROLL 04724 Eden XL horizontálna lišta 2,35 m biela lesk</v>
      </c>
      <c r="C1878" s="198">
        <f t="shared" si="81"/>
        <v>43.684480000000001</v>
      </c>
      <c r="D1878" s="526" t="s">
        <v>1546</v>
      </c>
      <c r="E1878" s="526" t="s">
        <v>1974</v>
      </c>
      <c r="F1878" s="526" t="s">
        <v>6052</v>
      </c>
      <c r="G1878" s="526" t="s">
        <v>2492</v>
      </c>
      <c r="H1878" s="412">
        <v>1209.58078</v>
      </c>
      <c r="I1878" s="411">
        <v>43.684480000000001</v>
      </c>
      <c r="J1878" s="411">
        <v>148.2182</v>
      </c>
      <c r="K1878" s="411">
        <v>16629.56007</v>
      </c>
      <c r="L1878" s="526" t="s">
        <v>554</v>
      </c>
    </row>
    <row r="1879" spans="1:12" ht="15" x14ac:dyDescent="0.25">
      <c r="A1879">
        <v>343333</v>
      </c>
      <c r="B1879" t="str">
        <f t="shared" si="80"/>
        <v>SEVROLL 04726 Eden XL horizontálna lišta 2,35m strieborná</v>
      </c>
      <c r="C1879" s="198">
        <f t="shared" si="81"/>
        <v>33.595509999999997</v>
      </c>
      <c r="D1879" s="526" t="s">
        <v>1547</v>
      </c>
      <c r="E1879" s="526" t="s">
        <v>1975</v>
      </c>
      <c r="F1879" s="526" t="s">
        <v>6053</v>
      </c>
      <c r="G1879" s="526" t="s">
        <v>2493</v>
      </c>
      <c r="H1879" s="412">
        <v>930.22691999999995</v>
      </c>
      <c r="I1879" s="411">
        <v>33.595509999999997</v>
      </c>
      <c r="J1879" s="411">
        <v>114.0249</v>
      </c>
      <c r="K1879" s="411">
        <v>12788.94723</v>
      </c>
      <c r="L1879" s="526" t="s">
        <v>554</v>
      </c>
    </row>
    <row r="1880" spans="1:12" ht="15" x14ac:dyDescent="0.25">
      <c r="A1880">
        <v>343334</v>
      </c>
      <c r="B1880" t="str">
        <f t="shared" si="80"/>
        <v>SEVROLL 04722 Eden horizontálna lišta 2,35m strieborná</v>
      </c>
      <c r="C1880" s="198">
        <f t="shared" si="81"/>
        <v>30.163709999999998</v>
      </c>
      <c r="D1880" s="526" t="s">
        <v>1548</v>
      </c>
      <c r="E1880" s="526" t="s">
        <v>1976</v>
      </c>
      <c r="F1880" s="526" t="s">
        <v>6054</v>
      </c>
      <c r="G1880" s="526" t="s">
        <v>2494</v>
      </c>
      <c r="H1880" s="412">
        <v>835.20374000000004</v>
      </c>
      <c r="I1880" s="411">
        <v>30.163709999999998</v>
      </c>
      <c r="J1880" s="411">
        <v>102.36190000000001</v>
      </c>
      <c r="K1880" s="411">
        <v>11482.54919</v>
      </c>
      <c r="L1880" s="526" t="s">
        <v>554</v>
      </c>
    </row>
    <row r="1881" spans="1:12" ht="15" x14ac:dyDescent="0.25">
      <c r="A1881">
        <v>343335</v>
      </c>
      <c r="B1881" t="str">
        <f t="shared" si="80"/>
        <v>SEVROLL 04686 Eden horizontálna lišta 3m strieborná</v>
      </c>
      <c r="C1881" s="198">
        <f t="shared" si="81"/>
        <v>38.498080000000002</v>
      </c>
      <c r="D1881" s="526" t="s">
        <v>1549</v>
      </c>
      <c r="E1881" s="526" t="s">
        <v>1977</v>
      </c>
      <c r="F1881" s="526" t="s">
        <v>6055</v>
      </c>
      <c r="G1881" s="526" t="s">
        <v>2495</v>
      </c>
      <c r="H1881" s="412">
        <v>1065.97432</v>
      </c>
      <c r="I1881" s="411">
        <v>38.498080000000002</v>
      </c>
      <c r="J1881" s="411">
        <v>130.66919999999999</v>
      </c>
      <c r="K1881" s="411">
        <v>14655.22983</v>
      </c>
      <c r="L1881" s="526" t="s">
        <v>554</v>
      </c>
    </row>
    <row r="1882" spans="1:12" ht="15" x14ac:dyDescent="0.25">
      <c r="A1882">
        <v>343336</v>
      </c>
      <c r="B1882" t="str">
        <f t="shared" si="80"/>
        <v>SEVROLL 04688 Eden XL horizontálna lišta 3m strieborná</v>
      </c>
      <c r="C1882" s="198">
        <f t="shared" si="81"/>
        <v>42.884590000000003</v>
      </c>
      <c r="D1882" s="526" t="s">
        <v>1550</v>
      </c>
      <c r="E1882" s="526" t="s">
        <v>1978</v>
      </c>
      <c r="F1882" s="526" t="s">
        <v>6056</v>
      </c>
      <c r="G1882" s="526" t="s">
        <v>2496</v>
      </c>
      <c r="H1882" s="412">
        <v>1187.4325200000001</v>
      </c>
      <c r="I1882" s="411">
        <v>42.884590000000003</v>
      </c>
      <c r="J1882" s="411">
        <v>145.52590000000001</v>
      </c>
      <c r="K1882" s="411">
        <v>16325.06163</v>
      </c>
      <c r="L1882" s="526" t="s">
        <v>554</v>
      </c>
    </row>
    <row r="1883" spans="1:12" ht="15" x14ac:dyDescent="0.25">
      <c r="A1883">
        <v>343337</v>
      </c>
      <c r="B1883" t="str">
        <f t="shared" si="80"/>
        <v>SEVROLL 04689 Eden XL horizontálna lišta 3m biela lesk</v>
      </c>
      <c r="C1883" s="198">
        <f t="shared" si="81"/>
        <v>55.760280000000002</v>
      </c>
      <c r="D1883" s="526" t="s">
        <v>1551</v>
      </c>
      <c r="E1883" s="526" t="s">
        <v>1979</v>
      </c>
      <c r="F1883" s="526" t="s">
        <v>6057</v>
      </c>
      <c r="G1883" s="526" t="s">
        <v>2497</v>
      </c>
      <c r="H1883" s="412">
        <v>1543.9480599999999</v>
      </c>
      <c r="I1883" s="411">
        <v>55.760280000000002</v>
      </c>
      <c r="J1883" s="411">
        <v>189.2131</v>
      </c>
      <c r="K1883" s="411">
        <v>21226.509010000002</v>
      </c>
      <c r="L1883" s="526" t="s">
        <v>554</v>
      </c>
    </row>
    <row r="1884" spans="1:12" ht="15" x14ac:dyDescent="0.25">
      <c r="A1884">
        <v>343338</v>
      </c>
      <c r="B1884" t="str">
        <f t="shared" si="80"/>
        <v>SEVROLL 04687 Eden horizontálna lišta 3m biela lesk</v>
      </c>
      <c r="C1884" s="198">
        <f t="shared" si="81"/>
        <v>50.05782</v>
      </c>
      <c r="D1884" s="526" t="s">
        <v>3373</v>
      </c>
      <c r="E1884" s="526" t="s">
        <v>1980</v>
      </c>
      <c r="F1884" s="526" t="s">
        <v>6058</v>
      </c>
      <c r="G1884" s="526" t="s">
        <v>2498</v>
      </c>
      <c r="H1884" s="412">
        <v>1386.0524</v>
      </c>
      <c r="I1884" s="411">
        <v>50.05782</v>
      </c>
      <c r="J1884" s="411">
        <v>172.1027</v>
      </c>
      <c r="K1884" s="411">
        <v>19055.727599999998</v>
      </c>
      <c r="L1884" s="526" t="s">
        <v>554</v>
      </c>
    </row>
    <row r="1885" spans="1:12" ht="15" x14ac:dyDescent="0.25">
      <c r="A1885">
        <v>343373</v>
      </c>
      <c r="B1885" t="str">
        <f t="shared" si="80"/>
        <v>SEVROLL 04749 Eden horná krytka 1,1m strieborná</v>
      </c>
      <c r="C1885" s="198">
        <f t="shared" si="81"/>
        <v>3.71563</v>
      </c>
      <c r="D1885" s="526" t="s">
        <v>3374</v>
      </c>
      <c r="E1885" s="526" t="s">
        <v>1981</v>
      </c>
      <c r="F1885" s="526" t="s">
        <v>6059</v>
      </c>
      <c r="G1885" s="526" t="s">
        <v>6060</v>
      </c>
      <c r="H1885" s="412">
        <v>102.88224</v>
      </c>
      <c r="I1885" s="411">
        <v>3.71563</v>
      </c>
      <c r="J1885" s="411">
        <v>12.6175</v>
      </c>
      <c r="K1885" s="411">
        <v>1414.44569</v>
      </c>
      <c r="L1885" s="526" t="s">
        <v>554</v>
      </c>
    </row>
    <row r="1886" spans="1:12" ht="15" x14ac:dyDescent="0.25">
      <c r="A1886">
        <v>306312</v>
      </c>
      <c r="B1886" t="e">
        <f t="shared" si="80"/>
        <v>#N/A</v>
      </c>
      <c r="C1886" s="198" t="e">
        <f t="shared" si="81"/>
        <v>#N/A</v>
      </c>
      <c r="D1886" s="526" t="e">
        <v>#N/A</v>
      </c>
      <c r="E1886" s="526" t="e">
        <v>#N/A</v>
      </c>
      <c r="F1886" s="526" t="e">
        <v>#N/A</v>
      </c>
      <c r="G1886" s="526" t="e">
        <v>#N/A</v>
      </c>
      <c r="H1886" s="412" t="e">
        <v>#N/A</v>
      </c>
      <c r="I1886" s="411" t="e">
        <v>#N/A</v>
      </c>
      <c r="J1886" s="411" t="e">
        <v>#N/A</v>
      </c>
      <c r="K1886" s="411" t="e">
        <v>#N/A</v>
      </c>
      <c r="L1886" s="526" t="e">
        <v>#N/A</v>
      </c>
    </row>
    <row r="1887" spans="1:12" ht="15" x14ac:dyDescent="0.25">
      <c r="A1887">
        <v>377230</v>
      </c>
      <c r="B1887" t="str">
        <f t="shared" si="80"/>
        <v>V-SEVROLL okrasná lišta S10 3m strieborná</v>
      </c>
      <c r="C1887" s="198">
        <f t="shared" si="81"/>
        <v>3.1450499999999999</v>
      </c>
      <c r="D1887" s="526" t="s">
        <v>1552</v>
      </c>
      <c r="E1887" s="526" t="s">
        <v>1982</v>
      </c>
      <c r="F1887" s="526" t="s">
        <v>2205</v>
      </c>
      <c r="G1887" s="526" t="s">
        <v>2499</v>
      </c>
      <c r="H1887" s="412">
        <v>0</v>
      </c>
      <c r="I1887" s="411">
        <v>3.1450499999999999</v>
      </c>
      <c r="J1887" s="411">
        <v>0</v>
      </c>
      <c r="K1887" s="411">
        <v>0</v>
      </c>
      <c r="L1887" s="526" t="s">
        <v>555</v>
      </c>
    </row>
    <row r="1888" spans="1:12" ht="15" x14ac:dyDescent="0.25">
      <c r="A1888">
        <v>377236</v>
      </c>
      <c r="B1888" t="str">
        <f t="shared" si="80"/>
        <v>V-SEVROLL okrasná lišta S20 3m strieborná</v>
      </c>
      <c r="C1888" s="198">
        <f t="shared" si="81"/>
        <v>5.6752799999999999</v>
      </c>
      <c r="D1888" s="526" t="s">
        <v>1553</v>
      </c>
      <c r="E1888" s="526" t="s">
        <v>1983</v>
      </c>
      <c r="F1888" s="526" t="s">
        <v>2206</v>
      </c>
      <c r="G1888" s="526" t="s">
        <v>2500</v>
      </c>
      <c r="H1888" s="412">
        <v>0</v>
      </c>
      <c r="I1888" s="411">
        <v>5.6752799999999999</v>
      </c>
      <c r="J1888" s="411">
        <v>0</v>
      </c>
      <c r="K1888" s="411">
        <v>0</v>
      </c>
      <c r="L1888" s="526" t="s">
        <v>555</v>
      </c>
    </row>
    <row r="1889" spans="1:12" ht="15" x14ac:dyDescent="0.25">
      <c r="A1889">
        <v>378174</v>
      </c>
      <c r="B1889" t="e">
        <f t="shared" si="80"/>
        <v>#N/A</v>
      </c>
      <c r="C1889" s="198" t="e">
        <f t="shared" si="81"/>
        <v>#N/A</v>
      </c>
      <c r="D1889" s="526" t="e">
        <v>#N/A</v>
      </c>
      <c r="E1889" s="526" t="e">
        <v>#N/A</v>
      </c>
      <c r="F1889" s="526" t="e">
        <v>#N/A</v>
      </c>
      <c r="G1889" s="526" t="e">
        <v>#N/A</v>
      </c>
      <c r="H1889" s="412" t="e">
        <v>#N/A</v>
      </c>
      <c r="I1889" s="411" t="e">
        <v>#N/A</v>
      </c>
      <c r="J1889" s="411" t="e">
        <v>#N/A</v>
      </c>
      <c r="K1889" s="411" t="e">
        <v>#N/A</v>
      </c>
      <c r="L1889" s="526" t="e">
        <v>#N/A</v>
      </c>
    </row>
    <row r="1890" spans="1:12" ht="15" x14ac:dyDescent="0.25">
      <c r="A1890">
        <v>378316</v>
      </c>
      <c r="B1890" t="e">
        <f t="shared" si="80"/>
        <v>#N/A</v>
      </c>
      <c r="C1890" s="198" t="e">
        <f t="shared" si="81"/>
        <v>#N/A</v>
      </c>
      <c r="D1890" s="526" t="e">
        <v>#N/A</v>
      </c>
      <c r="E1890" s="526" t="e">
        <v>#N/A</v>
      </c>
      <c r="F1890" s="526" t="e">
        <v>#N/A</v>
      </c>
      <c r="G1890" s="526" t="e">
        <v>#N/A</v>
      </c>
      <c r="H1890" s="412" t="e">
        <v>#N/A</v>
      </c>
      <c r="I1890" s="411" t="e">
        <v>#N/A</v>
      </c>
      <c r="J1890" s="411" t="e">
        <v>#N/A</v>
      </c>
      <c r="K1890" s="411" t="e">
        <v>#N/A</v>
      </c>
      <c r="L1890" s="526" t="e">
        <v>#N/A</v>
      </c>
    </row>
    <row r="1891" spans="1:12" ht="15" x14ac:dyDescent="0.25">
      <c r="A1891">
        <v>378317</v>
      </c>
      <c r="B1891" t="e">
        <f t="shared" si="80"/>
        <v>#N/A</v>
      </c>
      <c r="C1891" s="198" t="e">
        <f t="shared" si="81"/>
        <v>#N/A</v>
      </c>
      <c r="D1891" s="526" t="e">
        <v>#N/A</v>
      </c>
      <c r="E1891" s="526" t="e">
        <v>#N/A</v>
      </c>
      <c r="F1891" s="526" t="e">
        <v>#N/A</v>
      </c>
      <c r="G1891" s="526" t="e">
        <v>#N/A</v>
      </c>
      <c r="H1891" s="412" t="e">
        <v>#N/A</v>
      </c>
      <c r="I1891" s="411" t="e">
        <v>#N/A</v>
      </c>
      <c r="J1891" s="411" t="e">
        <v>#N/A</v>
      </c>
      <c r="K1891" s="411" t="e">
        <v>#N/A</v>
      </c>
      <c r="L1891" s="526" t="e">
        <v>#N/A</v>
      </c>
    </row>
    <row r="1892" spans="1:12" ht="15" x14ac:dyDescent="0.25">
      <c r="A1892">
        <v>378318</v>
      </c>
      <c r="B1892" t="e">
        <f t="shared" si="80"/>
        <v>#N/A</v>
      </c>
      <c r="C1892" s="198" t="e">
        <f t="shared" si="81"/>
        <v>#N/A</v>
      </c>
      <c r="D1892" s="526" t="e">
        <v>#N/A</v>
      </c>
      <c r="E1892" s="526" t="e">
        <v>#N/A</v>
      </c>
      <c r="F1892" s="526" t="e">
        <v>#N/A</v>
      </c>
      <c r="G1892" s="526" t="e">
        <v>#N/A</v>
      </c>
      <c r="H1892" s="412" t="e">
        <v>#N/A</v>
      </c>
      <c r="I1892" s="411" t="e">
        <v>#N/A</v>
      </c>
      <c r="J1892" s="411" t="e">
        <v>#N/A</v>
      </c>
      <c r="K1892" s="411" t="e">
        <v>#N/A</v>
      </c>
      <c r="L1892" s="526" t="e">
        <v>#N/A</v>
      </c>
    </row>
    <row r="1893" spans="1:12" ht="15" x14ac:dyDescent="0.25">
      <c r="A1893">
        <v>89250</v>
      </c>
      <c r="B1893" t="str">
        <f t="shared" si="80"/>
        <v>SEVROLL KOMPLET pre ROZVR. DV. ZR18</v>
      </c>
      <c r="C1893" s="198">
        <f t="shared" si="81"/>
        <v>28.189779999999999</v>
      </c>
      <c r="D1893" s="526" t="s">
        <v>1554</v>
      </c>
      <c r="E1893" s="526" t="s">
        <v>1984</v>
      </c>
      <c r="F1893" s="526" t="s">
        <v>2207</v>
      </c>
      <c r="G1893" s="526" t="s">
        <v>2501</v>
      </c>
      <c r="H1893" s="412">
        <v>780.90477999999996</v>
      </c>
      <c r="I1893" s="411">
        <v>28.189779999999999</v>
      </c>
      <c r="J1893" s="411">
        <v>99.2256</v>
      </c>
      <c r="K1893" s="411">
        <v>10731.12515</v>
      </c>
      <c r="L1893" s="526" t="s">
        <v>554</v>
      </c>
    </row>
    <row r="1894" spans="1:12" ht="15" x14ac:dyDescent="0.25">
      <c r="A1894">
        <v>92610</v>
      </c>
      <c r="B1894" t="e">
        <f t="shared" si="80"/>
        <v>#N/A</v>
      </c>
      <c r="C1894" s="198" t="e">
        <f t="shared" si="81"/>
        <v>#N/A</v>
      </c>
      <c r="D1894" s="526" t="e">
        <v>#N/A</v>
      </c>
      <c r="E1894" s="526" t="e">
        <v>#N/A</v>
      </c>
      <c r="F1894" s="526" t="e">
        <v>#N/A</v>
      </c>
      <c r="G1894" s="526" t="e">
        <v>#N/A</v>
      </c>
      <c r="H1894" s="412" t="e">
        <v>#N/A</v>
      </c>
      <c r="I1894" s="411" t="e">
        <v>#N/A</v>
      </c>
      <c r="J1894" s="411" t="e">
        <v>#N/A</v>
      </c>
      <c r="K1894" s="411" t="e">
        <v>#N/A</v>
      </c>
      <c r="L1894" s="526" t="e">
        <v>#N/A</v>
      </c>
    </row>
    <row r="1895" spans="1:12" ht="15" x14ac:dyDescent="0.25">
      <c r="A1895">
        <v>414707</v>
      </c>
      <c r="B1895" t="e">
        <f t="shared" ref="B1895:B1939" si="82">IF($A$2=1,D1895,IF($A$2=2,F1895,IF($A$2=3,G1895,IF($A$2=4,E1895,"zadat jazyk"))))</f>
        <v>#N/A</v>
      </c>
      <c r="C1895" s="198" t="e">
        <f t="shared" ref="C1895:C1939" si="83">IF($A$2=1,H1895,IF($A$2=2,I1895,IF($A$2=3,J1895,IF($A$2=4,K1895,"zadat jazyk"))))</f>
        <v>#N/A</v>
      </c>
      <c r="D1895" s="526" t="e">
        <v>#N/A</v>
      </c>
      <c r="E1895" s="526" t="e">
        <v>#N/A</v>
      </c>
      <c r="F1895" s="526" t="e">
        <v>#N/A</v>
      </c>
      <c r="G1895" s="526" t="e">
        <v>#N/A</v>
      </c>
      <c r="H1895" s="412" t="e">
        <v>#N/A</v>
      </c>
      <c r="I1895" s="411" t="e">
        <v>#N/A</v>
      </c>
      <c r="J1895" s="411" t="e">
        <v>#N/A</v>
      </c>
      <c r="K1895" s="411" t="e">
        <v>#N/A</v>
      </c>
      <c r="L1895" s="526" t="e">
        <v>#N/A</v>
      </c>
    </row>
    <row r="1896" spans="1:12" ht="15" x14ac:dyDescent="0.25">
      <c r="A1896">
        <v>414708</v>
      </c>
      <c r="B1896" t="e">
        <f t="shared" si="82"/>
        <v>#N/A</v>
      </c>
      <c r="C1896" s="198" t="e">
        <f t="shared" si="83"/>
        <v>#N/A</v>
      </c>
      <c r="D1896" s="526" t="e">
        <v>#N/A</v>
      </c>
      <c r="E1896" s="526" t="e">
        <v>#N/A</v>
      </c>
      <c r="F1896" s="526" t="e">
        <v>#N/A</v>
      </c>
      <c r="G1896" s="526" t="e">
        <v>#N/A</v>
      </c>
      <c r="H1896" s="412" t="e">
        <v>#N/A</v>
      </c>
      <c r="I1896" s="411" t="e">
        <v>#N/A</v>
      </c>
      <c r="J1896" s="411" t="e">
        <v>#N/A</v>
      </c>
      <c r="K1896" s="411" t="e">
        <v>#N/A</v>
      </c>
      <c r="L1896" s="526" t="e">
        <v>#N/A</v>
      </c>
    </row>
    <row r="1897" spans="1:12" ht="15" x14ac:dyDescent="0.25">
      <c r="A1897">
        <v>290825</v>
      </c>
      <c r="B1897" t="e">
        <f t="shared" si="82"/>
        <v>#N/A</v>
      </c>
      <c r="C1897" s="198" t="e">
        <f t="shared" si="83"/>
        <v>#N/A</v>
      </c>
      <c r="D1897" s="526" t="e">
        <v>#N/A</v>
      </c>
      <c r="E1897" s="526" t="e">
        <v>#N/A</v>
      </c>
      <c r="F1897" s="526" t="e">
        <v>#N/A</v>
      </c>
      <c r="G1897" s="526" t="e">
        <v>#N/A</v>
      </c>
      <c r="H1897" s="412" t="e">
        <v>#N/A</v>
      </c>
      <c r="I1897" s="411" t="e">
        <v>#N/A</v>
      </c>
      <c r="J1897" s="411" t="e">
        <v>#N/A</v>
      </c>
      <c r="K1897" s="411" t="e">
        <v>#N/A</v>
      </c>
      <c r="L1897" s="526" t="e">
        <v>#N/A</v>
      </c>
    </row>
    <row r="1898" spans="1:12" ht="15" x14ac:dyDescent="0.25">
      <c r="A1898">
        <v>290827</v>
      </c>
      <c r="B1898" t="e">
        <f t="shared" si="82"/>
        <v>#N/A</v>
      </c>
      <c r="C1898" s="198" t="e">
        <f t="shared" si="83"/>
        <v>#N/A</v>
      </c>
      <c r="D1898" s="526" t="e">
        <v>#N/A</v>
      </c>
      <c r="E1898" s="526" t="e">
        <v>#N/A</v>
      </c>
      <c r="F1898" s="526" t="e">
        <v>#N/A</v>
      </c>
      <c r="G1898" s="526" t="e">
        <v>#N/A</v>
      </c>
      <c r="H1898" s="412" t="e">
        <v>#N/A</v>
      </c>
      <c r="I1898" s="411" t="e">
        <v>#N/A</v>
      </c>
      <c r="J1898" s="411" t="e">
        <v>#N/A</v>
      </c>
      <c r="K1898" s="411" t="e">
        <v>#N/A</v>
      </c>
      <c r="L1898" s="526" t="e">
        <v>#N/A</v>
      </c>
    </row>
    <row r="1899" spans="1:12" ht="15" x14ac:dyDescent="0.25">
      <c r="A1899">
        <v>290828</v>
      </c>
      <c r="B1899" t="e">
        <f t="shared" si="82"/>
        <v>#N/A</v>
      </c>
      <c r="C1899" s="198" t="e">
        <f t="shared" si="83"/>
        <v>#N/A</v>
      </c>
      <c r="D1899" s="526" t="e">
        <v>#N/A</v>
      </c>
      <c r="E1899" s="526" t="e">
        <v>#N/A</v>
      </c>
      <c r="F1899" s="526" t="e">
        <v>#N/A</v>
      </c>
      <c r="G1899" s="526" t="e">
        <v>#N/A</v>
      </c>
      <c r="H1899" s="412" t="e">
        <v>#N/A</v>
      </c>
      <c r="I1899" s="411" t="e">
        <v>#N/A</v>
      </c>
      <c r="J1899" s="411" t="e">
        <v>#N/A</v>
      </c>
      <c r="K1899" s="411" t="e">
        <v>#N/A</v>
      </c>
      <c r="L1899" s="526" t="e">
        <v>#N/A</v>
      </c>
    </row>
    <row r="1900" spans="1:12" ht="15" x14ac:dyDescent="0.25">
      <c r="A1900">
        <v>291361</v>
      </c>
      <c r="B1900" t="e">
        <f t="shared" si="82"/>
        <v>#N/A</v>
      </c>
      <c r="C1900" s="198" t="e">
        <f t="shared" si="83"/>
        <v>#N/A</v>
      </c>
      <c r="D1900" s="526" t="e">
        <v>#N/A</v>
      </c>
      <c r="E1900" s="526" t="e">
        <v>#N/A</v>
      </c>
      <c r="F1900" s="526" t="e">
        <v>#N/A</v>
      </c>
      <c r="G1900" s="526" t="e">
        <v>#N/A</v>
      </c>
      <c r="H1900" s="412" t="e">
        <v>#N/A</v>
      </c>
      <c r="I1900" s="411" t="e">
        <v>#N/A</v>
      </c>
      <c r="J1900" s="411" t="e">
        <v>#N/A</v>
      </c>
      <c r="K1900" s="411" t="e">
        <v>#N/A</v>
      </c>
      <c r="L1900" s="526" t="e">
        <v>#N/A</v>
      </c>
    </row>
    <row r="1901" spans="1:12" ht="15" x14ac:dyDescent="0.25">
      <c r="A1901">
        <v>291362</v>
      </c>
      <c r="B1901" t="e">
        <f t="shared" si="82"/>
        <v>#N/A</v>
      </c>
      <c r="C1901" s="198" t="e">
        <f t="shared" si="83"/>
        <v>#N/A</v>
      </c>
      <c r="D1901" s="526" t="e">
        <v>#N/A</v>
      </c>
      <c r="E1901" s="526" t="e">
        <v>#N/A</v>
      </c>
      <c r="F1901" s="526" t="e">
        <v>#N/A</v>
      </c>
      <c r="G1901" s="526" t="e">
        <v>#N/A</v>
      </c>
      <c r="H1901" s="412" t="e">
        <v>#N/A</v>
      </c>
      <c r="I1901" s="411" t="e">
        <v>#N/A</v>
      </c>
      <c r="J1901" s="411" t="e">
        <v>#N/A</v>
      </c>
      <c r="K1901" s="411" t="e">
        <v>#N/A</v>
      </c>
      <c r="L1901" s="526" t="e">
        <v>#N/A</v>
      </c>
    </row>
    <row r="1902" spans="1:12" ht="15" x14ac:dyDescent="0.25">
      <c r="A1902">
        <v>291453</v>
      </c>
      <c r="B1902" t="e">
        <f t="shared" si="82"/>
        <v>#N/A</v>
      </c>
      <c r="C1902" s="198" t="e">
        <f t="shared" si="83"/>
        <v>#N/A</v>
      </c>
      <c r="D1902" s="526" t="e">
        <v>#N/A</v>
      </c>
      <c r="E1902" s="526" t="e">
        <v>#N/A</v>
      </c>
      <c r="F1902" s="526" t="e">
        <v>#N/A</v>
      </c>
      <c r="G1902" s="526" t="e">
        <v>#N/A</v>
      </c>
      <c r="H1902" s="412" t="e">
        <v>#N/A</v>
      </c>
      <c r="I1902" s="411" t="e">
        <v>#N/A</v>
      </c>
      <c r="J1902" s="411" t="e">
        <v>#N/A</v>
      </c>
      <c r="K1902" s="411" t="e">
        <v>#N/A</v>
      </c>
      <c r="L1902" s="526" t="e">
        <v>#N/A</v>
      </c>
    </row>
    <row r="1903" spans="1:12" ht="15" x14ac:dyDescent="0.25">
      <c r="A1903">
        <v>291454</v>
      </c>
      <c r="B1903" t="e">
        <f t="shared" si="82"/>
        <v>#N/A</v>
      </c>
      <c r="C1903" s="198" t="e">
        <f t="shared" si="83"/>
        <v>#N/A</v>
      </c>
      <c r="D1903" s="526" t="e">
        <v>#N/A</v>
      </c>
      <c r="E1903" s="526" t="e">
        <v>#N/A</v>
      </c>
      <c r="F1903" s="526" t="e">
        <v>#N/A</v>
      </c>
      <c r="G1903" s="526" t="e">
        <v>#N/A</v>
      </c>
      <c r="H1903" s="412" t="e">
        <v>#N/A</v>
      </c>
      <c r="I1903" s="411" t="e">
        <v>#N/A</v>
      </c>
      <c r="J1903" s="411" t="e">
        <v>#N/A</v>
      </c>
      <c r="K1903" s="411" t="e">
        <v>#N/A</v>
      </c>
      <c r="L1903" s="526" t="e">
        <v>#N/A</v>
      </c>
    </row>
    <row r="1904" spans="1:12" ht="15" x14ac:dyDescent="0.25">
      <c r="A1904">
        <v>291471</v>
      </c>
      <c r="B1904" t="e">
        <f t="shared" si="82"/>
        <v>#N/A</v>
      </c>
      <c r="C1904" s="198" t="e">
        <f t="shared" si="83"/>
        <v>#N/A</v>
      </c>
      <c r="D1904" s="526" t="e">
        <v>#N/A</v>
      </c>
      <c r="E1904" s="526" t="e">
        <v>#N/A</v>
      </c>
      <c r="F1904" s="526" t="e">
        <v>#N/A</v>
      </c>
      <c r="G1904" s="526" t="e">
        <v>#N/A</v>
      </c>
      <c r="H1904" s="412" t="e">
        <v>#N/A</v>
      </c>
      <c r="I1904" s="411" t="e">
        <v>#N/A</v>
      </c>
      <c r="J1904" s="411" t="e">
        <v>#N/A</v>
      </c>
      <c r="K1904" s="411" t="e">
        <v>#N/A</v>
      </c>
      <c r="L1904" s="526" t="e">
        <v>#N/A</v>
      </c>
    </row>
    <row r="1905" spans="1:12" ht="15" x14ac:dyDescent="0.25">
      <c r="A1905">
        <v>291472</v>
      </c>
      <c r="B1905" t="e">
        <f t="shared" si="82"/>
        <v>#N/A</v>
      </c>
      <c r="C1905" s="198" t="e">
        <f t="shared" si="83"/>
        <v>#N/A</v>
      </c>
      <c r="D1905" s="526" t="e">
        <v>#N/A</v>
      </c>
      <c r="E1905" s="526" t="e">
        <v>#N/A</v>
      </c>
      <c r="F1905" s="526" t="e">
        <v>#N/A</v>
      </c>
      <c r="G1905" s="526" t="e">
        <v>#N/A</v>
      </c>
      <c r="H1905" s="412" t="e">
        <v>#N/A</v>
      </c>
      <c r="I1905" s="411" t="e">
        <v>#N/A</v>
      </c>
      <c r="J1905" s="411" t="e">
        <v>#N/A</v>
      </c>
      <c r="K1905" s="411" t="e">
        <v>#N/A</v>
      </c>
      <c r="L1905" s="526" t="e">
        <v>#N/A</v>
      </c>
    </row>
    <row r="1906" spans="1:12" ht="15" x14ac:dyDescent="0.25">
      <c r="A1906">
        <v>303699</v>
      </c>
      <c r="B1906" t="e">
        <f t="shared" si="82"/>
        <v>#N/A</v>
      </c>
      <c r="C1906" s="198" t="e">
        <f t="shared" si="83"/>
        <v>#N/A</v>
      </c>
      <c r="D1906" s="526" t="e">
        <v>#N/A</v>
      </c>
      <c r="E1906" s="526" t="e">
        <v>#N/A</v>
      </c>
      <c r="F1906" s="526" t="e">
        <v>#N/A</v>
      </c>
      <c r="G1906" s="526" t="e">
        <v>#N/A</v>
      </c>
      <c r="H1906" s="412" t="e">
        <v>#N/A</v>
      </c>
      <c r="I1906" s="411" t="e">
        <v>#N/A</v>
      </c>
      <c r="J1906" s="411" t="e">
        <v>#N/A</v>
      </c>
      <c r="K1906" s="411" t="e">
        <v>#N/A</v>
      </c>
      <c r="L1906" s="526" t="e">
        <v>#N/A</v>
      </c>
    </row>
    <row r="1907" spans="1:12" ht="15" x14ac:dyDescent="0.25">
      <c r="A1907">
        <v>303700</v>
      </c>
      <c r="B1907" t="e">
        <f t="shared" si="82"/>
        <v>#N/A</v>
      </c>
      <c r="C1907" s="198" t="e">
        <f t="shared" si="83"/>
        <v>#N/A</v>
      </c>
      <c r="D1907" s="526" t="e">
        <v>#N/A</v>
      </c>
      <c r="E1907" s="526" t="e">
        <v>#N/A</v>
      </c>
      <c r="F1907" s="526" t="e">
        <v>#N/A</v>
      </c>
      <c r="G1907" s="526" t="e">
        <v>#N/A</v>
      </c>
      <c r="H1907" s="412" t="e">
        <v>#N/A</v>
      </c>
      <c r="I1907" s="411" t="e">
        <v>#N/A</v>
      </c>
      <c r="J1907" s="411" t="e">
        <v>#N/A</v>
      </c>
      <c r="K1907" s="411" t="e">
        <v>#N/A</v>
      </c>
      <c r="L1907" s="526" t="e">
        <v>#N/A</v>
      </c>
    </row>
    <row r="1908" spans="1:12" ht="15" x14ac:dyDescent="0.25">
      <c r="A1908">
        <v>303703</v>
      </c>
      <c r="B1908" t="e">
        <f t="shared" si="82"/>
        <v>#N/A</v>
      </c>
      <c r="C1908" s="198" t="e">
        <f t="shared" si="83"/>
        <v>#N/A</v>
      </c>
      <c r="D1908" s="526" t="e">
        <v>#N/A</v>
      </c>
      <c r="E1908" s="526" t="e">
        <v>#N/A</v>
      </c>
      <c r="F1908" s="526" t="e">
        <v>#N/A</v>
      </c>
      <c r="G1908" s="526" t="e">
        <v>#N/A</v>
      </c>
      <c r="H1908" s="412" t="e">
        <v>#N/A</v>
      </c>
      <c r="I1908" s="411" t="e">
        <v>#N/A</v>
      </c>
      <c r="J1908" s="411" t="e">
        <v>#N/A</v>
      </c>
      <c r="K1908" s="411" t="e">
        <v>#N/A</v>
      </c>
      <c r="L1908" s="526" t="e">
        <v>#N/A</v>
      </c>
    </row>
    <row r="1909" spans="1:12" ht="15" x14ac:dyDescent="0.25">
      <c r="A1909">
        <v>303706</v>
      </c>
      <c r="B1909" t="e">
        <f t="shared" si="82"/>
        <v>#N/A</v>
      </c>
      <c r="C1909" s="198" t="e">
        <f t="shared" si="83"/>
        <v>#N/A</v>
      </c>
      <c r="D1909" s="526" t="e">
        <v>#N/A</v>
      </c>
      <c r="E1909" s="526" t="e">
        <v>#N/A</v>
      </c>
      <c r="F1909" s="526" t="e">
        <v>#N/A</v>
      </c>
      <c r="G1909" s="526" t="e">
        <v>#N/A</v>
      </c>
      <c r="H1909" s="412" t="e">
        <v>#N/A</v>
      </c>
      <c r="I1909" s="411" t="e">
        <v>#N/A</v>
      </c>
      <c r="J1909" s="411" t="e">
        <v>#N/A</v>
      </c>
      <c r="K1909" s="411" t="e">
        <v>#N/A</v>
      </c>
      <c r="L1909" s="526" t="e">
        <v>#N/A</v>
      </c>
    </row>
    <row r="1910" spans="1:12" ht="15" x14ac:dyDescent="0.25">
      <c r="A1910">
        <v>303709</v>
      </c>
      <c r="B1910" t="e">
        <f t="shared" si="82"/>
        <v>#N/A</v>
      </c>
      <c r="C1910" s="198" t="e">
        <f t="shared" si="83"/>
        <v>#N/A</v>
      </c>
      <c r="D1910" s="526" t="e">
        <v>#N/A</v>
      </c>
      <c r="E1910" s="526" t="e">
        <v>#N/A</v>
      </c>
      <c r="F1910" s="526" t="e">
        <v>#N/A</v>
      </c>
      <c r="G1910" s="526" t="e">
        <v>#N/A</v>
      </c>
      <c r="H1910" s="412" t="e">
        <v>#N/A</v>
      </c>
      <c r="I1910" s="411" t="e">
        <v>#N/A</v>
      </c>
      <c r="J1910" s="411" t="e">
        <v>#N/A</v>
      </c>
      <c r="K1910" s="411" t="e">
        <v>#N/A</v>
      </c>
      <c r="L1910" s="526" t="e">
        <v>#N/A</v>
      </c>
    </row>
    <row r="1911" spans="1:12" ht="15" x14ac:dyDescent="0.25">
      <c r="A1911">
        <v>303710</v>
      </c>
      <c r="B1911" t="e">
        <f t="shared" si="82"/>
        <v>#N/A</v>
      </c>
      <c r="C1911" s="198" t="e">
        <f t="shared" si="83"/>
        <v>#N/A</v>
      </c>
      <c r="D1911" s="526" t="e">
        <v>#N/A</v>
      </c>
      <c r="E1911" s="526" t="e">
        <v>#N/A</v>
      </c>
      <c r="F1911" s="526" t="e">
        <v>#N/A</v>
      </c>
      <c r="G1911" s="526" t="e">
        <v>#N/A</v>
      </c>
      <c r="H1911" s="412" t="e">
        <v>#N/A</v>
      </c>
      <c r="I1911" s="411" t="e">
        <v>#N/A</v>
      </c>
      <c r="J1911" s="411" t="e">
        <v>#N/A</v>
      </c>
      <c r="K1911" s="411" t="e">
        <v>#N/A</v>
      </c>
      <c r="L1911" s="526" t="e">
        <v>#N/A</v>
      </c>
    </row>
    <row r="1912" spans="1:12" ht="15" x14ac:dyDescent="0.25">
      <c r="A1912">
        <v>303718</v>
      </c>
      <c r="B1912" t="e">
        <f t="shared" si="82"/>
        <v>#N/A</v>
      </c>
      <c r="C1912" s="198" t="e">
        <f t="shared" si="83"/>
        <v>#N/A</v>
      </c>
      <c r="D1912" s="526" t="e">
        <v>#N/A</v>
      </c>
      <c r="E1912" s="526" t="e">
        <v>#N/A</v>
      </c>
      <c r="F1912" s="526" t="e">
        <v>#N/A</v>
      </c>
      <c r="G1912" s="526" t="e">
        <v>#N/A</v>
      </c>
      <c r="H1912" s="412" t="e">
        <v>#N/A</v>
      </c>
      <c r="I1912" s="411" t="e">
        <v>#N/A</v>
      </c>
      <c r="J1912" s="411" t="e">
        <v>#N/A</v>
      </c>
      <c r="K1912" s="411" t="e">
        <v>#N/A</v>
      </c>
      <c r="L1912" s="526" t="e">
        <v>#N/A</v>
      </c>
    </row>
    <row r="1913" spans="1:12" ht="15" x14ac:dyDescent="0.25">
      <c r="A1913">
        <v>303719</v>
      </c>
      <c r="B1913" t="e">
        <f t="shared" si="82"/>
        <v>#N/A</v>
      </c>
      <c r="C1913" s="198" t="e">
        <f t="shared" si="83"/>
        <v>#N/A</v>
      </c>
      <c r="D1913" s="526" t="e">
        <v>#N/A</v>
      </c>
      <c r="E1913" s="526" t="e">
        <v>#N/A</v>
      </c>
      <c r="F1913" s="526" t="e">
        <v>#N/A</v>
      </c>
      <c r="G1913" s="526" t="e">
        <v>#N/A</v>
      </c>
      <c r="H1913" s="412" t="e">
        <v>#N/A</v>
      </c>
      <c r="I1913" s="411" t="e">
        <v>#N/A</v>
      </c>
      <c r="J1913" s="411" t="e">
        <v>#N/A</v>
      </c>
      <c r="K1913" s="411" t="e">
        <v>#N/A</v>
      </c>
      <c r="L1913" s="526" t="e">
        <v>#N/A</v>
      </c>
    </row>
    <row r="1914" spans="1:12" ht="15" x14ac:dyDescent="0.25">
      <c r="A1914">
        <v>303720</v>
      </c>
      <c r="B1914" t="e">
        <f t="shared" si="82"/>
        <v>#N/A</v>
      </c>
      <c r="C1914" s="198" t="e">
        <f t="shared" si="83"/>
        <v>#N/A</v>
      </c>
      <c r="D1914" s="526" t="e">
        <v>#N/A</v>
      </c>
      <c r="E1914" s="526" t="e">
        <v>#N/A</v>
      </c>
      <c r="F1914" s="526" t="e">
        <v>#N/A</v>
      </c>
      <c r="G1914" s="526" t="e">
        <v>#N/A</v>
      </c>
      <c r="H1914" s="412" t="e">
        <v>#N/A</v>
      </c>
      <c r="I1914" s="411" t="e">
        <v>#N/A</v>
      </c>
      <c r="J1914" s="411" t="e">
        <v>#N/A</v>
      </c>
      <c r="K1914" s="411" t="e">
        <v>#N/A</v>
      </c>
      <c r="L1914" s="526" t="e">
        <v>#N/A</v>
      </c>
    </row>
    <row r="1915" spans="1:12" ht="15" x14ac:dyDescent="0.25">
      <c r="A1915">
        <v>303721</v>
      </c>
      <c r="B1915" t="e">
        <f t="shared" si="82"/>
        <v>#N/A</v>
      </c>
      <c r="C1915" s="198" t="e">
        <f t="shared" si="83"/>
        <v>#N/A</v>
      </c>
      <c r="D1915" s="526" t="e">
        <v>#N/A</v>
      </c>
      <c r="E1915" s="526" t="e">
        <v>#N/A</v>
      </c>
      <c r="F1915" s="526" t="e">
        <v>#N/A</v>
      </c>
      <c r="G1915" s="526" t="e">
        <v>#N/A</v>
      </c>
      <c r="H1915" s="412" t="e">
        <v>#N/A</v>
      </c>
      <c r="I1915" s="411" t="e">
        <v>#N/A</v>
      </c>
      <c r="J1915" s="411" t="e">
        <v>#N/A</v>
      </c>
      <c r="K1915" s="411" t="e">
        <v>#N/A</v>
      </c>
      <c r="L1915" s="526" t="e">
        <v>#N/A</v>
      </c>
    </row>
    <row r="1916" spans="1:12" ht="15" x14ac:dyDescent="0.25">
      <c r="A1916">
        <v>303856</v>
      </c>
      <c r="B1916" t="e">
        <f t="shared" si="82"/>
        <v>#N/A</v>
      </c>
      <c r="C1916" s="198" t="e">
        <f t="shared" si="83"/>
        <v>#N/A</v>
      </c>
      <c r="D1916" s="526" t="e">
        <v>#N/A</v>
      </c>
      <c r="E1916" s="526" t="e">
        <v>#N/A</v>
      </c>
      <c r="F1916" s="526" t="e">
        <v>#N/A</v>
      </c>
      <c r="G1916" s="526" t="e">
        <v>#N/A</v>
      </c>
      <c r="H1916" s="412" t="e">
        <v>#N/A</v>
      </c>
      <c r="I1916" s="411" t="e">
        <v>#N/A</v>
      </c>
      <c r="J1916" s="411" t="e">
        <v>#N/A</v>
      </c>
      <c r="K1916" s="411" t="e">
        <v>#N/A</v>
      </c>
      <c r="L1916" s="526" t="e">
        <v>#N/A</v>
      </c>
    </row>
    <row r="1917" spans="1:12" ht="15" x14ac:dyDescent="0.25">
      <c r="A1917">
        <v>304028</v>
      </c>
      <c r="B1917" t="e">
        <f t="shared" si="82"/>
        <v>#N/A</v>
      </c>
      <c r="C1917" s="198" t="e">
        <f t="shared" si="83"/>
        <v>#N/A</v>
      </c>
      <c r="D1917" s="526" t="e">
        <v>#N/A</v>
      </c>
      <c r="E1917" s="526" t="e">
        <v>#N/A</v>
      </c>
      <c r="F1917" s="526" t="e">
        <v>#N/A</v>
      </c>
      <c r="G1917" s="526" t="e">
        <v>#N/A</v>
      </c>
      <c r="H1917" s="412" t="e">
        <v>#N/A</v>
      </c>
      <c r="I1917" s="411" t="e">
        <v>#N/A</v>
      </c>
      <c r="J1917" s="411" t="e">
        <v>#N/A</v>
      </c>
      <c r="K1917" s="411" t="e">
        <v>#N/A</v>
      </c>
      <c r="L1917" s="526" t="e">
        <v>#N/A</v>
      </c>
    </row>
    <row r="1918" spans="1:12" ht="15" x14ac:dyDescent="0.25">
      <c r="A1918">
        <v>342177</v>
      </c>
      <c r="B1918" t="str">
        <f t="shared" si="82"/>
        <v>SEVROLL 20265-SV sada kovania pre tlmič Mini</v>
      </c>
      <c r="C1918" s="198">
        <f t="shared" si="83"/>
        <v>2.0642399999999999</v>
      </c>
      <c r="D1918" s="526" t="s">
        <v>1555</v>
      </c>
      <c r="E1918" s="526" t="s">
        <v>1985</v>
      </c>
      <c r="F1918" s="526" t="s">
        <v>6061</v>
      </c>
      <c r="G1918" s="526" t="s">
        <v>6062</v>
      </c>
      <c r="H1918" s="412">
        <v>60.652000000000001</v>
      </c>
      <c r="I1918" s="411">
        <v>2.0642399999999999</v>
      </c>
      <c r="J1918" s="411">
        <v>6.9930000000000003</v>
      </c>
      <c r="K1918" s="411">
        <v>801.84</v>
      </c>
      <c r="L1918" s="526" t="s">
        <v>554</v>
      </c>
    </row>
    <row r="1919" spans="1:12" ht="15" x14ac:dyDescent="0.25">
      <c r="A1919">
        <v>342360</v>
      </c>
      <c r="B1919" t="e">
        <f t="shared" si="82"/>
        <v>#N/A</v>
      </c>
      <c r="C1919" s="198" t="e">
        <f t="shared" si="83"/>
        <v>#N/A</v>
      </c>
      <c r="D1919" s="526" t="e">
        <v>#N/A</v>
      </c>
      <c r="E1919" s="526" t="e">
        <v>#N/A</v>
      </c>
      <c r="F1919" s="526" t="e">
        <v>#N/A</v>
      </c>
      <c r="G1919" s="526" t="e">
        <v>#N/A</v>
      </c>
      <c r="H1919" s="412" t="e">
        <v>#N/A</v>
      </c>
      <c r="I1919" s="411" t="e">
        <v>#N/A</v>
      </c>
      <c r="J1919" s="411" t="e">
        <v>#N/A</v>
      </c>
      <c r="K1919" s="411" t="e">
        <v>#N/A</v>
      </c>
      <c r="L1919" s="526" t="e">
        <v>#N/A</v>
      </c>
    </row>
    <row r="1920" spans="1:12" ht="15" x14ac:dyDescent="0.25">
      <c r="A1920">
        <v>342428</v>
      </c>
      <c r="B1920" t="str">
        <f t="shared" si="82"/>
        <v/>
      </c>
      <c r="C1920" s="198">
        <f t="shared" si="83"/>
        <v>2.2679999999999999E-2</v>
      </c>
      <c r="D1920" s="526" t="s">
        <v>1556</v>
      </c>
      <c r="E1920" s="526" t="s">
        <v>71</v>
      </c>
      <c r="F1920" s="526" t="s">
        <v>71</v>
      </c>
      <c r="G1920" s="526" t="s">
        <v>71</v>
      </c>
      <c r="H1920" s="412">
        <v>0</v>
      </c>
      <c r="I1920" s="411">
        <v>2.2679999999999999E-2</v>
      </c>
      <c r="J1920" s="411">
        <v>0</v>
      </c>
      <c r="K1920" s="411">
        <v>0</v>
      </c>
      <c r="L1920" s="526" t="s">
        <v>555</v>
      </c>
    </row>
    <row r="1921" spans="1:12" ht="15" x14ac:dyDescent="0.25">
      <c r="A1921">
        <v>375992</v>
      </c>
      <c r="B1921" t="e">
        <f t="shared" si="82"/>
        <v>#N/A</v>
      </c>
      <c r="C1921" s="198" t="e">
        <f t="shared" si="83"/>
        <v>#N/A</v>
      </c>
      <c r="D1921" s="526" t="e">
        <v>#N/A</v>
      </c>
      <c r="E1921" s="526" t="e">
        <v>#N/A</v>
      </c>
      <c r="F1921" s="526" t="e">
        <v>#N/A</v>
      </c>
      <c r="G1921" s="526" t="e">
        <v>#N/A</v>
      </c>
      <c r="H1921" s="412" t="e">
        <v>#N/A</v>
      </c>
      <c r="I1921" s="411" t="e">
        <v>#N/A</v>
      </c>
      <c r="J1921" s="411" t="e">
        <v>#N/A</v>
      </c>
      <c r="K1921" s="411" t="e">
        <v>#N/A</v>
      </c>
      <c r="L1921" s="526" t="e">
        <v>#N/A</v>
      </c>
    </row>
    <row r="1922" spans="1:12" ht="15" x14ac:dyDescent="0.25">
      <c r="A1922">
        <v>375993</v>
      </c>
      <c r="B1922" t="e">
        <f t="shared" si="82"/>
        <v>#N/A</v>
      </c>
      <c r="C1922" s="198" t="e">
        <f t="shared" si="83"/>
        <v>#N/A</v>
      </c>
      <c r="D1922" s="526" t="e">
        <v>#N/A</v>
      </c>
      <c r="E1922" s="526" t="e">
        <v>#N/A</v>
      </c>
      <c r="F1922" s="526" t="e">
        <v>#N/A</v>
      </c>
      <c r="G1922" s="526" t="e">
        <v>#N/A</v>
      </c>
      <c r="H1922" s="412" t="e">
        <v>#N/A</v>
      </c>
      <c r="I1922" s="411" t="e">
        <v>#N/A</v>
      </c>
      <c r="J1922" s="411" t="e">
        <v>#N/A</v>
      </c>
      <c r="K1922" s="411" t="e">
        <v>#N/A</v>
      </c>
      <c r="L1922" s="526" t="e">
        <v>#N/A</v>
      </c>
    </row>
    <row r="1923" spans="1:12" ht="15" x14ac:dyDescent="0.25">
      <c r="A1923">
        <v>376054</v>
      </c>
      <c r="B1923" t="str">
        <f t="shared" si="82"/>
        <v>SEVROLL 04709 krycí profil Herakles 3m</v>
      </c>
      <c r="C1923" s="198">
        <f t="shared" si="83"/>
        <v>22.474409999999999</v>
      </c>
      <c r="D1923" s="526" t="s">
        <v>1557</v>
      </c>
      <c r="E1923" s="526" t="s">
        <v>1986</v>
      </c>
      <c r="F1923" s="526" t="s">
        <v>1557</v>
      </c>
      <c r="G1923" s="526" t="s">
        <v>6063</v>
      </c>
      <c r="H1923" s="412">
        <v>593.19455000000005</v>
      </c>
      <c r="I1923" s="411">
        <v>22.474409999999999</v>
      </c>
      <c r="J1923" s="411">
        <v>77.328959999999995</v>
      </c>
      <c r="K1923" s="411">
        <v>8276.1749999999993</v>
      </c>
      <c r="L1923" s="526" t="s">
        <v>554</v>
      </c>
    </row>
    <row r="1924" spans="1:12" ht="15" x14ac:dyDescent="0.25">
      <c r="A1924">
        <v>376055</v>
      </c>
      <c r="B1924" t="str">
        <f t="shared" si="82"/>
        <v>SEVROLL 50513 Herakles horné vedenie 3m surový</v>
      </c>
      <c r="C1924" s="198">
        <f t="shared" si="83"/>
        <v>24.151610000000002</v>
      </c>
      <c r="D1924" s="526" t="s">
        <v>1558</v>
      </c>
      <c r="E1924" s="526" t="s">
        <v>1987</v>
      </c>
      <c r="F1924" s="526" t="s">
        <v>6064</v>
      </c>
      <c r="G1924" s="526" t="s">
        <v>71</v>
      </c>
      <c r="H1924" s="412">
        <v>637.46280000000002</v>
      </c>
      <c r="I1924" s="411">
        <v>24.151610000000002</v>
      </c>
      <c r="J1924" s="411">
        <v>83.099779999999996</v>
      </c>
      <c r="K1924" s="411">
        <v>8893.7999999999993</v>
      </c>
      <c r="L1924" s="526" t="s">
        <v>554</v>
      </c>
    </row>
    <row r="1925" spans="1:12" ht="15" x14ac:dyDescent="0.25">
      <c r="A1925">
        <v>376056</v>
      </c>
      <c r="B1925" t="str">
        <f t="shared" si="82"/>
        <v>SEVROLL 20392 Herakles tlmič 40kg</v>
      </c>
      <c r="C1925" s="198" t="e">
        <f t="shared" si="83"/>
        <v>#N/A</v>
      </c>
      <c r="D1925" s="526" t="s">
        <v>1559</v>
      </c>
      <c r="E1925" s="526" t="s">
        <v>1988</v>
      </c>
      <c r="F1925" s="526" t="s">
        <v>6065</v>
      </c>
      <c r="G1925" s="526" t="s">
        <v>6066</v>
      </c>
      <c r="H1925" s="412" t="e">
        <v>#N/A</v>
      </c>
      <c r="I1925" s="411" t="e">
        <v>#N/A</v>
      </c>
      <c r="J1925" s="411" t="e">
        <v>#N/A</v>
      </c>
      <c r="K1925" s="411" t="e">
        <v>#N/A</v>
      </c>
      <c r="L1925" s="526" t="e">
        <v>#N/A</v>
      </c>
    </row>
    <row r="1926" spans="1:12" ht="15" x14ac:dyDescent="0.25">
      <c r="A1926">
        <v>376057</v>
      </c>
      <c r="B1926" t="str">
        <f t="shared" si="82"/>
        <v>SEVROLL 20393 Herakles tlmič 40 - 80kg</v>
      </c>
      <c r="C1926" s="198" t="e">
        <f t="shared" si="83"/>
        <v>#N/A</v>
      </c>
      <c r="D1926" s="526" t="s">
        <v>1560</v>
      </c>
      <c r="E1926" s="526" t="s">
        <v>1989</v>
      </c>
      <c r="F1926" s="526" t="s">
        <v>6067</v>
      </c>
      <c r="G1926" s="526" t="s">
        <v>6068</v>
      </c>
      <c r="H1926" s="412" t="e">
        <v>#N/A</v>
      </c>
      <c r="I1926" s="411" t="e">
        <v>#N/A</v>
      </c>
      <c r="J1926" s="411" t="e">
        <v>#N/A</v>
      </c>
      <c r="K1926" s="411" t="e">
        <v>#N/A</v>
      </c>
      <c r="L1926" s="526" t="e">
        <v>#N/A</v>
      </c>
    </row>
    <row r="1927" spans="1:12" ht="15" x14ac:dyDescent="0.25">
      <c r="A1927">
        <v>376058</v>
      </c>
      <c r="B1927" t="str">
        <f t="shared" si="82"/>
        <v>SEVROLL 10216 Herakles sada kovania ZPH-18 pre 1 krídlo</v>
      </c>
      <c r="C1927" s="198">
        <f t="shared" si="83"/>
        <v>19.04261</v>
      </c>
      <c r="D1927" s="526" t="s">
        <v>1561</v>
      </c>
      <c r="E1927" s="526" t="s">
        <v>1990</v>
      </c>
      <c r="F1927" s="526" t="s">
        <v>6069</v>
      </c>
      <c r="G1927" s="526" t="s">
        <v>6070</v>
      </c>
      <c r="H1927" s="412">
        <v>502.61489999999998</v>
      </c>
      <c r="I1927" s="411">
        <v>19.04261</v>
      </c>
      <c r="J1927" s="411">
        <v>65.520989999999998</v>
      </c>
      <c r="K1927" s="411">
        <v>7012.4192300000004</v>
      </c>
      <c r="L1927" s="526" t="s">
        <v>554</v>
      </c>
    </row>
    <row r="1928" spans="1:12" ht="15" x14ac:dyDescent="0.25">
      <c r="A1928">
        <v>376059</v>
      </c>
      <c r="B1928" t="str">
        <f t="shared" si="82"/>
        <v>SEVROLL 10228 držiak horného vedenia Herakles</v>
      </c>
      <c r="C1928" s="198">
        <f t="shared" si="83"/>
        <v>1.85782</v>
      </c>
      <c r="D1928" s="526" t="s">
        <v>1562</v>
      </c>
      <c r="E1928" s="526" t="s">
        <v>1991</v>
      </c>
      <c r="F1928" s="526" t="s">
        <v>6071</v>
      </c>
      <c r="G1928" s="526" t="s">
        <v>71</v>
      </c>
      <c r="H1928" s="412">
        <v>49.035600000000002</v>
      </c>
      <c r="I1928" s="411">
        <v>1.85782</v>
      </c>
      <c r="J1928" s="411">
        <v>6.39229</v>
      </c>
      <c r="K1928" s="411">
        <v>684.13846999999998</v>
      </c>
      <c r="L1928" s="526" t="s">
        <v>554</v>
      </c>
    </row>
    <row r="1929" spans="1:12" ht="15" x14ac:dyDescent="0.25">
      <c r="A1929">
        <v>122571</v>
      </c>
      <c r="B1929" t="e">
        <f t="shared" si="82"/>
        <v>#N/A</v>
      </c>
      <c r="C1929" s="198" t="e">
        <f t="shared" si="83"/>
        <v>#N/A</v>
      </c>
      <c r="D1929" s="526" t="e">
        <v>#N/A</v>
      </c>
      <c r="E1929" s="526" t="e">
        <v>#N/A</v>
      </c>
      <c r="F1929" s="526" t="e">
        <v>#N/A</v>
      </c>
      <c r="G1929" s="526" t="e">
        <v>#N/A</v>
      </c>
      <c r="H1929" s="412" t="e">
        <v>#N/A</v>
      </c>
      <c r="I1929" s="411" t="e">
        <v>#N/A</v>
      </c>
      <c r="J1929" s="411" t="e">
        <v>#N/A</v>
      </c>
      <c r="K1929" s="411" t="e">
        <v>#N/A</v>
      </c>
      <c r="L1929" s="526" t="e">
        <v>#N/A</v>
      </c>
    </row>
    <row r="1930" spans="1:12" ht="15" x14ac:dyDescent="0.25">
      <c r="A1930">
        <v>122572</v>
      </c>
      <c r="B1930" t="e">
        <f t="shared" si="82"/>
        <v>#N/A</v>
      </c>
      <c r="C1930" s="198" t="e">
        <f t="shared" si="83"/>
        <v>#N/A</v>
      </c>
      <c r="D1930" s="526" t="e">
        <v>#N/A</v>
      </c>
      <c r="E1930" s="526" t="e">
        <v>#N/A</v>
      </c>
      <c r="F1930" s="526" t="e">
        <v>#N/A</v>
      </c>
      <c r="G1930" s="526" t="e">
        <v>#N/A</v>
      </c>
      <c r="H1930" s="412" t="e">
        <v>#N/A</v>
      </c>
      <c r="I1930" s="411" t="e">
        <v>#N/A</v>
      </c>
      <c r="J1930" s="411" t="e">
        <v>#N/A</v>
      </c>
      <c r="K1930" s="411" t="e">
        <v>#N/A</v>
      </c>
      <c r="L1930" s="526" t="e">
        <v>#N/A</v>
      </c>
    </row>
    <row r="1931" spans="1:12" ht="15" x14ac:dyDescent="0.25">
      <c r="A1931">
        <v>128322</v>
      </c>
      <c r="B1931" t="str">
        <f t="shared" si="82"/>
        <v>SEVROLL 10066-SV sada kovania ZSE-10</v>
      </c>
      <c r="C1931" s="198">
        <f t="shared" si="83"/>
        <v>47.211759999999998</v>
      </c>
      <c r="D1931" s="526" t="s">
        <v>1563</v>
      </c>
      <c r="E1931" s="526" t="s">
        <v>1992</v>
      </c>
      <c r="F1931" s="526" t="s">
        <v>6072</v>
      </c>
      <c r="G1931" s="526" t="s">
        <v>2502</v>
      </c>
      <c r="H1931" s="412">
        <v>1307.4618</v>
      </c>
      <c r="I1931" s="411">
        <v>47.211759999999998</v>
      </c>
      <c r="J1931" s="411">
        <v>166.12739999999999</v>
      </c>
      <c r="K1931" s="411">
        <v>17972.30141</v>
      </c>
      <c r="L1931" s="526" t="s">
        <v>554</v>
      </c>
    </row>
    <row r="1932" spans="1:12" ht="15" x14ac:dyDescent="0.25">
      <c r="A1932">
        <v>130896</v>
      </c>
      <c r="B1932" t="e">
        <f t="shared" si="82"/>
        <v>#N/A</v>
      </c>
      <c r="C1932" s="198" t="e">
        <f t="shared" si="83"/>
        <v>#N/A</v>
      </c>
      <c r="D1932" s="526" t="e">
        <v>#N/A</v>
      </c>
      <c r="E1932" s="526" t="e">
        <v>#N/A</v>
      </c>
      <c r="F1932" s="526" t="e">
        <v>#N/A</v>
      </c>
      <c r="G1932" s="526" t="e">
        <v>#N/A</v>
      </c>
      <c r="H1932" s="412" t="e">
        <v>#N/A</v>
      </c>
      <c r="I1932" s="411" t="e">
        <v>#N/A</v>
      </c>
      <c r="J1932" s="411" t="e">
        <v>#N/A</v>
      </c>
      <c r="K1932" s="411" t="e">
        <v>#N/A</v>
      </c>
      <c r="L1932" s="526" t="e">
        <v>#N/A</v>
      </c>
    </row>
    <row r="1933" spans="1:12" ht="15" x14ac:dyDescent="0.25">
      <c r="A1933">
        <v>130897</v>
      </c>
      <c r="B1933" t="e">
        <f t="shared" si="82"/>
        <v>#N/A</v>
      </c>
      <c r="C1933" s="198" t="e">
        <f t="shared" si="83"/>
        <v>#N/A</v>
      </c>
      <c r="D1933" s="526" t="e">
        <v>#N/A</v>
      </c>
      <c r="E1933" s="526" t="e">
        <v>#N/A</v>
      </c>
      <c r="F1933" s="526" t="e">
        <v>#N/A</v>
      </c>
      <c r="G1933" s="526" t="e">
        <v>#N/A</v>
      </c>
      <c r="H1933" s="412" t="e">
        <v>#N/A</v>
      </c>
      <c r="I1933" s="411" t="e">
        <v>#N/A</v>
      </c>
      <c r="J1933" s="411" t="e">
        <v>#N/A</v>
      </c>
      <c r="K1933" s="411" t="e">
        <v>#N/A</v>
      </c>
      <c r="L1933" s="526" t="e">
        <v>#N/A</v>
      </c>
    </row>
    <row r="1934" spans="1:12" ht="15" x14ac:dyDescent="0.25">
      <c r="A1934">
        <v>130898</v>
      </c>
      <c r="B1934" t="e">
        <f t="shared" si="82"/>
        <v>#N/A</v>
      </c>
      <c r="C1934" s="198" t="e">
        <f t="shared" si="83"/>
        <v>#N/A</v>
      </c>
      <c r="D1934" s="526" t="e">
        <v>#N/A</v>
      </c>
      <c r="E1934" s="526" t="e">
        <v>#N/A</v>
      </c>
      <c r="F1934" s="526" t="e">
        <v>#N/A</v>
      </c>
      <c r="G1934" s="526" t="e">
        <v>#N/A</v>
      </c>
      <c r="H1934" s="412" t="e">
        <v>#N/A</v>
      </c>
      <c r="I1934" s="411" t="e">
        <v>#N/A</v>
      </c>
      <c r="J1934" s="411" t="e">
        <v>#N/A</v>
      </c>
      <c r="K1934" s="411" t="e">
        <v>#N/A</v>
      </c>
      <c r="L1934" s="526" t="e">
        <v>#N/A</v>
      </c>
    </row>
    <row r="1935" spans="1:12" ht="15" x14ac:dyDescent="0.25">
      <c r="A1935">
        <v>303056</v>
      </c>
      <c r="B1935" t="e">
        <f t="shared" si="82"/>
        <v>#N/A</v>
      </c>
      <c r="C1935" s="198" t="e">
        <f t="shared" si="83"/>
        <v>#N/A</v>
      </c>
      <c r="D1935" s="526" t="e">
        <v>#N/A</v>
      </c>
      <c r="E1935" s="526" t="e">
        <v>#N/A</v>
      </c>
      <c r="F1935" s="526" t="e">
        <v>#N/A</v>
      </c>
      <c r="G1935" s="526" t="e">
        <v>#N/A</v>
      </c>
      <c r="H1935" s="412" t="e">
        <v>#N/A</v>
      </c>
      <c r="I1935" s="411" t="e">
        <v>#N/A</v>
      </c>
      <c r="J1935" s="411" t="e">
        <v>#N/A</v>
      </c>
      <c r="K1935" s="411" t="e">
        <v>#N/A</v>
      </c>
      <c r="L1935" s="526" t="e">
        <v>#N/A</v>
      </c>
    </row>
    <row r="1936" spans="1:12" ht="15" x14ac:dyDescent="0.25">
      <c r="A1936">
        <v>303057</v>
      </c>
      <c r="B1936" t="e">
        <f t="shared" si="82"/>
        <v>#N/A</v>
      </c>
      <c r="C1936" s="198" t="e">
        <f t="shared" si="83"/>
        <v>#N/A</v>
      </c>
      <c r="D1936" s="526" t="e">
        <v>#N/A</v>
      </c>
      <c r="E1936" s="526" t="e">
        <v>#N/A</v>
      </c>
      <c r="F1936" s="526" t="e">
        <v>#N/A</v>
      </c>
      <c r="G1936" s="526" t="e">
        <v>#N/A</v>
      </c>
      <c r="H1936" s="412" t="e">
        <v>#N/A</v>
      </c>
      <c r="I1936" s="411" t="e">
        <v>#N/A</v>
      </c>
      <c r="J1936" s="411" t="e">
        <v>#N/A</v>
      </c>
      <c r="K1936" s="411" t="e">
        <v>#N/A</v>
      </c>
      <c r="L1936" s="526" t="e">
        <v>#N/A</v>
      </c>
    </row>
    <row r="1937" spans="1:12" ht="15" x14ac:dyDescent="0.25">
      <c r="A1937">
        <v>303058</v>
      </c>
      <c r="B1937" t="e">
        <f t="shared" si="82"/>
        <v>#N/A</v>
      </c>
      <c r="C1937" s="198" t="e">
        <f t="shared" si="83"/>
        <v>#N/A</v>
      </c>
      <c r="D1937" s="526" t="e">
        <v>#N/A</v>
      </c>
      <c r="E1937" s="526" t="e">
        <v>#N/A</v>
      </c>
      <c r="F1937" s="526" t="e">
        <v>#N/A</v>
      </c>
      <c r="G1937" s="526" t="e">
        <v>#N/A</v>
      </c>
      <c r="H1937" s="412" t="e">
        <v>#N/A</v>
      </c>
      <c r="I1937" s="411" t="e">
        <v>#N/A</v>
      </c>
      <c r="J1937" s="411" t="e">
        <v>#N/A</v>
      </c>
      <c r="K1937" s="411" t="e">
        <v>#N/A</v>
      </c>
      <c r="L1937" s="526" t="e">
        <v>#N/A</v>
      </c>
    </row>
    <row r="1938" spans="1:12" ht="15" x14ac:dyDescent="0.25">
      <c r="A1938">
        <v>303059</v>
      </c>
      <c r="B1938" t="e">
        <f t="shared" si="82"/>
        <v>#N/A</v>
      </c>
      <c r="C1938" s="198" t="e">
        <f t="shared" si="83"/>
        <v>#N/A</v>
      </c>
      <c r="D1938" s="526" t="e">
        <v>#N/A</v>
      </c>
      <c r="E1938" s="526" t="e">
        <v>#N/A</v>
      </c>
      <c r="F1938" s="526" t="e">
        <v>#N/A</v>
      </c>
      <c r="G1938" s="526" t="e">
        <v>#N/A</v>
      </c>
      <c r="H1938" s="412" t="e">
        <v>#N/A</v>
      </c>
      <c r="I1938" s="411" t="e">
        <v>#N/A</v>
      </c>
      <c r="J1938" s="411" t="e">
        <v>#N/A</v>
      </c>
      <c r="K1938" s="411" t="e">
        <v>#N/A</v>
      </c>
      <c r="L1938" s="526" t="e">
        <v>#N/A</v>
      </c>
    </row>
    <row r="1939" spans="1:12" ht="15" x14ac:dyDescent="0.25">
      <c r="A1939">
        <v>303060</v>
      </c>
      <c r="B1939" t="e">
        <f t="shared" si="82"/>
        <v>#N/A</v>
      </c>
      <c r="C1939" s="198" t="e">
        <f t="shared" si="83"/>
        <v>#N/A</v>
      </c>
      <c r="D1939" s="526" t="e">
        <v>#N/A</v>
      </c>
      <c r="E1939" s="526" t="e">
        <v>#N/A</v>
      </c>
      <c r="F1939" s="526" t="e">
        <v>#N/A</v>
      </c>
      <c r="G1939" s="526" t="e">
        <v>#N/A</v>
      </c>
      <c r="H1939" s="412" t="e">
        <v>#N/A</v>
      </c>
      <c r="I1939" s="411" t="e">
        <v>#N/A</v>
      </c>
      <c r="J1939" s="411" t="e">
        <v>#N/A</v>
      </c>
      <c r="K1939" s="411" t="e">
        <v>#N/A</v>
      </c>
      <c r="L1939" s="526" t="e">
        <v>#N/A</v>
      </c>
    </row>
    <row r="1940" spans="1:12" ht="15" x14ac:dyDescent="0.25">
      <c r="A1940">
        <v>303061</v>
      </c>
      <c r="B1940" t="e">
        <f t="shared" ref="B1940:B1989" si="84">IF($A$2=1,D1940,IF($A$2=2,F1940,IF($A$2=3,G1940,IF($A$2=4,E1940,"zadat jazyk"))))</f>
        <v>#N/A</v>
      </c>
      <c r="C1940" s="198" t="e">
        <f t="shared" ref="C1940:C1989" si="85">IF($A$2=1,H1940,IF($A$2=2,I1940,IF($A$2=3,J1940,IF($A$2=4,K1940,"zadat jazyk"))))</f>
        <v>#N/A</v>
      </c>
      <c r="D1940" s="526" t="e">
        <v>#N/A</v>
      </c>
      <c r="E1940" s="526" t="e">
        <v>#N/A</v>
      </c>
      <c r="F1940" s="526" t="e">
        <v>#N/A</v>
      </c>
      <c r="G1940" s="526" t="e">
        <v>#N/A</v>
      </c>
      <c r="H1940" s="412" t="e">
        <v>#N/A</v>
      </c>
      <c r="I1940" s="411" t="e">
        <v>#N/A</v>
      </c>
      <c r="J1940" s="411" t="e">
        <v>#N/A</v>
      </c>
      <c r="K1940" s="411" t="e">
        <v>#N/A</v>
      </c>
      <c r="L1940" s="526" t="e">
        <v>#N/A</v>
      </c>
    </row>
    <row r="1941" spans="1:12" ht="15" x14ac:dyDescent="0.25">
      <c r="A1941">
        <v>303360</v>
      </c>
      <c r="B1941" t="e">
        <f t="shared" si="84"/>
        <v>#N/A</v>
      </c>
      <c r="C1941" s="198" t="e">
        <f t="shared" si="85"/>
        <v>#N/A</v>
      </c>
      <c r="D1941" s="526" t="e">
        <v>#N/A</v>
      </c>
      <c r="E1941" s="526" t="e">
        <v>#N/A</v>
      </c>
      <c r="F1941" s="526" t="e">
        <v>#N/A</v>
      </c>
      <c r="G1941" s="526" t="e">
        <v>#N/A</v>
      </c>
      <c r="H1941" s="412" t="e">
        <v>#N/A</v>
      </c>
      <c r="I1941" s="411" t="e">
        <v>#N/A</v>
      </c>
      <c r="J1941" s="411" t="e">
        <v>#N/A</v>
      </c>
      <c r="K1941" s="411" t="e">
        <v>#N/A</v>
      </c>
      <c r="L1941" s="526" t="e">
        <v>#N/A</v>
      </c>
    </row>
    <row r="1942" spans="1:12" ht="15" x14ac:dyDescent="0.25">
      <c r="A1942">
        <v>303361</v>
      </c>
      <c r="B1942" t="e">
        <f t="shared" si="84"/>
        <v>#N/A</v>
      </c>
      <c r="C1942" s="198" t="e">
        <f t="shared" si="85"/>
        <v>#N/A</v>
      </c>
      <c r="D1942" s="526" t="e">
        <v>#N/A</v>
      </c>
      <c r="E1942" s="526" t="e">
        <v>#N/A</v>
      </c>
      <c r="F1942" s="526" t="e">
        <v>#N/A</v>
      </c>
      <c r="G1942" s="526" t="e">
        <v>#N/A</v>
      </c>
      <c r="H1942" s="412" t="e">
        <v>#N/A</v>
      </c>
      <c r="I1942" s="411" t="e">
        <v>#N/A</v>
      </c>
      <c r="J1942" s="411" t="e">
        <v>#N/A</v>
      </c>
      <c r="K1942" s="411" t="e">
        <v>#N/A</v>
      </c>
      <c r="L1942" s="526" t="e">
        <v>#N/A</v>
      </c>
    </row>
    <row r="1943" spans="1:12" ht="15" x14ac:dyDescent="0.25">
      <c r="A1943">
        <v>351439</v>
      </c>
      <c r="B1943" t="str">
        <f t="shared" si="84"/>
        <v>MSE-spodný vozík pre DTD 18mm</v>
      </c>
      <c r="C1943" s="198">
        <f t="shared" si="85"/>
        <v>0</v>
      </c>
      <c r="D1943" s="526" t="s">
        <v>1564</v>
      </c>
      <c r="E1943" s="526" t="s">
        <v>6073</v>
      </c>
      <c r="F1943" s="526" t="s">
        <v>6074</v>
      </c>
      <c r="G1943" s="526" t="s">
        <v>71</v>
      </c>
      <c r="H1943" s="412" t="e">
        <v>#N/A</v>
      </c>
      <c r="I1943" s="411">
        <v>0</v>
      </c>
      <c r="J1943" s="411">
        <v>0</v>
      </c>
      <c r="K1943" s="411">
        <v>0</v>
      </c>
      <c r="L1943" s="526" t="e">
        <v>#N/A</v>
      </c>
    </row>
    <row r="1944" spans="1:12" ht="15" x14ac:dyDescent="0.25">
      <c r="A1944">
        <v>351706</v>
      </c>
      <c r="B1944" t="e">
        <f t="shared" si="84"/>
        <v>#N/A</v>
      </c>
      <c r="C1944" s="198" t="e">
        <f t="shared" si="85"/>
        <v>#N/A</v>
      </c>
      <c r="D1944" s="526" t="e">
        <v>#N/A</v>
      </c>
      <c r="E1944" s="526" t="e">
        <v>#N/A</v>
      </c>
      <c r="F1944" s="526" t="e">
        <v>#N/A</v>
      </c>
      <c r="G1944" s="526" t="e">
        <v>#N/A</v>
      </c>
      <c r="H1944" s="412" t="e">
        <v>#N/A</v>
      </c>
      <c r="I1944" s="411" t="e">
        <v>#N/A</v>
      </c>
      <c r="J1944" s="411" t="e">
        <v>#N/A</v>
      </c>
      <c r="K1944" s="411" t="e">
        <v>#N/A</v>
      </c>
      <c r="L1944" s="526" t="e">
        <v>#N/A</v>
      </c>
    </row>
    <row r="1945" spans="1:12" ht="15" x14ac:dyDescent="0.25">
      <c r="A1945">
        <v>351707</v>
      </c>
      <c r="B1945" t="e">
        <f t="shared" si="84"/>
        <v>#N/A</v>
      </c>
      <c r="C1945" s="198" t="e">
        <f t="shared" si="85"/>
        <v>#N/A</v>
      </c>
      <c r="D1945" s="526" t="e">
        <v>#N/A</v>
      </c>
      <c r="E1945" s="526" t="e">
        <v>#N/A</v>
      </c>
      <c r="F1945" s="526" t="e">
        <v>#N/A</v>
      </c>
      <c r="G1945" s="526" t="e">
        <v>#N/A</v>
      </c>
      <c r="H1945" s="412" t="e">
        <v>#N/A</v>
      </c>
      <c r="I1945" s="411" t="e">
        <v>#N/A</v>
      </c>
      <c r="J1945" s="411" t="e">
        <v>#N/A</v>
      </c>
      <c r="K1945" s="411" t="e">
        <v>#N/A</v>
      </c>
      <c r="L1945" s="526" t="e">
        <v>#N/A</v>
      </c>
    </row>
    <row r="1946" spans="1:12" ht="15" x14ac:dyDescent="0.25">
      <c r="A1946">
        <v>351806</v>
      </c>
      <c r="B1946" t="e">
        <f t="shared" si="84"/>
        <v>#N/A</v>
      </c>
      <c r="C1946" s="198" t="e">
        <f t="shared" si="85"/>
        <v>#N/A</v>
      </c>
      <c r="D1946" s="526" t="e">
        <v>#N/A</v>
      </c>
      <c r="E1946" s="526" t="e">
        <v>#N/A</v>
      </c>
      <c r="F1946" s="526" t="e">
        <v>#N/A</v>
      </c>
      <c r="G1946" s="526" t="e">
        <v>#N/A</v>
      </c>
      <c r="H1946" s="412" t="e">
        <v>#N/A</v>
      </c>
      <c r="I1946" s="411" t="e">
        <v>#N/A</v>
      </c>
      <c r="J1946" s="411" t="e">
        <v>#N/A</v>
      </c>
      <c r="K1946" s="411" t="e">
        <v>#N/A</v>
      </c>
      <c r="L1946" s="526" t="e">
        <v>#N/A</v>
      </c>
    </row>
    <row r="1947" spans="1:12" ht="15" x14ac:dyDescent="0.25">
      <c r="A1947">
        <v>351809</v>
      </c>
      <c r="B1947" t="e">
        <f t="shared" si="84"/>
        <v>#N/A</v>
      </c>
      <c r="C1947" s="198" t="e">
        <f t="shared" si="85"/>
        <v>#N/A</v>
      </c>
      <c r="D1947" s="526" t="e">
        <v>#N/A</v>
      </c>
      <c r="E1947" s="526" t="e">
        <v>#N/A</v>
      </c>
      <c r="F1947" s="526" t="e">
        <v>#N/A</v>
      </c>
      <c r="G1947" s="526" t="e">
        <v>#N/A</v>
      </c>
      <c r="H1947" s="412" t="e">
        <v>#N/A</v>
      </c>
      <c r="I1947" s="411" t="e">
        <v>#N/A</v>
      </c>
      <c r="J1947" s="411" t="e">
        <v>#N/A</v>
      </c>
      <c r="K1947" s="411" t="e">
        <v>#N/A</v>
      </c>
      <c r="L1947" s="526" t="e">
        <v>#N/A</v>
      </c>
    </row>
    <row r="1948" spans="1:12" ht="15" x14ac:dyDescent="0.25">
      <c r="A1948">
        <v>340733</v>
      </c>
      <c r="B1948" t="e">
        <f t="shared" si="84"/>
        <v>#N/A</v>
      </c>
      <c r="C1948" s="198" t="e">
        <f t="shared" si="85"/>
        <v>#N/A</v>
      </c>
      <c r="D1948" s="526" t="e">
        <v>#N/A</v>
      </c>
      <c r="E1948" s="526" t="e">
        <v>#N/A</v>
      </c>
      <c r="F1948" s="526" t="e">
        <v>#N/A</v>
      </c>
      <c r="G1948" s="526" t="e">
        <v>#N/A</v>
      </c>
      <c r="H1948" s="412" t="e">
        <v>#N/A</v>
      </c>
      <c r="I1948" s="411" t="e">
        <v>#N/A</v>
      </c>
      <c r="J1948" s="411" t="e">
        <v>#N/A</v>
      </c>
      <c r="K1948" s="411" t="e">
        <v>#N/A</v>
      </c>
      <c r="L1948" s="526" t="e">
        <v>#N/A</v>
      </c>
    </row>
    <row r="1949" spans="1:12" ht="15" x14ac:dyDescent="0.25">
      <c r="A1949">
        <v>340734</v>
      </c>
      <c r="B1949" t="e">
        <f t="shared" si="84"/>
        <v>#N/A</v>
      </c>
      <c r="C1949" s="198" t="e">
        <f t="shared" si="85"/>
        <v>#N/A</v>
      </c>
      <c r="D1949" s="526" t="e">
        <v>#N/A</v>
      </c>
      <c r="E1949" s="526" t="e">
        <v>#N/A</v>
      </c>
      <c r="F1949" s="526" t="e">
        <v>#N/A</v>
      </c>
      <c r="G1949" s="526" t="e">
        <v>#N/A</v>
      </c>
      <c r="H1949" s="412" t="e">
        <v>#N/A</v>
      </c>
      <c r="I1949" s="411" t="e">
        <v>#N/A</v>
      </c>
      <c r="J1949" s="411" t="e">
        <v>#N/A</v>
      </c>
      <c r="K1949" s="411" t="e">
        <v>#N/A</v>
      </c>
      <c r="L1949" s="526" t="e">
        <v>#N/A</v>
      </c>
    </row>
    <row r="1950" spans="1:12" ht="15" x14ac:dyDescent="0.25">
      <c r="A1950">
        <v>340884</v>
      </c>
      <c r="B1950" t="str">
        <f t="shared" si="84"/>
        <v/>
      </c>
      <c r="C1950" s="198">
        <f t="shared" si="85"/>
        <v>0</v>
      </c>
      <c r="D1950" s="526" t="s">
        <v>1565</v>
      </c>
      <c r="E1950" s="526" t="s">
        <v>1993</v>
      </c>
      <c r="F1950" s="526" t="s">
        <v>71</v>
      </c>
      <c r="G1950" s="526" t="s">
        <v>2503</v>
      </c>
      <c r="H1950" s="412">
        <v>0</v>
      </c>
      <c r="I1950" s="411">
        <v>0</v>
      </c>
      <c r="J1950" s="411">
        <v>0</v>
      </c>
      <c r="K1950" s="411">
        <v>0</v>
      </c>
      <c r="L1950" s="526" t="s">
        <v>555</v>
      </c>
    </row>
    <row r="1951" spans="1:12" ht="15" x14ac:dyDescent="0.25">
      <c r="A1951">
        <v>341562</v>
      </c>
      <c r="B1951" t="e">
        <f t="shared" si="84"/>
        <v>#N/A</v>
      </c>
      <c r="C1951" s="198" t="e">
        <f t="shared" si="85"/>
        <v>#N/A</v>
      </c>
      <c r="D1951" s="526" t="e">
        <v>#N/A</v>
      </c>
      <c r="E1951" s="526" t="e">
        <v>#N/A</v>
      </c>
      <c r="F1951" s="526" t="e">
        <v>#N/A</v>
      </c>
      <c r="G1951" s="526" t="e">
        <v>#N/A</v>
      </c>
      <c r="H1951" s="412" t="e">
        <v>#N/A</v>
      </c>
      <c r="I1951" s="411" t="e">
        <v>#N/A</v>
      </c>
      <c r="J1951" s="411" t="e">
        <v>#N/A</v>
      </c>
      <c r="K1951" s="411" t="e">
        <v>#N/A</v>
      </c>
      <c r="L1951" s="526" t="e">
        <v>#N/A</v>
      </c>
    </row>
    <row r="1952" spans="1:12" ht="15" x14ac:dyDescent="0.25">
      <c r="A1952">
        <v>412038</v>
      </c>
      <c r="B1952" t="e">
        <f t="shared" si="84"/>
        <v>#N/A</v>
      </c>
      <c r="C1952" s="198" t="e">
        <f t="shared" si="85"/>
        <v>#N/A</v>
      </c>
      <c r="D1952" s="526" t="e">
        <v>#N/A</v>
      </c>
      <c r="E1952" s="526" t="e">
        <v>#N/A</v>
      </c>
      <c r="F1952" s="526" t="e">
        <v>#N/A</v>
      </c>
      <c r="G1952" s="526" t="e">
        <v>#N/A</v>
      </c>
      <c r="H1952" s="412" t="e">
        <v>#N/A</v>
      </c>
      <c r="I1952" s="411" t="e">
        <v>#N/A</v>
      </c>
      <c r="J1952" s="411" t="e">
        <v>#N/A</v>
      </c>
      <c r="K1952" s="411" t="e">
        <v>#N/A</v>
      </c>
      <c r="L1952" s="526" t="e">
        <v>#N/A</v>
      </c>
    </row>
    <row r="1953" spans="1:12" ht="15" x14ac:dyDescent="0.25">
      <c r="A1953">
        <v>412039</v>
      </c>
      <c r="B1953" t="e">
        <f t="shared" si="84"/>
        <v>#N/A</v>
      </c>
      <c r="C1953" s="198" t="e">
        <f t="shared" si="85"/>
        <v>#N/A</v>
      </c>
      <c r="D1953" s="526" t="e">
        <v>#N/A</v>
      </c>
      <c r="E1953" s="526" t="e">
        <v>#N/A</v>
      </c>
      <c r="F1953" s="526" t="e">
        <v>#N/A</v>
      </c>
      <c r="G1953" s="526" t="e">
        <v>#N/A</v>
      </c>
      <c r="H1953" s="412" t="e">
        <v>#N/A</v>
      </c>
      <c r="I1953" s="411" t="e">
        <v>#N/A</v>
      </c>
      <c r="J1953" s="411" t="e">
        <v>#N/A</v>
      </c>
      <c r="K1953" s="411" t="e">
        <v>#N/A</v>
      </c>
      <c r="L1953" s="526" t="e">
        <v>#N/A</v>
      </c>
    </row>
    <row r="1954" spans="1:12" ht="15" x14ac:dyDescent="0.25">
      <c r="A1954">
        <v>412123</v>
      </c>
      <c r="B1954" t="e">
        <f t="shared" si="84"/>
        <v>#N/A</v>
      </c>
      <c r="C1954" s="198" t="e">
        <f t="shared" si="85"/>
        <v>#N/A</v>
      </c>
      <c r="D1954" s="526" t="e">
        <v>#N/A</v>
      </c>
      <c r="E1954" s="526" t="e">
        <v>#N/A</v>
      </c>
      <c r="F1954" s="526" t="e">
        <v>#N/A</v>
      </c>
      <c r="G1954" s="526" t="e">
        <v>#N/A</v>
      </c>
      <c r="H1954" s="412" t="e">
        <v>#N/A</v>
      </c>
      <c r="I1954" s="411" t="e">
        <v>#N/A</v>
      </c>
      <c r="J1954" s="411" t="e">
        <v>#N/A</v>
      </c>
      <c r="K1954" s="411" t="e">
        <v>#N/A</v>
      </c>
      <c r="L1954" s="526" t="e">
        <v>#N/A</v>
      </c>
    </row>
    <row r="1955" spans="1:12" ht="15" x14ac:dyDescent="0.25">
      <c r="A1955">
        <v>412125</v>
      </c>
      <c r="B1955" t="e">
        <f t="shared" si="84"/>
        <v>#N/A</v>
      </c>
      <c r="C1955" s="198" t="e">
        <f t="shared" si="85"/>
        <v>#N/A</v>
      </c>
      <c r="D1955" s="526" t="e">
        <v>#N/A</v>
      </c>
      <c r="E1955" s="526" t="e">
        <v>#N/A</v>
      </c>
      <c r="F1955" s="526" t="e">
        <v>#N/A</v>
      </c>
      <c r="G1955" s="526" t="e">
        <v>#N/A</v>
      </c>
      <c r="H1955" s="412" t="e">
        <v>#N/A</v>
      </c>
      <c r="I1955" s="411" t="e">
        <v>#N/A</v>
      </c>
      <c r="J1955" s="411" t="e">
        <v>#N/A</v>
      </c>
      <c r="K1955" s="411" t="e">
        <v>#N/A</v>
      </c>
      <c r="L1955" s="526" t="e">
        <v>#N/A</v>
      </c>
    </row>
    <row r="1956" spans="1:12" ht="15" x14ac:dyDescent="0.25">
      <c r="A1956">
        <v>412126</v>
      </c>
      <c r="B1956" t="e">
        <f t="shared" si="84"/>
        <v>#N/A</v>
      </c>
      <c r="C1956" s="198" t="e">
        <f t="shared" si="85"/>
        <v>#N/A</v>
      </c>
      <c r="D1956" s="526" t="e">
        <v>#N/A</v>
      </c>
      <c r="E1956" s="526" t="e">
        <v>#N/A</v>
      </c>
      <c r="F1956" s="526" t="e">
        <v>#N/A</v>
      </c>
      <c r="G1956" s="526" t="e">
        <v>#N/A</v>
      </c>
      <c r="H1956" s="412" t="e">
        <v>#N/A</v>
      </c>
      <c r="I1956" s="411" t="e">
        <v>#N/A</v>
      </c>
      <c r="J1956" s="411" t="e">
        <v>#N/A</v>
      </c>
      <c r="K1956" s="411" t="e">
        <v>#N/A</v>
      </c>
      <c r="L1956" s="526" t="e">
        <v>#N/A</v>
      </c>
    </row>
    <row r="1957" spans="1:12" ht="15" x14ac:dyDescent="0.25">
      <c r="A1957">
        <v>412127</v>
      </c>
      <c r="B1957" t="e">
        <f t="shared" si="84"/>
        <v>#N/A</v>
      </c>
      <c r="C1957" s="198" t="e">
        <f t="shared" si="85"/>
        <v>#N/A</v>
      </c>
      <c r="D1957" s="526" t="e">
        <v>#N/A</v>
      </c>
      <c r="E1957" s="526" t="e">
        <v>#N/A</v>
      </c>
      <c r="F1957" s="526" t="e">
        <v>#N/A</v>
      </c>
      <c r="G1957" s="526" t="e">
        <v>#N/A</v>
      </c>
      <c r="H1957" s="412" t="e">
        <v>#N/A</v>
      </c>
      <c r="I1957" s="411" t="e">
        <v>#N/A</v>
      </c>
      <c r="J1957" s="411" t="e">
        <v>#N/A</v>
      </c>
      <c r="K1957" s="411" t="e">
        <v>#N/A</v>
      </c>
      <c r="L1957" s="526" t="e">
        <v>#N/A</v>
      </c>
    </row>
    <row r="1958" spans="1:12" ht="15" x14ac:dyDescent="0.25">
      <c r="A1958">
        <v>412128</v>
      </c>
      <c r="B1958" t="e">
        <f t="shared" si="84"/>
        <v>#N/A</v>
      </c>
      <c r="C1958" s="198" t="e">
        <f t="shared" si="85"/>
        <v>#N/A</v>
      </c>
      <c r="D1958" s="526" t="e">
        <v>#N/A</v>
      </c>
      <c r="E1958" s="526" t="e">
        <v>#N/A</v>
      </c>
      <c r="F1958" s="526" t="e">
        <v>#N/A</v>
      </c>
      <c r="G1958" s="526" t="e">
        <v>#N/A</v>
      </c>
      <c r="H1958" s="412" t="e">
        <v>#N/A</v>
      </c>
      <c r="I1958" s="411" t="e">
        <v>#N/A</v>
      </c>
      <c r="J1958" s="411" t="e">
        <v>#N/A</v>
      </c>
      <c r="K1958" s="411" t="e">
        <v>#N/A</v>
      </c>
      <c r="L1958" s="526" t="e">
        <v>#N/A</v>
      </c>
    </row>
    <row r="1959" spans="1:12" ht="15" x14ac:dyDescent="0.25">
      <c r="A1959">
        <v>412226</v>
      </c>
      <c r="B1959" t="str">
        <f t="shared" si="84"/>
        <v>SEVROLL 05298 uholník Mini 17x11mm 3m čierna mat</v>
      </c>
      <c r="C1959" s="198">
        <f t="shared" si="85"/>
        <v>5.5734500000000002</v>
      </c>
      <c r="D1959" s="526" t="s">
        <v>6075</v>
      </c>
      <c r="E1959" s="526" t="s">
        <v>6076</v>
      </c>
      <c r="F1959" s="526" t="s">
        <v>6077</v>
      </c>
      <c r="G1959" s="526" t="s">
        <v>6078</v>
      </c>
      <c r="H1959" s="412">
        <v>154.32336000000001</v>
      </c>
      <c r="I1959" s="411">
        <v>5.5734500000000002</v>
      </c>
      <c r="J1959" s="411">
        <v>21.583200000000001</v>
      </c>
      <c r="K1959" s="411">
        <v>2121.6687099999999</v>
      </c>
      <c r="L1959" s="526" t="s">
        <v>553</v>
      </c>
    </row>
    <row r="1960" spans="1:12" ht="15" x14ac:dyDescent="0.25">
      <c r="A1960">
        <v>412229</v>
      </c>
      <c r="B1960" t="str">
        <f t="shared" si="84"/>
        <v>SEVROLL 05315 Gemini horné vedenie 3m čierna mat</v>
      </c>
      <c r="C1960" s="198">
        <f t="shared" si="85"/>
        <v>32.20214</v>
      </c>
      <c r="D1960" s="526" t="s">
        <v>1566</v>
      </c>
      <c r="E1960" s="526" t="s">
        <v>1994</v>
      </c>
      <c r="F1960" s="526" t="s">
        <v>6079</v>
      </c>
      <c r="G1960" s="526" t="s">
        <v>6080</v>
      </c>
      <c r="H1960" s="412">
        <v>891.64607999999998</v>
      </c>
      <c r="I1960" s="411">
        <v>32.20214</v>
      </c>
      <c r="J1960" s="411">
        <v>131.79419999999999</v>
      </c>
      <c r="K1960" s="411">
        <v>12258.529769999999</v>
      </c>
      <c r="L1960" s="526" t="s">
        <v>553</v>
      </c>
    </row>
    <row r="1961" spans="1:12" ht="15" x14ac:dyDescent="0.25">
      <c r="A1961">
        <v>412231</v>
      </c>
      <c r="B1961" t="str">
        <f t="shared" si="84"/>
        <v>SEVROLL 05310 Elegant II spodné vedenie 3m čierna mat</v>
      </c>
      <c r="C1961" s="198">
        <f t="shared" si="85"/>
        <v>18.777889999999999</v>
      </c>
      <c r="D1961" s="526" t="s">
        <v>1567</v>
      </c>
      <c r="E1961" s="526" t="s">
        <v>1995</v>
      </c>
      <c r="F1961" s="526" t="s">
        <v>6081</v>
      </c>
      <c r="G1961" s="526" t="s">
        <v>6082</v>
      </c>
      <c r="H1961" s="412">
        <v>520.12688000000003</v>
      </c>
      <c r="I1961" s="411">
        <v>18.777889999999999</v>
      </c>
      <c r="J1961" s="411">
        <v>71.808000000000007</v>
      </c>
      <c r="K1961" s="411">
        <v>7148.2553099999996</v>
      </c>
      <c r="L1961" s="526" t="s">
        <v>553</v>
      </c>
    </row>
    <row r="1962" spans="1:12" ht="15" x14ac:dyDescent="0.25">
      <c r="A1962">
        <v>412605</v>
      </c>
      <c r="B1962" t="e">
        <f t="shared" si="84"/>
        <v>#N/A</v>
      </c>
      <c r="C1962" s="198" t="e">
        <f t="shared" si="85"/>
        <v>#N/A</v>
      </c>
      <c r="D1962" s="526" t="e">
        <v>#N/A</v>
      </c>
      <c r="E1962" s="526" t="e">
        <v>#N/A</v>
      </c>
      <c r="F1962" s="526" t="e">
        <v>#N/A</v>
      </c>
      <c r="G1962" s="526" t="e">
        <v>#N/A</v>
      </c>
      <c r="H1962" s="412" t="e">
        <v>#N/A</v>
      </c>
      <c r="I1962" s="411" t="e">
        <v>#N/A</v>
      </c>
      <c r="J1962" s="411" t="e">
        <v>#N/A</v>
      </c>
      <c r="K1962" s="411" t="e">
        <v>#N/A</v>
      </c>
      <c r="L1962" s="526" t="e">
        <v>#N/A</v>
      </c>
    </row>
    <row r="1963" spans="1:12" ht="15" x14ac:dyDescent="0.25">
      <c r="A1963">
        <v>412841</v>
      </c>
      <c r="B1963" t="e">
        <f t="shared" si="84"/>
        <v>#N/A</v>
      </c>
      <c r="C1963" s="198" t="e">
        <f t="shared" si="85"/>
        <v>#N/A</v>
      </c>
      <c r="D1963" s="526" t="e">
        <v>#N/A</v>
      </c>
      <c r="E1963" s="526" t="e">
        <v>#N/A</v>
      </c>
      <c r="F1963" s="526" t="e">
        <v>#N/A</v>
      </c>
      <c r="G1963" s="526" t="e">
        <v>#N/A</v>
      </c>
      <c r="H1963" s="412" t="e">
        <v>#N/A</v>
      </c>
      <c r="I1963" s="411" t="e">
        <v>#N/A</v>
      </c>
      <c r="J1963" s="411" t="e">
        <v>#N/A</v>
      </c>
      <c r="K1963" s="411" t="e">
        <v>#N/A</v>
      </c>
      <c r="L1963" s="526" t="e">
        <v>#N/A</v>
      </c>
    </row>
    <row r="1964" spans="1:12" ht="15" x14ac:dyDescent="0.25">
      <c r="A1964">
        <v>412844</v>
      </c>
      <c r="B1964" t="e">
        <f t="shared" si="84"/>
        <v>#N/A</v>
      </c>
      <c r="C1964" s="198" t="e">
        <f t="shared" si="85"/>
        <v>#N/A</v>
      </c>
      <c r="D1964" s="526" t="e">
        <v>#N/A</v>
      </c>
      <c r="E1964" s="526" t="e">
        <v>#N/A</v>
      </c>
      <c r="F1964" s="526" t="e">
        <v>#N/A</v>
      </c>
      <c r="G1964" s="526" t="e">
        <v>#N/A</v>
      </c>
      <c r="H1964" s="412" t="e">
        <v>#N/A</v>
      </c>
      <c r="I1964" s="411" t="e">
        <v>#N/A</v>
      </c>
      <c r="J1964" s="411" t="e">
        <v>#N/A</v>
      </c>
      <c r="K1964" s="411" t="e">
        <v>#N/A</v>
      </c>
      <c r="L1964" s="526" t="e">
        <v>#N/A</v>
      </c>
    </row>
    <row r="1965" spans="1:12" ht="15" x14ac:dyDescent="0.25">
      <c r="A1965">
        <v>412845</v>
      </c>
      <c r="B1965" t="e">
        <f t="shared" si="84"/>
        <v>#N/A</v>
      </c>
      <c r="C1965" s="198" t="e">
        <f t="shared" si="85"/>
        <v>#N/A</v>
      </c>
      <c r="D1965" s="526" t="e">
        <v>#N/A</v>
      </c>
      <c r="E1965" s="526" t="e">
        <v>#N/A</v>
      </c>
      <c r="F1965" s="526" t="e">
        <v>#N/A</v>
      </c>
      <c r="G1965" s="526" t="e">
        <v>#N/A</v>
      </c>
      <c r="H1965" s="412" t="e">
        <v>#N/A</v>
      </c>
      <c r="I1965" s="411" t="e">
        <v>#N/A</v>
      </c>
      <c r="J1965" s="411" t="e">
        <v>#N/A</v>
      </c>
      <c r="K1965" s="411" t="e">
        <v>#N/A</v>
      </c>
      <c r="L1965" s="526" t="e">
        <v>#N/A</v>
      </c>
    </row>
    <row r="1966" spans="1:12" ht="15" x14ac:dyDescent="0.25">
      <c r="A1966">
        <v>412846</v>
      </c>
      <c r="B1966" t="e">
        <f t="shared" si="84"/>
        <v>#N/A</v>
      </c>
      <c r="C1966" s="198" t="e">
        <f t="shared" si="85"/>
        <v>#N/A</v>
      </c>
      <c r="D1966" s="526" t="e">
        <v>#N/A</v>
      </c>
      <c r="E1966" s="526" t="e">
        <v>#N/A</v>
      </c>
      <c r="F1966" s="526" t="e">
        <v>#N/A</v>
      </c>
      <c r="G1966" s="526" t="e">
        <v>#N/A</v>
      </c>
      <c r="H1966" s="412" t="e">
        <v>#N/A</v>
      </c>
      <c r="I1966" s="411" t="e">
        <v>#N/A</v>
      </c>
      <c r="J1966" s="411" t="e">
        <v>#N/A</v>
      </c>
      <c r="K1966" s="411" t="e">
        <v>#N/A</v>
      </c>
      <c r="L1966" s="526" t="e">
        <v>#N/A</v>
      </c>
    </row>
    <row r="1967" spans="1:12" ht="15" x14ac:dyDescent="0.25">
      <c r="A1967">
        <v>412909</v>
      </c>
      <c r="B1967" t="e">
        <f t="shared" si="84"/>
        <v>#N/A</v>
      </c>
      <c r="C1967" s="198" t="e">
        <f t="shared" si="85"/>
        <v>#N/A</v>
      </c>
      <c r="D1967" s="526" t="e">
        <v>#N/A</v>
      </c>
      <c r="E1967" s="526" t="e">
        <v>#N/A</v>
      </c>
      <c r="F1967" s="526" t="e">
        <v>#N/A</v>
      </c>
      <c r="G1967" s="526" t="e">
        <v>#N/A</v>
      </c>
      <c r="H1967" s="412" t="e">
        <v>#N/A</v>
      </c>
      <c r="I1967" s="411" t="e">
        <v>#N/A</v>
      </c>
      <c r="J1967" s="411" t="e">
        <v>#N/A</v>
      </c>
      <c r="K1967" s="411" t="e">
        <v>#N/A</v>
      </c>
      <c r="L1967" s="526" t="e">
        <v>#N/A</v>
      </c>
    </row>
    <row r="1968" spans="1:12" ht="15" x14ac:dyDescent="0.25">
      <c r="A1968">
        <v>288252</v>
      </c>
      <c r="B1968" t="str">
        <f t="shared" si="84"/>
        <v>SEVROLL 05305 Alfa II úchytová lišta 18mm 2,7m čierna mat</v>
      </c>
      <c r="C1968" s="198">
        <f t="shared" si="85"/>
        <v>16.302330000000001</v>
      </c>
      <c r="D1968" s="526" t="s">
        <v>1568</v>
      </c>
      <c r="E1968" s="526" t="s">
        <v>1996</v>
      </c>
      <c r="F1968" s="526" t="s">
        <v>6083</v>
      </c>
      <c r="G1968" s="526" t="s">
        <v>2505</v>
      </c>
      <c r="H1968" s="412">
        <v>451.39582999999999</v>
      </c>
      <c r="I1968" s="411">
        <v>16.302330000000001</v>
      </c>
      <c r="J1968" s="411">
        <v>66.463200000000001</v>
      </c>
      <c r="K1968" s="411">
        <v>6205.8809199999996</v>
      </c>
      <c r="L1968" s="526" t="s">
        <v>553</v>
      </c>
    </row>
    <row r="1969" spans="1:12" ht="15" x14ac:dyDescent="0.25">
      <c r="A1969">
        <v>288255</v>
      </c>
      <c r="B1969" t="e">
        <f t="shared" si="84"/>
        <v>#N/A</v>
      </c>
      <c r="C1969" s="198" t="e">
        <f t="shared" si="85"/>
        <v>#N/A</v>
      </c>
      <c r="D1969" s="526" t="e">
        <v>#N/A</v>
      </c>
      <c r="E1969" s="526" t="e">
        <v>#N/A</v>
      </c>
      <c r="F1969" s="526" t="e">
        <v>#N/A</v>
      </c>
      <c r="G1969" s="526" t="e">
        <v>#N/A</v>
      </c>
      <c r="H1969" s="412" t="e">
        <v>#N/A</v>
      </c>
      <c r="I1969" s="411" t="e">
        <v>#N/A</v>
      </c>
      <c r="J1969" s="411" t="e">
        <v>#N/A</v>
      </c>
      <c r="K1969" s="411" t="e">
        <v>#N/A</v>
      </c>
      <c r="L1969" s="526" t="e">
        <v>#N/A</v>
      </c>
    </row>
    <row r="1970" spans="1:12" ht="15" x14ac:dyDescent="0.25">
      <c r="A1970">
        <v>288256</v>
      </c>
      <c r="B1970" t="e">
        <f t="shared" si="84"/>
        <v>#N/A</v>
      </c>
      <c r="C1970" s="198" t="e">
        <f t="shared" si="85"/>
        <v>#N/A</v>
      </c>
      <c r="D1970" s="526" t="e">
        <v>#N/A</v>
      </c>
      <c r="E1970" s="526" t="e">
        <v>#N/A</v>
      </c>
      <c r="F1970" s="526" t="e">
        <v>#N/A</v>
      </c>
      <c r="G1970" s="526" t="e">
        <v>#N/A</v>
      </c>
      <c r="H1970" s="412" t="e">
        <v>#N/A</v>
      </c>
      <c r="I1970" s="411" t="e">
        <v>#N/A</v>
      </c>
      <c r="J1970" s="411" t="e">
        <v>#N/A</v>
      </c>
      <c r="K1970" s="411" t="e">
        <v>#N/A</v>
      </c>
      <c r="L1970" s="526" t="e">
        <v>#N/A</v>
      </c>
    </row>
    <row r="1971" spans="1:12" ht="15" x14ac:dyDescent="0.25">
      <c r="A1971">
        <v>288566</v>
      </c>
      <c r="B1971" t="e">
        <f t="shared" si="84"/>
        <v>#N/A</v>
      </c>
      <c r="C1971" s="198" t="e">
        <f t="shared" si="85"/>
        <v>#N/A</v>
      </c>
      <c r="D1971" s="526" t="e">
        <v>#N/A</v>
      </c>
      <c r="E1971" s="526" t="e">
        <v>#N/A</v>
      </c>
      <c r="F1971" s="526" t="e">
        <v>#N/A</v>
      </c>
      <c r="G1971" s="526" t="e">
        <v>#N/A</v>
      </c>
      <c r="H1971" s="412" t="e">
        <v>#N/A</v>
      </c>
      <c r="I1971" s="411" t="e">
        <v>#N/A</v>
      </c>
      <c r="J1971" s="411" t="e">
        <v>#N/A</v>
      </c>
      <c r="K1971" s="411" t="e">
        <v>#N/A</v>
      </c>
      <c r="L1971" s="526" t="e">
        <v>#N/A</v>
      </c>
    </row>
    <row r="1972" spans="1:12" ht="15" x14ac:dyDescent="0.25">
      <c r="A1972">
        <v>288579</v>
      </c>
      <c r="B1972" t="e">
        <f t="shared" si="84"/>
        <v>#N/A</v>
      </c>
      <c r="C1972" s="198" t="e">
        <f t="shared" si="85"/>
        <v>#N/A</v>
      </c>
      <c r="D1972" s="526" t="e">
        <v>#N/A</v>
      </c>
      <c r="E1972" s="526" t="e">
        <v>#N/A</v>
      </c>
      <c r="F1972" s="526" t="e">
        <v>#N/A</v>
      </c>
      <c r="G1972" s="526" t="e">
        <v>#N/A</v>
      </c>
      <c r="H1972" s="412" t="e">
        <v>#N/A</v>
      </c>
      <c r="I1972" s="411" t="e">
        <v>#N/A</v>
      </c>
      <c r="J1972" s="411" t="e">
        <v>#N/A</v>
      </c>
      <c r="K1972" s="411" t="e">
        <v>#N/A</v>
      </c>
      <c r="L1972" s="526" t="e">
        <v>#N/A</v>
      </c>
    </row>
    <row r="1973" spans="1:12" ht="15" x14ac:dyDescent="0.25">
      <c r="A1973">
        <v>288675</v>
      </c>
      <c r="B1973" t="str">
        <f t="shared" si="84"/>
        <v>SEVROLL Linea šatná tyč oválná 3m strieborná</v>
      </c>
      <c r="C1973" s="198">
        <f t="shared" si="85"/>
        <v>14.475479999999999</v>
      </c>
      <c r="D1973" s="526" t="s">
        <v>1569</v>
      </c>
      <c r="E1973" s="526" t="s">
        <v>1997</v>
      </c>
      <c r="F1973" s="526" t="s">
        <v>2208</v>
      </c>
      <c r="G1973" s="526" t="s">
        <v>2506</v>
      </c>
      <c r="H1973" s="412">
        <v>400.81205999999997</v>
      </c>
      <c r="I1973" s="411">
        <v>14.475479999999999</v>
      </c>
      <c r="J1973" s="411">
        <v>50.887799999999999</v>
      </c>
      <c r="K1973" s="411">
        <v>5510.4450100000004</v>
      </c>
      <c r="L1973" s="526" t="s">
        <v>554</v>
      </c>
    </row>
    <row r="1974" spans="1:12" ht="15" x14ac:dyDescent="0.25">
      <c r="A1974">
        <v>288676</v>
      </c>
      <c r="B1974" t="str">
        <f t="shared" si="84"/>
        <v>SEVROLL Linea spojovací element rohový</v>
      </c>
      <c r="C1974" s="198">
        <f t="shared" si="85"/>
        <v>1.2901499999999999</v>
      </c>
      <c r="D1974" s="526" t="s">
        <v>3299</v>
      </c>
      <c r="E1974" s="526" t="s">
        <v>1998</v>
      </c>
      <c r="F1974" s="526" t="s">
        <v>1570</v>
      </c>
      <c r="G1974" s="526" t="s">
        <v>2507</v>
      </c>
      <c r="H1974" s="412">
        <v>35.722999999999999</v>
      </c>
      <c r="I1974" s="411">
        <v>1.2901499999999999</v>
      </c>
      <c r="J1974" s="411">
        <v>4.5084</v>
      </c>
      <c r="K1974" s="411">
        <v>491.12700000000001</v>
      </c>
      <c r="L1974" s="526" t="s">
        <v>554</v>
      </c>
    </row>
    <row r="1975" spans="1:12" ht="15" x14ac:dyDescent="0.25">
      <c r="A1975">
        <v>288677</v>
      </c>
      <c r="B1975" t="str">
        <f t="shared" si="84"/>
        <v>SEVROLL Linea upevňovací element stenový</v>
      </c>
      <c r="C1975" s="198">
        <f t="shared" si="85"/>
        <v>1.1095299999999999</v>
      </c>
      <c r="D1975" s="526" t="s">
        <v>1571</v>
      </c>
      <c r="E1975" s="526" t="s">
        <v>1999</v>
      </c>
      <c r="F1975" s="526" t="s">
        <v>2209</v>
      </c>
      <c r="G1975" s="526" t="s">
        <v>2508</v>
      </c>
      <c r="H1975" s="412">
        <v>30.721779999999999</v>
      </c>
      <c r="I1975" s="411">
        <v>1.1095299999999999</v>
      </c>
      <c r="J1975" s="411">
        <v>3.9066000000000001</v>
      </c>
      <c r="K1975" s="411">
        <v>422.36907000000002</v>
      </c>
      <c r="L1975" s="526" t="s">
        <v>554</v>
      </c>
    </row>
    <row r="1976" spans="1:12" ht="15" x14ac:dyDescent="0.25">
      <c r="A1976">
        <v>288678</v>
      </c>
      <c r="B1976" t="str">
        <f t="shared" si="84"/>
        <v>SEVROLL Linea nožka s regulaciou</v>
      </c>
      <c r="C1976" s="198">
        <f t="shared" si="85"/>
        <v>2.83833</v>
      </c>
      <c r="D1976" s="526" t="s">
        <v>1572</v>
      </c>
      <c r="E1976" s="526" t="s">
        <v>2000</v>
      </c>
      <c r="F1976" s="526" t="s">
        <v>2210</v>
      </c>
      <c r="G1976" s="526" t="s">
        <v>2509</v>
      </c>
      <c r="H1976" s="412">
        <v>78.590599999999995</v>
      </c>
      <c r="I1976" s="411">
        <v>2.83833</v>
      </c>
      <c r="J1976" s="411">
        <v>9.9857999999999993</v>
      </c>
      <c r="K1976" s="411">
        <v>1080.4793999999999</v>
      </c>
      <c r="L1976" s="526" t="s">
        <v>554</v>
      </c>
    </row>
    <row r="1977" spans="1:12" ht="15" x14ac:dyDescent="0.25">
      <c r="A1977">
        <v>288679</v>
      </c>
      <c r="B1977" t="str">
        <f t="shared" si="84"/>
        <v>SEVROLL Linea šatná tyč guľatá 3m strieborná</v>
      </c>
      <c r="C1977" s="198">
        <f t="shared" si="85"/>
        <v>9.3664900000000006</v>
      </c>
      <c r="D1977" s="526" t="s">
        <v>1573</v>
      </c>
      <c r="E1977" s="526" t="s">
        <v>2001</v>
      </c>
      <c r="F1977" s="526" t="s">
        <v>2211</v>
      </c>
      <c r="G1977" s="526" t="s">
        <v>2510</v>
      </c>
      <c r="H1977" s="412">
        <v>259.34897999999998</v>
      </c>
      <c r="I1977" s="411">
        <v>9.3664900000000006</v>
      </c>
      <c r="J1977" s="411">
        <v>31.6313</v>
      </c>
      <c r="K1977" s="411">
        <v>3565.58187</v>
      </c>
      <c r="L1977" s="526" t="s">
        <v>554</v>
      </c>
    </row>
    <row r="1978" spans="1:12" ht="15" x14ac:dyDescent="0.25">
      <c r="A1978">
        <v>288680</v>
      </c>
      <c r="B1978" t="str">
        <f t="shared" si="84"/>
        <v>SEVROLL Linea šatná tyč guľatá 4m strieborná</v>
      </c>
      <c r="C1978" s="198">
        <f t="shared" si="85"/>
        <v>0</v>
      </c>
      <c r="D1978" s="526" t="s">
        <v>1574</v>
      </c>
      <c r="E1978" s="526" t="s">
        <v>2002</v>
      </c>
      <c r="F1978" s="526" t="s">
        <v>2212</v>
      </c>
      <c r="G1978" s="526" t="s">
        <v>2511</v>
      </c>
      <c r="H1978" s="412">
        <v>0</v>
      </c>
      <c r="I1978" s="411">
        <v>0</v>
      </c>
      <c r="J1978" s="411">
        <v>0</v>
      </c>
      <c r="K1978" s="411">
        <v>0</v>
      </c>
      <c r="L1978" s="526" t="s">
        <v>555</v>
      </c>
    </row>
    <row r="1979" spans="1:12" ht="15" x14ac:dyDescent="0.25">
      <c r="A1979">
        <v>288681</v>
      </c>
      <c r="B1979" t="str">
        <f t="shared" si="84"/>
        <v>SEVROLL Linea základný nosník 3m strieborná</v>
      </c>
      <c r="C1979" s="198">
        <f t="shared" si="85"/>
        <v>33.853540000000002</v>
      </c>
      <c r="D1979" s="526" t="s">
        <v>1575</v>
      </c>
      <c r="E1979" s="526" t="s">
        <v>2003</v>
      </c>
      <c r="F1979" s="526" t="s">
        <v>2213</v>
      </c>
      <c r="G1979" s="526" t="s">
        <v>6084</v>
      </c>
      <c r="H1979" s="412">
        <v>937.37152000000003</v>
      </c>
      <c r="I1979" s="411">
        <v>33.853540000000002</v>
      </c>
      <c r="J1979" s="411">
        <v>114.28879999999999</v>
      </c>
      <c r="K1979" s="411">
        <v>12887.172629999999</v>
      </c>
      <c r="L1979" s="526" t="s">
        <v>554</v>
      </c>
    </row>
    <row r="1980" spans="1:12" ht="15" x14ac:dyDescent="0.25">
      <c r="A1980">
        <v>288682</v>
      </c>
      <c r="B1980" t="str">
        <f t="shared" si="84"/>
        <v>SEVROLL Linea držiak oválnej tyče do nosníku</v>
      </c>
      <c r="C1980" s="198">
        <f t="shared" si="85"/>
        <v>1.49657</v>
      </c>
      <c r="D1980" s="526" t="s">
        <v>1576</v>
      </c>
      <c r="E1980" s="526" t="s">
        <v>2004</v>
      </c>
      <c r="F1980" s="526" t="s">
        <v>2214</v>
      </c>
      <c r="G1980" s="526" t="s">
        <v>2512</v>
      </c>
      <c r="H1980" s="412">
        <v>41.438679999999998</v>
      </c>
      <c r="I1980" s="411">
        <v>1.49657</v>
      </c>
      <c r="J1980" s="411">
        <v>5.0881999999999996</v>
      </c>
      <c r="K1980" s="411">
        <v>569.70717000000002</v>
      </c>
      <c r="L1980" s="526" t="s">
        <v>554</v>
      </c>
    </row>
    <row r="1981" spans="1:12" ht="15" x14ac:dyDescent="0.25">
      <c r="A1981">
        <v>288683</v>
      </c>
      <c r="B1981" t="str">
        <f t="shared" si="84"/>
        <v>SEVROLL Linea držiak police</v>
      </c>
      <c r="C1981" s="198">
        <f t="shared" si="85"/>
        <v>2.76092</v>
      </c>
      <c r="D1981" s="526" t="s">
        <v>1577</v>
      </c>
      <c r="E1981" s="526" t="s">
        <v>2005</v>
      </c>
      <c r="F1981" s="526" t="s">
        <v>2215</v>
      </c>
      <c r="G1981" s="526" t="s">
        <v>2513</v>
      </c>
      <c r="H1981" s="412">
        <v>76.447220000000002</v>
      </c>
      <c r="I1981" s="411">
        <v>2.76092</v>
      </c>
      <c r="J1981" s="411">
        <v>9.3729999999999993</v>
      </c>
      <c r="K1981" s="411">
        <v>1051.0119299999999</v>
      </c>
      <c r="L1981" s="526" t="s">
        <v>554</v>
      </c>
    </row>
    <row r="1982" spans="1:12" ht="15" x14ac:dyDescent="0.25">
      <c r="A1982">
        <v>288684</v>
      </c>
      <c r="B1982" t="str">
        <f t="shared" si="84"/>
        <v>SEVROLL Linea držák police na boty</v>
      </c>
      <c r="C1982" s="198">
        <f t="shared" si="85"/>
        <v>3.4060000000000001</v>
      </c>
      <c r="D1982" s="526" t="s">
        <v>1578</v>
      </c>
      <c r="E1982" s="526" t="s">
        <v>2006</v>
      </c>
      <c r="F1982" s="526" t="s">
        <v>2216</v>
      </c>
      <c r="G1982" s="526" t="s">
        <v>2514</v>
      </c>
      <c r="H1982" s="412">
        <v>94.308719999999994</v>
      </c>
      <c r="I1982" s="411">
        <v>3.4060000000000001</v>
      </c>
      <c r="J1982" s="411">
        <v>11.536</v>
      </c>
      <c r="K1982" s="411">
        <v>1296.5754300000001</v>
      </c>
      <c r="L1982" s="526" t="s">
        <v>554</v>
      </c>
    </row>
    <row r="1983" spans="1:12" ht="15" x14ac:dyDescent="0.25">
      <c r="A1983">
        <v>288685</v>
      </c>
      <c r="B1983" t="str">
        <f t="shared" si="84"/>
        <v>SEVROLL Linea záslepka kulaté šatní tyče</v>
      </c>
      <c r="C1983" s="198">
        <f t="shared" si="85"/>
        <v>0.33544000000000002</v>
      </c>
      <c r="D1983" s="526" t="s">
        <v>1579</v>
      </c>
      <c r="E1983" s="526" t="s">
        <v>2007</v>
      </c>
      <c r="F1983" s="526" t="s">
        <v>2217</v>
      </c>
      <c r="G1983" s="526" t="s">
        <v>2515</v>
      </c>
      <c r="H1983" s="412">
        <v>9.85595</v>
      </c>
      <c r="I1983" s="411">
        <v>0.33544000000000002</v>
      </c>
      <c r="J1983" s="411">
        <v>1.1832</v>
      </c>
      <c r="K1983" s="411">
        <v>130.29884999999999</v>
      </c>
      <c r="L1983" s="526" t="s">
        <v>554</v>
      </c>
    </row>
    <row r="1984" spans="1:12" ht="15" x14ac:dyDescent="0.25">
      <c r="A1984">
        <v>288686</v>
      </c>
      <c r="B1984" t="str">
        <f t="shared" si="84"/>
        <v>SEVROLL Linea záslepka nosníku</v>
      </c>
      <c r="C1984" s="198">
        <f t="shared" si="85"/>
        <v>1.3417600000000001</v>
      </c>
      <c r="D1984" s="526" t="s">
        <v>1580</v>
      </c>
      <c r="E1984" s="526" t="s">
        <v>2008</v>
      </c>
      <c r="F1984" s="526" t="s">
        <v>2218</v>
      </c>
      <c r="G1984" s="526" t="s">
        <v>6085</v>
      </c>
      <c r="H1984" s="412">
        <v>39.4238</v>
      </c>
      <c r="I1984" s="411">
        <v>1.3417600000000001</v>
      </c>
      <c r="J1984" s="411">
        <v>4.6104000000000003</v>
      </c>
      <c r="K1984" s="411">
        <v>521.19614999999999</v>
      </c>
      <c r="L1984" s="526" t="s">
        <v>554</v>
      </c>
    </row>
    <row r="1985" spans="1:12" ht="15" x14ac:dyDescent="0.25">
      <c r="A1985">
        <v>288687</v>
      </c>
      <c r="B1985" t="str">
        <f t="shared" si="84"/>
        <v>SEVROLL Linea sada 8 ks upevňovacích uholníkov</v>
      </c>
      <c r="C1985" s="198">
        <f t="shared" si="85"/>
        <v>19.971520000000002</v>
      </c>
      <c r="D1985" s="526" t="s">
        <v>1581</v>
      </c>
      <c r="E1985" s="526" t="s">
        <v>2009</v>
      </c>
      <c r="F1985" s="526" t="s">
        <v>2219</v>
      </c>
      <c r="G1985" s="526" t="s">
        <v>6086</v>
      </c>
      <c r="H1985" s="412">
        <v>552.99203999999997</v>
      </c>
      <c r="I1985" s="411">
        <v>19.971520000000002</v>
      </c>
      <c r="J1985" s="411">
        <v>67.776200000000003</v>
      </c>
      <c r="K1985" s="411">
        <v>7602.6458899999998</v>
      </c>
      <c r="L1985" s="526" t="s">
        <v>554</v>
      </c>
    </row>
    <row r="1986" spans="1:12" ht="15" x14ac:dyDescent="0.25">
      <c r="A1986">
        <v>288725</v>
      </c>
      <c r="B1986" t="e">
        <f t="shared" si="84"/>
        <v>#N/A</v>
      </c>
      <c r="C1986" s="198" t="e">
        <f t="shared" si="85"/>
        <v>#N/A</v>
      </c>
      <c r="D1986" s="526" t="e">
        <v>#N/A</v>
      </c>
      <c r="E1986" s="526" t="e">
        <v>#N/A</v>
      </c>
      <c r="F1986" s="526" t="e">
        <v>#N/A</v>
      </c>
      <c r="G1986" s="526" t="e">
        <v>#N/A</v>
      </c>
      <c r="H1986" s="412" t="e">
        <v>#N/A</v>
      </c>
      <c r="I1986" s="411" t="e">
        <v>#N/A</v>
      </c>
      <c r="J1986" s="411" t="e">
        <v>#N/A</v>
      </c>
      <c r="K1986" s="411" t="e">
        <v>#N/A</v>
      </c>
      <c r="L1986" s="526" t="e">
        <v>#N/A</v>
      </c>
    </row>
    <row r="1987" spans="1:12" ht="15" x14ac:dyDescent="0.25">
      <c r="A1987">
        <v>288728</v>
      </c>
      <c r="B1987" t="e">
        <f t="shared" si="84"/>
        <v>#N/A</v>
      </c>
      <c r="C1987" s="198" t="e">
        <f t="shared" si="85"/>
        <v>#N/A</v>
      </c>
      <c r="D1987" s="526" t="e">
        <v>#N/A</v>
      </c>
      <c r="E1987" s="526" t="e">
        <v>#N/A</v>
      </c>
      <c r="F1987" s="526" t="e">
        <v>#N/A</v>
      </c>
      <c r="G1987" s="526" t="e">
        <v>#N/A</v>
      </c>
      <c r="H1987" s="412" t="e">
        <v>#N/A</v>
      </c>
      <c r="I1987" s="411" t="e">
        <v>#N/A</v>
      </c>
      <c r="J1987" s="411" t="e">
        <v>#N/A</v>
      </c>
      <c r="K1987" s="411" t="e">
        <v>#N/A</v>
      </c>
      <c r="L1987" s="526" t="e">
        <v>#N/A</v>
      </c>
    </row>
    <row r="1988" spans="1:12" ht="15" x14ac:dyDescent="0.25">
      <c r="A1988">
        <v>288729</v>
      </c>
      <c r="B1988" t="e">
        <f t="shared" si="84"/>
        <v>#N/A</v>
      </c>
      <c r="C1988" s="198" t="e">
        <f t="shared" si="85"/>
        <v>#N/A</v>
      </c>
      <c r="D1988" s="526" t="e">
        <v>#N/A</v>
      </c>
      <c r="E1988" s="526" t="e">
        <v>#N/A</v>
      </c>
      <c r="F1988" s="526" t="e">
        <v>#N/A</v>
      </c>
      <c r="G1988" s="526" t="e">
        <v>#N/A</v>
      </c>
      <c r="H1988" s="412" t="e">
        <v>#N/A</v>
      </c>
      <c r="I1988" s="411" t="e">
        <v>#N/A</v>
      </c>
      <c r="J1988" s="411" t="e">
        <v>#N/A</v>
      </c>
      <c r="K1988" s="411" t="e">
        <v>#N/A</v>
      </c>
      <c r="L1988" s="526" t="e">
        <v>#N/A</v>
      </c>
    </row>
    <row r="1989" spans="1:12" ht="15" x14ac:dyDescent="0.25">
      <c r="A1989">
        <v>389653</v>
      </c>
      <c r="B1989" t="e">
        <f t="shared" si="84"/>
        <v>#N/A</v>
      </c>
      <c r="C1989" s="198" t="e">
        <f t="shared" si="85"/>
        <v>#N/A</v>
      </c>
      <c r="D1989" s="526" t="e">
        <v>#N/A</v>
      </c>
      <c r="E1989" s="526" t="e">
        <v>#N/A</v>
      </c>
      <c r="F1989" s="526" t="e">
        <v>#N/A</v>
      </c>
      <c r="G1989" s="526" t="e">
        <v>#N/A</v>
      </c>
      <c r="H1989" s="412" t="e">
        <v>#N/A</v>
      </c>
      <c r="I1989" s="411" t="e">
        <v>#N/A</v>
      </c>
      <c r="J1989" s="411" t="e">
        <v>#N/A</v>
      </c>
      <c r="K1989" s="411" t="e">
        <v>#N/A</v>
      </c>
      <c r="L1989" s="526" t="e">
        <v>#N/A</v>
      </c>
    </row>
    <row r="1990" spans="1:12" ht="15" x14ac:dyDescent="0.25">
      <c r="A1990">
        <v>389654</v>
      </c>
      <c r="B1990" t="e">
        <f t="shared" ref="B1990:B2053" si="86">IF($A$2=1,D1990,IF($A$2=2,F1990,IF($A$2=3,G1990,IF($A$2=4,E1990,"zadat jazyk"))))</f>
        <v>#N/A</v>
      </c>
      <c r="C1990" s="198" t="e">
        <f t="shared" ref="C1990:C2053" si="87">IF($A$2=1,H1990,IF($A$2=2,I1990,IF($A$2=3,J1990,IF($A$2=4,K1990,"zadat jazyk"))))</f>
        <v>#N/A</v>
      </c>
      <c r="D1990" s="526" t="e">
        <v>#N/A</v>
      </c>
      <c r="E1990" s="526" t="e">
        <v>#N/A</v>
      </c>
      <c r="F1990" s="526" t="e">
        <v>#N/A</v>
      </c>
      <c r="G1990" s="526" t="e">
        <v>#N/A</v>
      </c>
      <c r="H1990" s="412" t="e">
        <v>#N/A</v>
      </c>
      <c r="I1990" s="411" t="e">
        <v>#N/A</v>
      </c>
      <c r="J1990" s="411" t="e">
        <v>#N/A</v>
      </c>
      <c r="K1990" s="411" t="e">
        <v>#N/A</v>
      </c>
      <c r="L1990" s="526" t="e">
        <v>#N/A</v>
      </c>
    </row>
    <row r="1991" spans="1:12" ht="15" x14ac:dyDescent="0.25">
      <c r="A1991">
        <v>389655</v>
      </c>
      <c r="B1991" t="e">
        <f t="shared" si="86"/>
        <v>#N/A</v>
      </c>
      <c r="C1991" s="198" t="e">
        <f t="shared" si="87"/>
        <v>#N/A</v>
      </c>
      <c r="D1991" s="526" t="e">
        <v>#N/A</v>
      </c>
      <c r="E1991" s="526" t="e">
        <v>#N/A</v>
      </c>
      <c r="F1991" s="526" t="e">
        <v>#N/A</v>
      </c>
      <c r="G1991" s="526" t="e">
        <v>#N/A</v>
      </c>
      <c r="H1991" s="412" t="e">
        <v>#N/A</v>
      </c>
      <c r="I1991" s="411" t="e">
        <v>#N/A</v>
      </c>
      <c r="J1991" s="411" t="e">
        <v>#N/A</v>
      </c>
      <c r="K1991" s="411" t="e">
        <v>#N/A</v>
      </c>
      <c r="L1991" s="526" t="e">
        <v>#N/A</v>
      </c>
    </row>
    <row r="1992" spans="1:12" ht="15" x14ac:dyDescent="0.25">
      <c r="A1992">
        <v>390262</v>
      </c>
      <c r="B1992" t="e">
        <f t="shared" si="86"/>
        <v>#N/A</v>
      </c>
      <c r="C1992" s="198" t="e">
        <f t="shared" si="87"/>
        <v>#N/A</v>
      </c>
      <c r="D1992" s="526" t="e">
        <v>#N/A</v>
      </c>
      <c r="E1992" s="526" t="e">
        <v>#N/A</v>
      </c>
      <c r="F1992" s="526" t="e">
        <v>#N/A</v>
      </c>
      <c r="G1992" s="526" t="e">
        <v>#N/A</v>
      </c>
      <c r="H1992" s="412" t="e">
        <v>#N/A</v>
      </c>
      <c r="I1992" s="411" t="e">
        <v>#N/A</v>
      </c>
      <c r="J1992" s="411" t="e">
        <v>#N/A</v>
      </c>
      <c r="K1992" s="411" t="e">
        <v>#N/A</v>
      </c>
      <c r="L1992" s="526" t="e">
        <v>#N/A</v>
      </c>
    </row>
    <row r="1993" spans="1:12" ht="15" x14ac:dyDescent="0.25">
      <c r="A1993">
        <v>390266</v>
      </c>
      <c r="B1993" t="e">
        <f t="shared" si="86"/>
        <v>#N/A</v>
      </c>
      <c r="C1993" s="198" t="e">
        <f t="shared" si="87"/>
        <v>#N/A</v>
      </c>
      <c r="D1993" s="526" t="e">
        <v>#N/A</v>
      </c>
      <c r="E1993" s="526" t="e">
        <v>#N/A</v>
      </c>
      <c r="F1993" s="526" t="e">
        <v>#N/A</v>
      </c>
      <c r="G1993" s="526" t="e">
        <v>#N/A</v>
      </c>
      <c r="H1993" s="412" t="e">
        <v>#N/A</v>
      </c>
      <c r="I1993" s="411" t="e">
        <v>#N/A</v>
      </c>
      <c r="J1993" s="411" t="e">
        <v>#N/A</v>
      </c>
      <c r="K1993" s="411" t="e">
        <v>#N/A</v>
      </c>
      <c r="L1993" s="526" t="e">
        <v>#N/A</v>
      </c>
    </row>
    <row r="1994" spans="1:12" ht="15" x14ac:dyDescent="0.25">
      <c r="A1994">
        <v>390442</v>
      </c>
      <c r="B1994" t="e">
        <f t="shared" si="86"/>
        <v>#N/A</v>
      </c>
      <c r="C1994" s="198" t="e">
        <f t="shared" si="87"/>
        <v>#N/A</v>
      </c>
      <c r="D1994" s="526" t="e">
        <v>#N/A</v>
      </c>
      <c r="E1994" s="526" t="e">
        <v>#N/A</v>
      </c>
      <c r="F1994" s="526" t="e">
        <v>#N/A</v>
      </c>
      <c r="G1994" s="526" t="e">
        <v>#N/A</v>
      </c>
      <c r="H1994" s="412" t="e">
        <v>#N/A</v>
      </c>
      <c r="I1994" s="411" t="e">
        <v>#N/A</v>
      </c>
      <c r="J1994" s="411" t="e">
        <v>#N/A</v>
      </c>
      <c r="K1994" s="411" t="e">
        <v>#N/A</v>
      </c>
      <c r="L1994" s="526" t="e">
        <v>#N/A</v>
      </c>
    </row>
    <row r="1995" spans="1:12" ht="15" x14ac:dyDescent="0.25">
      <c r="A1995">
        <v>461424</v>
      </c>
      <c r="B1995" t="e">
        <f t="shared" si="86"/>
        <v>#N/A</v>
      </c>
      <c r="C1995" s="198" t="e">
        <f t="shared" si="87"/>
        <v>#N/A</v>
      </c>
      <c r="D1995" s="526" t="e">
        <v>#N/A</v>
      </c>
      <c r="E1995" s="526" t="e">
        <v>#N/A</v>
      </c>
      <c r="F1995" s="526" t="e">
        <v>#N/A</v>
      </c>
      <c r="G1995" s="526" t="e">
        <v>#N/A</v>
      </c>
      <c r="H1995" s="412" t="e">
        <v>#N/A</v>
      </c>
      <c r="I1995" s="411" t="e">
        <v>#N/A</v>
      </c>
      <c r="J1995" s="411" t="e">
        <v>#N/A</v>
      </c>
      <c r="K1995" s="411" t="e">
        <v>#N/A</v>
      </c>
      <c r="L1995" s="526" t="e">
        <v>#N/A</v>
      </c>
    </row>
    <row r="1996" spans="1:12" ht="15" x14ac:dyDescent="0.25">
      <c r="A1996">
        <v>461425</v>
      </c>
      <c r="B1996" t="e">
        <f t="shared" si="86"/>
        <v>#N/A</v>
      </c>
      <c r="C1996" s="198" t="e">
        <f t="shared" si="87"/>
        <v>#N/A</v>
      </c>
      <c r="D1996" s="526" t="e">
        <v>#N/A</v>
      </c>
      <c r="E1996" s="526" t="e">
        <v>#N/A</v>
      </c>
      <c r="F1996" s="526" t="e">
        <v>#N/A</v>
      </c>
      <c r="G1996" s="526" t="e">
        <v>#N/A</v>
      </c>
      <c r="H1996" s="412" t="e">
        <v>#N/A</v>
      </c>
      <c r="I1996" s="411" t="e">
        <v>#N/A</v>
      </c>
      <c r="J1996" s="411" t="e">
        <v>#N/A</v>
      </c>
      <c r="K1996" s="411" t="e">
        <v>#N/A</v>
      </c>
      <c r="L1996" s="526" t="e">
        <v>#N/A</v>
      </c>
    </row>
    <row r="1997" spans="1:12" ht="15" x14ac:dyDescent="0.25">
      <c r="A1997">
        <v>461426</v>
      </c>
      <c r="B1997" t="e">
        <f t="shared" si="86"/>
        <v>#N/A</v>
      </c>
      <c r="C1997" s="198" t="e">
        <f t="shared" si="87"/>
        <v>#N/A</v>
      </c>
      <c r="D1997" s="526" t="e">
        <v>#N/A</v>
      </c>
      <c r="E1997" s="526" t="e">
        <v>#N/A</v>
      </c>
      <c r="F1997" s="526" t="e">
        <v>#N/A</v>
      </c>
      <c r="G1997" s="526" t="e">
        <v>#N/A</v>
      </c>
      <c r="H1997" s="412" t="e">
        <v>#N/A</v>
      </c>
      <c r="I1997" s="411" t="e">
        <v>#N/A</v>
      </c>
      <c r="J1997" s="411" t="e">
        <v>#N/A</v>
      </c>
      <c r="K1997" s="411" t="e">
        <v>#N/A</v>
      </c>
      <c r="L1997" s="526" t="e">
        <v>#N/A</v>
      </c>
    </row>
    <row r="1998" spans="1:12" ht="15" x14ac:dyDescent="0.25">
      <c r="A1998">
        <v>461427</v>
      </c>
      <c r="B1998" t="e">
        <f t="shared" si="86"/>
        <v>#N/A</v>
      </c>
      <c r="C1998" s="198" t="e">
        <f t="shared" si="87"/>
        <v>#N/A</v>
      </c>
      <c r="D1998" s="526" t="e">
        <v>#N/A</v>
      </c>
      <c r="E1998" s="526" t="e">
        <v>#N/A</v>
      </c>
      <c r="F1998" s="526" t="e">
        <v>#N/A</v>
      </c>
      <c r="G1998" s="526" t="e">
        <v>#N/A</v>
      </c>
      <c r="H1998" s="412" t="e">
        <v>#N/A</v>
      </c>
      <c r="I1998" s="411" t="e">
        <v>#N/A</v>
      </c>
      <c r="J1998" s="411" t="e">
        <v>#N/A</v>
      </c>
      <c r="K1998" s="411" t="e">
        <v>#N/A</v>
      </c>
      <c r="L1998" s="526" t="e">
        <v>#N/A</v>
      </c>
    </row>
    <row r="1999" spans="1:12" ht="15" x14ac:dyDescent="0.25">
      <c r="A1999">
        <v>461687</v>
      </c>
      <c r="B1999" t="str">
        <f t="shared" si="86"/>
        <v>SEVROLL Harmony sada kovania pre dvoje dvere</v>
      </c>
      <c r="C1999" s="198">
        <f t="shared" si="87"/>
        <v>1044.8150800000001</v>
      </c>
      <c r="D1999" s="526" t="s">
        <v>1582</v>
      </c>
      <c r="E1999" s="526" t="s">
        <v>1837</v>
      </c>
      <c r="F1999" s="526" t="s">
        <v>2185</v>
      </c>
      <c r="G1999" s="526" t="s">
        <v>2402</v>
      </c>
      <c r="H1999" s="412">
        <v>22894.176800000001</v>
      </c>
      <c r="I1999" s="411">
        <v>1044.8150800000001</v>
      </c>
      <c r="J1999" s="411">
        <v>3531.98792</v>
      </c>
      <c r="K1999" s="411">
        <v>389617.2635</v>
      </c>
      <c r="L1999" s="526" t="s">
        <v>554</v>
      </c>
    </row>
    <row r="2000" spans="1:12" ht="15" x14ac:dyDescent="0.25">
      <c r="A2000">
        <v>461712</v>
      </c>
      <c r="B2000" t="str">
        <f t="shared" si="86"/>
        <v>SEVROLL Hide N spodné vedenie 3m oliva new</v>
      </c>
      <c r="C2000" s="198" t="e">
        <f t="shared" si="87"/>
        <v>#N/A</v>
      </c>
      <c r="D2000" s="526" t="s">
        <v>1583</v>
      </c>
      <c r="E2000" s="526" t="s">
        <v>2010</v>
      </c>
      <c r="F2000" s="526" t="s">
        <v>2220</v>
      </c>
      <c r="G2000" s="526" t="s">
        <v>2516</v>
      </c>
      <c r="H2000" s="412" t="e">
        <v>#N/A</v>
      </c>
      <c r="I2000" s="411" t="e">
        <v>#N/A</v>
      </c>
      <c r="J2000" s="411" t="e">
        <v>#N/A</v>
      </c>
      <c r="K2000" s="411" t="e">
        <v>#N/A</v>
      </c>
      <c r="L2000" s="526" t="e">
        <v>#N/A</v>
      </c>
    </row>
    <row r="2001" spans="1:12" ht="15" x14ac:dyDescent="0.25">
      <c r="A2001">
        <v>461882</v>
      </c>
      <c r="B2001" t="str">
        <f t="shared" si="86"/>
        <v>SEVROLL Exclusive horné vedenie 1,2m oliva new</v>
      </c>
      <c r="C2001" s="198" t="e">
        <f t="shared" si="87"/>
        <v>#N/A</v>
      </c>
      <c r="D2001" s="526" t="s">
        <v>1584</v>
      </c>
      <c r="E2001" s="526" t="s">
        <v>2011</v>
      </c>
      <c r="F2001" s="526" t="s">
        <v>2221</v>
      </c>
      <c r="G2001" s="526" t="s">
        <v>2517</v>
      </c>
      <c r="H2001" s="412" t="e">
        <v>#N/A</v>
      </c>
      <c r="I2001" s="411" t="e">
        <v>#N/A</v>
      </c>
      <c r="J2001" s="411" t="e">
        <v>#N/A</v>
      </c>
      <c r="K2001" s="411" t="e">
        <v>#N/A</v>
      </c>
      <c r="L2001" s="526" t="e">
        <v>#N/A</v>
      </c>
    </row>
    <row r="2002" spans="1:12" ht="15" x14ac:dyDescent="0.25">
      <c r="A2002">
        <v>461890</v>
      </c>
      <c r="B2002" t="str">
        <f t="shared" si="86"/>
        <v>SEVROLL Hide M spodné vedenie 3m oliva new</v>
      </c>
      <c r="C2002" s="198" t="e">
        <f t="shared" si="87"/>
        <v>#N/A</v>
      </c>
      <c r="D2002" s="526" t="s">
        <v>1585</v>
      </c>
      <c r="E2002" s="526" t="s">
        <v>2012</v>
      </c>
      <c r="F2002" s="526" t="s">
        <v>2222</v>
      </c>
      <c r="G2002" s="526" t="s">
        <v>2518</v>
      </c>
      <c r="H2002" s="412" t="e">
        <v>#N/A</v>
      </c>
      <c r="I2002" s="411" t="e">
        <v>#N/A</v>
      </c>
      <c r="J2002" s="411" t="e">
        <v>#N/A</v>
      </c>
      <c r="K2002" s="411" t="e">
        <v>#N/A</v>
      </c>
      <c r="L2002" s="526" t="e">
        <v>#N/A</v>
      </c>
    </row>
    <row r="2003" spans="1:12" ht="15" x14ac:dyDescent="0.25">
      <c r="A2003">
        <v>461891</v>
      </c>
      <c r="B2003" t="str">
        <f t="shared" si="86"/>
        <v>SEVROLL Exclusive horné vedenie 1,8m oliva new</v>
      </c>
      <c r="C2003" s="198" t="e">
        <f t="shared" si="87"/>
        <v>#N/A</v>
      </c>
      <c r="D2003" s="526" t="s">
        <v>1586</v>
      </c>
      <c r="E2003" s="526" t="s">
        <v>2013</v>
      </c>
      <c r="F2003" s="526" t="s">
        <v>2223</v>
      </c>
      <c r="G2003" s="526" t="s">
        <v>2519</v>
      </c>
      <c r="H2003" s="412" t="e">
        <v>#N/A</v>
      </c>
      <c r="I2003" s="411" t="e">
        <v>#N/A</v>
      </c>
      <c r="J2003" s="411" t="e">
        <v>#N/A</v>
      </c>
      <c r="K2003" s="411" t="e">
        <v>#N/A</v>
      </c>
      <c r="L2003" s="526" t="e">
        <v>#N/A</v>
      </c>
    </row>
    <row r="2004" spans="1:12" ht="15" x14ac:dyDescent="0.25">
      <c r="A2004">
        <v>461892</v>
      </c>
      <c r="B2004" t="str">
        <f t="shared" si="86"/>
        <v>SEVROLL 04534-A Universal 18 úchytová lišta 2,7m oliva new</v>
      </c>
      <c r="C2004" s="198" t="e">
        <f t="shared" si="87"/>
        <v>#N/A</v>
      </c>
      <c r="D2004" s="526" t="s">
        <v>1587</v>
      </c>
      <c r="E2004" s="526" t="s">
        <v>2014</v>
      </c>
      <c r="F2004" s="526" t="s">
        <v>1587</v>
      </c>
      <c r="G2004" s="526" t="s">
        <v>6087</v>
      </c>
      <c r="H2004" s="412" t="e">
        <v>#N/A</v>
      </c>
      <c r="I2004" s="411" t="e">
        <v>#N/A</v>
      </c>
      <c r="J2004" s="411" t="e">
        <v>#N/A</v>
      </c>
      <c r="K2004" s="411" t="e">
        <v>#N/A</v>
      </c>
      <c r="L2004" s="526" t="e">
        <v>#N/A</v>
      </c>
    </row>
    <row r="2005" spans="1:12" ht="15" x14ac:dyDescent="0.25">
      <c r="A2005">
        <v>461893</v>
      </c>
      <c r="B2005" t="str">
        <f t="shared" si="86"/>
        <v>SEVROLL 00901-A First horné/spodné vedenie 1,2m oliva new</v>
      </c>
      <c r="C2005" s="198" t="e">
        <f t="shared" si="87"/>
        <v>#N/A</v>
      </c>
      <c r="D2005" s="526" t="s">
        <v>1588</v>
      </c>
      <c r="E2005" s="526" t="s">
        <v>2015</v>
      </c>
      <c r="F2005" s="526" t="s">
        <v>6088</v>
      </c>
      <c r="G2005" s="526" t="s">
        <v>2520</v>
      </c>
      <c r="H2005" s="412" t="e">
        <v>#N/A</v>
      </c>
      <c r="I2005" s="411" t="e">
        <v>#N/A</v>
      </c>
      <c r="J2005" s="411" t="e">
        <v>#N/A</v>
      </c>
      <c r="K2005" s="411" t="e">
        <v>#N/A</v>
      </c>
      <c r="L2005" s="526" t="e">
        <v>#N/A</v>
      </c>
    </row>
    <row r="2006" spans="1:12" ht="15" x14ac:dyDescent="0.25">
      <c r="A2006">
        <v>461894</v>
      </c>
      <c r="B2006" t="str">
        <f t="shared" si="86"/>
        <v>SEVROLL Gemini-2 úch.lišta 2,7m oliva new</v>
      </c>
      <c r="C2006" s="198" t="e">
        <f t="shared" si="87"/>
        <v>#N/A</v>
      </c>
      <c r="D2006" s="526" t="s">
        <v>1589</v>
      </c>
      <c r="E2006" s="526" t="s">
        <v>2016</v>
      </c>
      <c r="F2006" s="526" t="s">
        <v>2224</v>
      </c>
      <c r="G2006" s="526" t="s">
        <v>2521</v>
      </c>
      <c r="H2006" s="412" t="e">
        <v>#N/A</v>
      </c>
      <c r="I2006" s="411" t="e">
        <v>#N/A</v>
      </c>
      <c r="J2006" s="411" t="e">
        <v>#N/A</v>
      </c>
      <c r="K2006" s="411" t="e">
        <v>#N/A</v>
      </c>
      <c r="L2006" s="526" t="e">
        <v>#N/A</v>
      </c>
    </row>
    <row r="2007" spans="1:12" ht="15" x14ac:dyDescent="0.25">
      <c r="A2007">
        <v>461895</v>
      </c>
      <c r="B2007" t="str">
        <f t="shared" si="86"/>
        <v>SEVROLL System 10 II úch.lišta 2,7m oliva new</v>
      </c>
      <c r="C2007" s="198" t="e">
        <f t="shared" si="87"/>
        <v>#N/A</v>
      </c>
      <c r="D2007" s="526" t="s">
        <v>1590</v>
      </c>
      <c r="E2007" s="526" t="s">
        <v>2017</v>
      </c>
      <c r="F2007" s="526" t="s">
        <v>2225</v>
      </c>
      <c r="G2007" s="526" t="s">
        <v>2522</v>
      </c>
      <c r="H2007" s="412" t="e">
        <v>#N/A</v>
      </c>
      <c r="I2007" s="411" t="e">
        <v>#N/A</v>
      </c>
      <c r="J2007" s="411" t="e">
        <v>#N/A</v>
      </c>
      <c r="K2007" s="411" t="e">
        <v>#N/A</v>
      </c>
      <c r="L2007" s="526" t="e">
        <v>#N/A</v>
      </c>
    </row>
    <row r="2008" spans="1:12" ht="15" x14ac:dyDescent="0.25">
      <c r="A2008">
        <v>461896</v>
      </c>
      <c r="B2008" t="str">
        <f t="shared" si="86"/>
        <v>SEVROLL 04377-A Fox II úchytová lišta 2,7m oliva new</v>
      </c>
      <c r="C2008" s="198" t="e">
        <f t="shared" si="87"/>
        <v>#N/A</v>
      </c>
      <c r="D2008" s="526" t="s">
        <v>1591</v>
      </c>
      <c r="E2008" s="526" t="s">
        <v>2018</v>
      </c>
      <c r="F2008" s="526" t="s">
        <v>1591</v>
      </c>
      <c r="G2008" s="526" t="s">
        <v>2523</v>
      </c>
      <c r="H2008" s="412" t="e">
        <v>#N/A</v>
      </c>
      <c r="I2008" s="411" t="e">
        <v>#N/A</v>
      </c>
      <c r="J2008" s="411" t="e">
        <v>#N/A</v>
      </c>
      <c r="K2008" s="411" t="e">
        <v>#N/A</v>
      </c>
      <c r="L2008" s="526" t="e">
        <v>#N/A</v>
      </c>
    </row>
    <row r="2009" spans="1:12" ht="15" x14ac:dyDescent="0.25">
      <c r="A2009">
        <v>461897</v>
      </c>
      <c r="B2009" t="str">
        <f t="shared" si="86"/>
        <v>SEVROLL Hide N spodné vedenie 6m oliva new</v>
      </c>
      <c r="C2009" s="198" t="e">
        <f t="shared" si="87"/>
        <v>#N/A</v>
      </c>
      <c r="D2009" s="526" t="s">
        <v>1592</v>
      </c>
      <c r="E2009" s="526" t="s">
        <v>2019</v>
      </c>
      <c r="F2009" s="526" t="s">
        <v>2226</v>
      </c>
      <c r="G2009" s="526" t="s">
        <v>2524</v>
      </c>
      <c r="H2009" s="412" t="e">
        <v>#N/A</v>
      </c>
      <c r="I2009" s="411" t="e">
        <v>#N/A</v>
      </c>
      <c r="J2009" s="411" t="e">
        <v>#N/A</v>
      </c>
      <c r="K2009" s="411" t="e">
        <v>#N/A</v>
      </c>
      <c r="L2009" s="526" t="e">
        <v>#N/A</v>
      </c>
    </row>
    <row r="2010" spans="1:12" ht="15" x14ac:dyDescent="0.25">
      <c r="A2010">
        <v>461898</v>
      </c>
      <c r="B2010" t="str">
        <f t="shared" si="86"/>
        <v>SEVROLL 01008-A Gemini horné vedenie 1,7m oliva new</v>
      </c>
      <c r="C2010" s="198" t="e">
        <f t="shared" si="87"/>
        <v>#N/A</v>
      </c>
      <c r="D2010" s="526" t="s">
        <v>1593</v>
      </c>
      <c r="E2010" s="526" t="s">
        <v>2020</v>
      </c>
      <c r="F2010" s="526" t="s">
        <v>6089</v>
      </c>
      <c r="G2010" s="526" t="s">
        <v>2525</v>
      </c>
      <c r="H2010" s="412" t="e">
        <v>#N/A</v>
      </c>
      <c r="I2010" s="411" t="e">
        <v>#N/A</v>
      </c>
      <c r="J2010" s="411" t="e">
        <v>#N/A</v>
      </c>
      <c r="K2010" s="411" t="e">
        <v>#N/A</v>
      </c>
      <c r="L2010" s="526" t="e">
        <v>#N/A</v>
      </c>
    </row>
    <row r="2011" spans="1:12" ht="15" x14ac:dyDescent="0.25">
      <c r="A2011">
        <v>461899</v>
      </c>
      <c r="B2011" t="str">
        <f t="shared" si="86"/>
        <v>SEVROLL 01010-A Gemini horné vedenie 2,35m oliva new</v>
      </c>
      <c r="C2011" s="198" t="e">
        <f t="shared" si="87"/>
        <v>#N/A</v>
      </c>
      <c r="D2011" s="526" t="s">
        <v>1594</v>
      </c>
      <c r="E2011" s="526" t="s">
        <v>2021</v>
      </c>
      <c r="F2011" s="526" t="s">
        <v>6090</v>
      </c>
      <c r="G2011" s="526" t="s">
        <v>2526</v>
      </c>
      <c r="H2011" s="412" t="e">
        <v>#N/A</v>
      </c>
      <c r="I2011" s="411" t="e">
        <v>#N/A</v>
      </c>
      <c r="J2011" s="411" t="e">
        <v>#N/A</v>
      </c>
      <c r="K2011" s="411" t="e">
        <v>#N/A</v>
      </c>
      <c r="L2011" s="526" t="e">
        <v>#N/A</v>
      </c>
    </row>
    <row r="2012" spans="1:12" ht="15" x14ac:dyDescent="0.25">
      <c r="A2012">
        <v>461900</v>
      </c>
      <c r="B2012" t="str">
        <f t="shared" si="86"/>
        <v>SEVROLL 01011-A Gemini horné vedenie 3m oliva new</v>
      </c>
      <c r="C2012" s="198" t="e">
        <f t="shared" si="87"/>
        <v>#N/A</v>
      </c>
      <c r="D2012" s="526" t="s">
        <v>1595</v>
      </c>
      <c r="E2012" s="526" t="s">
        <v>2022</v>
      </c>
      <c r="F2012" s="526" t="s">
        <v>6091</v>
      </c>
      <c r="G2012" s="526" t="s">
        <v>2527</v>
      </c>
      <c r="H2012" s="412" t="e">
        <v>#N/A</v>
      </c>
      <c r="I2012" s="411" t="e">
        <v>#N/A</v>
      </c>
      <c r="J2012" s="411" t="e">
        <v>#N/A</v>
      </c>
      <c r="K2012" s="411" t="e">
        <v>#N/A</v>
      </c>
      <c r="L2012" s="526" t="e">
        <v>#N/A</v>
      </c>
    </row>
    <row r="2013" spans="1:12" ht="15" x14ac:dyDescent="0.25">
      <c r="A2013">
        <v>461901</v>
      </c>
      <c r="B2013" t="str">
        <f t="shared" si="86"/>
        <v>SEVROLL  01439-A Gemini horné vedenie 4,05m oliva new</v>
      </c>
      <c r="C2013" s="198" t="e">
        <f t="shared" si="87"/>
        <v>#N/A</v>
      </c>
      <c r="D2013" s="526" t="s">
        <v>1596</v>
      </c>
      <c r="E2013" s="526" t="s">
        <v>2023</v>
      </c>
      <c r="F2013" s="526" t="s">
        <v>6092</v>
      </c>
      <c r="G2013" s="526" t="s">
        <v>2528</v>
      </c>
      <c r="H2013" s="412" t="e">
        <v>#N/A</v>
      </c>
      <c r="I2013" s="411" t="e">
        <v>#N/A</v>
      </c>
      <c r="J2013" s="411" t="e">
        <v>#N/A</v>
      </c>
      <c r="K2013" s="411" t="e">
        <v>#N/A</v>
      </c>
      <c r="L2013" s="526" t="e">
        <v>#N/A</v>
      </c>
    </row>
    <row r="2014" spans="1:12" ht="15" x14ac:dyDescent="0.25">
      <c r="A2014">
        <v>461902</v>
      </c>
      <c r="B2014" t="str">
        <f t="shared" si="86"/>
        <v>SEVROLL 00093-A uholník Mini 17x11mm oliva new 1,7m</v>
      </c>
      <c r="C2014" s="198" t="e">
        <f t="shared" si="87"/>
        <v>#N/A</v>
      </c>
      <c r="D2014" s="526" t="s">
        <v>6093</v>
      </c>
      <c r="E2014" s="526" t="s">
        <v>6094</v>
      </c>
      <c r="F2014" s="526" t="s">
        <v>6095</v>
      </c>
      <c r="G2014" s="526" t="s">
        <v>6096</v>
      </c>
      <c r="H2014" s="412" t="e">
        <v>#N/A</v>
      </c>
      <c r="I2014" s="411" t="e">
        <v>#N/A</v>
      </c>
      <c r="J2014" s="411" t="e">
        <v>#N/A</v>
      </c>
      <c r="K2014" s="411" t="e">
        <v>#N/A</v>
      </c>
      <c r="L2014" s="526" t="e">
        <v>#N/A</v>
      </c>
    </row>
    <row r="2015" spans="1:12" ht="15" x14ac:dyDescent="0.25">
      <c r="A2015">
        <v>461903</v>
      </c>
      <c r="B2015" t="str">
        <f t="shared" si="86"/>
        <v>SEVROLL 00094-A uholník Mini 17x11mm 2,35m oliva new</v>
      </c>
      <c r="C2015" s="198" t="e">
        <f t="shared" si="87"/>
        <v>#N/A</v>
      </c>
      <c r="D2015" s="526" t="s">
        <v>6097</v>
      </c>
      <c r="E2015" s="526" t="s">
        <v>6098</v>
      </c>
      <c r="F2015" s="526" t="s">
        <v>6099</v>
      </c>
      <c r="G2015" s="526" t="s">
        <v>6100</v>
      </c>
      <c r="H2015" s="412" t="e">
        <v>#N/A</v>
      </c>
      <c r="I2015" s="411" t="e">
        <v>#N/A</v>
      </c>
      <c r="J2015" s="411" t="e">
        <v>#N/A</v>
      </c>
      <c r="K2015" s="411" t="e">
        <v>#N/A</v>
      </c>
      <c r="L2015" s="526" t="e">
        <v>#N/A</v>
      </c>
    </row>
    <row r="2016" spans="1:12" ht="15" x14ac:dyDescent="0.25">
      <c r="A2016">
        <v>461904</v>
      </c>
      <c r="B2016" t="str">
        <f t="shared" si="86"/>
        <v>SEVROLL spojovaciá lišta "T" 3m oliva new</v>
      </c>
      <c r="C2016" s="198" t="e">
        <f t="shared" si="87"/>
        <v>#N/A</v>
      </c>
      <c r="D2016" s="526" t="s">
        <v>1597</v>
      </c>
      <c r="E2016" s="526" t="s">
        <v>2024</v>
      </c>
      <c r="F2016" s="526" t="s">
        <v>2227</v>
      </c>
      <c r="G2016" s="526" t="s">
        <v>6101</v>
      </c>
      <c r="H2016" s="412" t="e">
        <v>#N/A</v>
      </c>
      <c r="I2016" s="411" t="e">
        <v>#N/A</v>
      </c>
      <c r="J2016" s="411" t="e">
        <v>#N/A</v>
      </c>
      <c r="K2016" s="411" t="e">
        <v>#N/A</v>
      </c>
      <c r="L2016" s="526" t="e">
        <v>#N/A</v>
      </c>
    </row>
    <row r="2017" spans="1:12" ht="15" x14ac:dyDescent="0.25">
      <c r="A2017">
        <v>461905</v>
      </c>
      <c r="B2017" t="str">
        <f t="shared" si="86"/>
        <v>SEVROLL spodná krycia lišta 3m 10mm oliva new</v>
      </c>
      <c r="C2017" s="198" t="e">
        <f t="shared" si="87"/>
        <v>#N/A</v>
      </c>
      <c r="D2017" s="526" t="s">
        <v>1598</v>
      </c>
      <c r="E2017" s="526" t="s">
        <v>2025</v>
      </c>
      <c r="F2017" s="526" t="s">
        <v>2228</v>
      </c>
      <c r="G2017" s="526" t="s">
        <v>6102</v>
      </c>
      <c r="H2017" s="412" t="e">
        <v>#N/A</v>
      </c>
      <c r="I2017" s="411" t="e">
        <v>#N/A</v>
      </c>
      <c r="J2017" s="411" t="e">
        <v>#N/A</v>
      </c>
      <c r="K2017" s="411" t="e">
        <v>#N/A</v>
      </c>
      <c r="L2017" s="526" t="e">
        <v>#N/A</v>
      </c>
    </row>
    <row r="2018" spans="1:12" ht="15" x14ac:dyDescent="0.25">
      <c r="A2018">
        <v>461906</v>
      </c>
      <c r="B2018" t="str">
        <f t="shared" si="86"/>
        <v>SEVROLL spodná krycia lišta 2,35m 10mm oliva new</v>
      </c>
      <c r="C2018" s="198" t="e">
        <f t="shared" si="87"/>
        <v>#N/A</v>
      </c>
      <c r="D2018" s="526" t="s">
        <v>1599</v>
      </c>
      <c r="E2018" s="526" t="s">
        <v>2026</v>
      </c>
      <c r="F2018" s="526" t="s">
        <v>2229</v>
      </c>
      <c r="G2018" s="526" t="s">
        <v>6103</v>
      </c>
      <c r="H2018" s="412" t="e">
        <v>#N/A</v>
      </c>
      <c r="I2018" s="411" t="e">
        <v>#N/A</v>
      </c>
      <c r="J2018" s="411" t="e">
        <v>#N/A</v>
      </c>
      <c r="K2018" s="411" t="e">
        <v>#N/A</v>
      </c>
      <c r="L2018" s="526" t="e">
        <v>#N/A</v>
      </c>
    </row>
    <row r="2019" spans="1:12" ht="15" x14ac:dyDescent="0.25">
      <c r="A2019">
        <v>461907</v>
      </c>
      <c r="B2019" t="str">
        <f t="shared" si="86"/>
        <v>SEVROLL spodná krycia lišta 1,7m 10mm oliva new</v>
      </c>
      <c r="C2019" s="198" t="e">
        <f t="shared" si="87"/>
        <v>#N/A</v>
      </c>
      <c r="D2019" s="526" t="s">
        <v>1600</v>
      </c>
      <c r="E2019" s="526" t="s">
        <v>2027</v>
      </c>
      <c r="F2019" s="526" t="s">
        <v>2230</v>
      </c>
      <c r="G2019" s="526" t="s">
        <v>6104</v>
      </c>
      <c r="H2019" s="412" t="e">
        <v>#N/A</v>
      </c>
      <c r="I2019" s="411" t="e">
        <v>#N/A</v>
      </c>
      <c r="J2019" s="411" t="e">
        <v>#N/A</v>
      </c>
      <c r="K2019" s="411" t="e">
        <v>#N/A</v>
      </c>
      <c r="L2019" s="526" t="e">
        <v>#N/A</v>
      </c>
    </row>
    <row r="2020" spans="1:12" ht="15" x14ac:dyDescent="0.25">
      <c r="A2020">
        <v>461908</v>
      </c>
      <c r="B2020" t="str">
        <f t="shared" si="86"/>
        <v>SEVROLL 206 VOD.LIŠTA HOR.1,7M oliva new</v>
      </c>
      <c r="C2020" s="198" t="e">
        <f t="shared" si="87"/>
        <v>#N/A</v>
      </c>
      <c r="D2020" s="526" t="s">
        <v>1601</v>
      </c>
      <c r="E2020" s="526" t="s">
        <v>2028</v>
      </c>
      <c r="F2020" s="526" t="s">
        <v>2231</v>
      </c>
      <c r="G2020" s="526" t="s">
        <v>6105</v>
      </c>
      <c r="H2020" s="412" t="e">
        <v>#N/A</v>
      </c>
      <c r="I2020" s="411" t="e">
        <v>#N/A</v>
      </c>
      <c r="J2020" s="411" t="e">
        <v>#N/A</v>
      </c>
      <c r="K2020" s="411" t="e">
        <v>#N/A</v>
      </c>
      <c r="L2020" s="526" t="e">
        <v>#N/A</v>
      </c>
    </row>
    <row r="2021" spans="1:12" ht="15" x14ac:dyDescent="0.25">
      <c r="A2021">
        <v>461909</v>
      </c>
      <c r="B2021" t="str">
        <f t="shared" si="86"/>
        <v>SEVROLL 207 VOD.LIŠTA HOR.2,35M oliva new</v>
      </c>
      <c r="C2021" s="198" t="e">
        <f t="shared" si="87"/>
        <v>#N/A</v>
      </c>
      <c r="D2021" s="526" t="s">
        <v>1602</v>
      </c>
      <c r="E2021" s="526" t="s">
        <v>2029</v>
      </c>
      <c r="F2021" s="526" t="s">
        <v>2232</v>
      </c>
      <c r="G2021" s="526" t="s">
        <v>6106</v>
      </c>
      <c r="H2021" s="412" t="e">
        <v>#N/A</v>
      </c>
      <c r="I2021" s="411" t="e">
        <v>#N/A</v>
      </c>
      <c r="J2021" s="411" t="e">
        <v>#N/A</v>
      </c>
      <c r="K2021" s="411" t="e">
        <v>#N/A</v>
      </c>
      <c r="L2021" s="526" t="e">
        <v>#N/A</v>
      </c>
    </row>
    <row r="2022" spans="1:12" ht="15" x14ac:dyDescent="0.25">
      <c r="A2022">
        <v>461910</v>
      </c>
      <c r="B2022" t="str">
        <f t="shared" si="86"/>
        <v>SEVROLL 208 VOD.LIŠTA HOR 3M oliva new</v>
      </c>
      <c r="C2022" s="198" t="e">
        <f t="shared" si="87"/>
        <v>#N/A</v>
      </c>
      <c r="D2022" s="526" t="s">
        <v>1603</v>
      </c>
      <c r="E2022" s="526" t="s">
        <v>2030</v>
      </c>
      <c r="F2022" s="526" t="s">
        <v>2233</v>
      </c>
      <c r="G2022" s="526" t="s">
        <v>6107</v>
      </c>
      <c r="H2022" s="412" t="e">
        <v>#N/A</v>
      </c>
      <c r="I2022" s="411" t="e">
        <v>#N/A</v>
      </c>
      <c r="J2022" s="411" t="e">
        <v>#N/A</v>
      </c>
      <c r="K2022" s="411" t="e">
        <v>#N/A</v>
      </c>
      <c r="L2022" s="526" t="e">
        <v>#N/A</v>
      </c>
    </row>
    <row r="2023" spans="1:12" ht="15" x14ac:dyDescent="0.25">
      <c r="A2023">
        <v>461911</v>
      </c>
      <c r="B2023" t="str">
        <f t="shared" si="86"/>
        <v>SEVROLL 153 SPOJ.LIŠTA "H 10"3M oliva new</v>
      </c>
      <c r="C2023" s="198" t="e">
        <f t="shared" si="87"/>
        <v>#N/A</v>
      </c>
      <c r="D2023" s="526" t="s">
        <v>1604</v>
      </c>
      <c r="E2023" s="526" t="s">
        <v>2031</v>
      </c>
      <c r="F2023" s="526" t="s">
        <v>2234</v>
      </c>
      <c r="G2023" s="526" t="s">
        <v>6108</v>
      </c>
      <c r="H2023" s="412" t="e">
        <v>#N/A</v>
      </c>
      <c r="I2023" s="411" t="e">
        <v>#N/A</v>
      </c>
      <c r="J2023" s="411" t="e">
        <v>#N/A</v>
      </c>
      <c r="K2023" s="411" t="e">
        <v>#N/A</v>
      </c>
      <c r="L2023" s="526" t="e">
        <v>#N/A</v>
      </c>
    </row>
    <row r="2024" spans="1:12" ht="15" x14ac:dyDescent="0.25">
      <c r="A2024">
        <v>461912</v>
      </c>
      <c r="B2024" t="str">
        <f t="shared" si="86"/>
        <v>SEVROLL Focus 16mm úchytová lišta 2,7m oliva new</v>
      </c>
      <c r="C2024" s="198" t="e">
        <f t="shared" si="87"/>
        <v>#N/A</v>
      </c>
      <c r="D2024" s="526" t="s">
        <v>1605</v>
      </c>
      <c r="E2024" s="526" t="s">
        <v>2032</v>
      </c>
      <c r="F2024" s="526" t="s">
        <v>2235</v>
      </c>
      <c r="G2024" s="526" t="s">
        <v>2529</v>
      </c>
      <c r="H2024" s="412" t="e">
        <v>#N/A</v>
      </c>
      <c r="I2024" s="411" t="e">
        <v>#N/A</v>
      </c>
      <c r="J2024" s="411" t="e">
        <v>#N/A</v>
      </c>
      <c r="K2024" s="411" t="e">
        <v>#N/A</v>
      </c>
      <c r="L2024" s="526" t="e">
        <v>#N/A</v>
      </c>
    </row>
    <row r="2025" spans="1:12" ht="15" x14ac:dyDescent="0.25">
      <c r="A2025">
        <v>461913</v>
      </c>
      <c r="B2025" t="str">
        <f t="shared" si="86"/>
        <v>SEVROLL Tytan úch.lišta 18mm 2,7m oliva new</v>
      </c>
      <c r="C2025" s="198" t="e">
        <f t="shared" si="87"/>
        <v>#N/A</v>
      </c>
      <c r="D2025" s="526" t="s">
        <v>1606</v>
      </c>
      <c r="E2025" s="526" t="s">
        <v>2033</v>
      </c>
      <c r="F2025" s="526" t="s">
        <v>2236</v>
      </c>
      <c r="G2025" s="526" t="s">
        <v>6109</v>
      </c>
      <c r="H2025" s="412" t="e">
        <v>#N/A</v>
      </c>
      <c r="I2025" s="411" t="e">
        <v>#N/A</v>
      </c>
      <c r="J2025" s="411" t="e">
        <v>#N/A</v>
      </c>
      <c r="K2025" s="411" t="e">
        <v>#N/A</v>
      </c>
      <c r="L2025" s="526" t="e">
        <v>#N/A</v>
      </c>
    </row>
    <row r="2026" spans="1:12" ht="15" x14ac:dyDescent="0.25">
      <c r="A2026">
        <v>461914</v>
      </c>
      <c r="B2026" t="str">
        <f t="shared" si="86"/>
        <v>SEVROLL HOR.VEDENIE COMFORT 2,35 M oliva new</v>
      </c>
      <c r="C2026" s="198" t="e">
        <f t="shared" si="87"/>
        <v>#N/A</v>
      </c>
      <c r="D2026" s="526" t="s">
        <v>1607</v>
      </c>
      <c r="E2026" s="526" t="s">
        <v>2034</v>
      </c>
      <c r="F2026" s="526" t="s">
        <v>2237</v>
      </c>
      <c r="G2026" s="526" t="s">
        <v>2530</v>
      </c>
      <c r="H2026" s="412" t="e">
        <v>#N/A</v>
      </c>
      <c r="I2026" s="411" t="e">
        <v>#N/A</v>
      </c>
      <c r="J2026" s="411" t="e">
        <v>#N/A</v>
      </c>
      <c r="K2026" s="411" t="e">
        <v>#N/A</v>
      </c>
      <c r="L2026" s="526" t="e">
        <v>#N/A</v>
      </c>
    </row>
    <row r="2027" spans="1:12" ht="15" x14ac:dyDescent="0.25">
      <c r="A2027">
        <v>461915</v>
      </c>
      <c r="B2027" t="str">
        <f t="shared" si="86"/>
        <v>SEVROLL HOR.VEDENIE COMFORT 3 M oliva new</v>
      </c>
      <c r="C2027" s="198" t="e">
        <f t="shared" si="87"/>
        <v>#N/A</v>
      </c>
      <c r="D2027" s="526" t="s">
        <v>1608</v>
      </c>
      <c r="E2027" s="526" t="s">
        <v>2035</v>
      </c>
      <c r="F2027" s="526" t="s">
        <v>2238</v>
      </c>
      <c r="G2027" s="526" t="s">
        <v>2531</v>
      </c>
      <c r="H2027" s="412" t="e">
        <v>#N/A</v>
      </c>
      <c r="I2027" s="411" t="e">
        <v>#N/A</v>
      </c>
      <c r="J2027" s="411" t="e">
        <v>#N/A</v>
      </c>
      <c r="K2027" s="411" t="e">
        <v>#N/A</v>
      </c>
      <c r="L2027" s="526" t="e">
        <v>#N/A</v>
      </c>
    </row>
    <row r="2028" spans="1:12" ht="15" x14ac:dyDescent="0.25">
      <c r="A2028">
        <v>461916</v>
      </c>
      <c r="B2028" t="str">
        <f t="shared" si="86"/>
        <v>SEVROLL HOR.VEDENIE COMFORT 4,05 M oliva new</v>
      </c>
      <c r="C2028" s="198" t="e">
        <f t="shared" si="87"/>
        <v>#N/A</v>
      </c>
      <c r="D2028" s="526" t="s">
        <v>1609</v>
      </c>
      <c r="E2028" s="526" t="s">
        <v>2036</v>
      </c>
      <c r="F2028" s="526" t="s">
        <v>2239</v>
      </c>
      <c r="G2028" s="526" t="s">
        <v>2532</v>
      </c>
      <c r="H2028" s="412" t="e">
        <v>#N/A</v>
      </c>
      <c r="I2028" s="411" t="e">
        <v>#N/A</v>
      </c>
      <c r="J2028" s="411" t="e">
        <v>#N/A</v>
      </c>
      <c r="K2028" s="411" t="e">
        <v>#N/A</v>
      </c>
      <c r="L2028" s="526" t="e">
        <v>#N/A</v>
      </c>
    </row>
    <row r="2029" spans="1:12" ht="15" x14ac:dyDescent="0.25">
      <c r="A2029">
        <v>461917</v>
      </c>
      <c r="B2029" t="str">
        <f t="shared" si="86"/>
        <v>SEVROLL 161 U PROFna DTD 18mm-3m, oliva new</v>
      </c>
      <c r="C2029" s="198" t="e">
        <f t="shared" si="87"/>
        <v>#N/A</v>
      </c>
      <c r="D2029" s="526" t="s">
        <v>1423</v>
      </c>
      <c r="E2029" s="526" t="s">
        <v>2037</v>
      </c>
      <c r="F2029" s="526" t="s">
        <v>2240</v>
      </c>
      <c r="G2029" s="526" t="s">
        <v>2424</v>
      </c>
      <c r="H2029" s="412" t="e">
        <v>#N/A</v>
      </c>
      <c r="I2029" s="411" t="e">
        <v>#N/A</v>
      </c>
      <c r="J2029" s="411" t="e">
        <v>#N/A</v>
      </c>
      <c r="K2029" s="411" t="e">
        <v>#N/A</v>
      </c>
      <c r="L2029" s="526" t="e">
        <v>#N/A</v>
      </c>
    </row>
    <row r="2030" spans="1:12" ht="15" x14ac:dyDescent="0.25">
      <c r="A2030">
        <v>461918</v>
      </c>
      <c r="B2030" t="str">
        <f t="shared" si="86"/>
        <v>SEVROLL  00219-A spojovacia lišta H30 3m oliva new</v>
      </c>
      <c r="C2030" s="198" t="e">
        <f t="shared" si="87"/>
        <v>#N/A</v>
      </c>
      <c r="D2030" s="526" t="s">
        <v>1610</v>
      </c>
      <c r="E2030" s="526" t="s">
        <v>2038</v>
      </c>
      <c r="F2030" s="526" t="s">
        <v>6110</v>
      </c>
      <c r="G2030" s="526" t="s">
        <v>2533</v>
      </c>
      <c r="H2030" s="412" t="e">
        <v>#N/A</v>
      </c>
      <c r="I2030" s="411" t="e">
        <v>#N/A</v>
      </c>
      <c r="J2030" s="411" t="e">
        <v>#N/A</v>
      </c>
      <c r="K2030" s="411" t="e">
        <v>#N/A</v>
      </c>
      <c r="L2030" s="526" t="e">
        <v>#N/A</v>
      </c>
    </row>
    <row r="2031" spans="1:12" ht="15" x14ac:dyDescent="0.25">
      <c r="A2031">
        <v>461919</v>
      </c>
      <c r="B2031" t="str">
        <f t="shared" si="86"/>
        <v>SEVROLL Master úchytová lišta 2,7m oliva new</v>
      </c>
      <c r="C2031" s="198" t="e">
        <f t="shared" si="87"/>
        <v>#N/A</v>
      </c>
      <c r="D2031" s="526" t="s">
        <v>1611</v>
      </c>
      <c r="E2031" s="526" t="s">
        <v>2039</v>
      </c>
      <c r="F2031" s="526" t="s">
        <v>2241</v>
      </c>
      <c r="G2031" s="526" t="s">
        <v>2534</v>
      </c>
      <c r="H2031" s="412" t="e">
        <v>#N/A</v>
      </c>
      <c r="I2031" s="411" t="e">
        <v>#N/A</v>
      </c>
      <c r="J2031" s="411" t="e">
        <v>#N/A</v>
      </c>
      <c r="K2031" s="411" t="e">
        <v>#N/A</v>
      </c>
      <c r="L2031" s="526" t="e">
        <v>#N/A</v>
      </c>
    </row>
    <row r="2032" spans="1:12" ht="15" x14ac:dyDescent="0.25">
      <c r="A2032">
        <v>461920</v>
      </c>
      <c r="B2032" t="str">
        <f t="shared" si="86"/>
        <v>SEVROLL Master úchytová lišta 3m oliva new</v>
      </c>
      <c r="C2032" s="198" t="e">
        <f t="shared" si="87"/>
        <v>#N/A</v>
      </c>
      <c r="D2032" s="526" t="s">
        <v>1612</v>
      </c>
      <c r="E2032" s="526" t="s">
        <v>2040</v>
      </c>
      <c r="F2032" s="526" t="s">
        <v>2242</v>
      </c>
      <c r="G2032" s="526" t="s">
        <v>2535</v>
      </c>
      <c r="H2032" s="412" t="e">
        <v>#N/A</v>
      </c>
      <c r="I2032" s="411" t="e">
        <v>#N/A</v>
      </c>
      <c r="J2032" s="411" t="e">
        <v>#N/A</v>
      </c>
      <c r="K2032" s="411" t="e">
        <v>#N/A</v>
      </c>
      <c r="L2032" s="526" t="e">
        <v>#N/A</v>
      </c>
    </row>
    <row r="2033" spans="1:12" ht="15" x14ac:dyDescent="0.25">
      <c r="A2033">
        <v>461921</v>
      </c>
      <c r="B2033" t="str">
        <f t="shared" si="86"/>
        <v>SEVROLL 00070-A uholník K2 Decor 2,35m oliva new</v>
      </c>
      <c r="C2033" s="198" t="e">
        <f t="shared" si="87"/>
        <v>#N/A</v>
      </c>
      <c r="D2033" s="526" t="s">
        <v>1613</v>
      </c>
      <c r="E2033" s="526" t="s">
        <v>2041</v>
      </c>
      <c r="F2033" s="526" t="s">
        <v>6111</v>
      </c>
      <c r="G2033" s="526" t="s">
        <v>6112</v>
      </c>
      <c r="H2033" s="412" t="e">
        <v>#N/A</v>
      </c>
      <c r="I2033" s="411" t="e">
        <v>#N/A</v>
      </c>
      <c r="J2033" s="411" t="e">
        <v>#N/A</v>
      </c>
      <c r="K2033" s="411" t="e">
        <v>#N/A</v>
      </c>
      <c r="L2033" s="526" t="e">
        <v>#N/A</v>
      </c>
    </row>
    <row r="2034" spans="1:12" ht="15" x14ac:dyDescent="0.25">
      <c r="A2034">
        <v>461922</v>
      </c>
      <c r="B2034" t="str">
        <f t="shared" si="86"/>
        <v>SEVROLL 00071-A uholník K2 Decor 3m oliva new</v>
      </c>
      <c r="C2034" s="198" t="e">
        <f t="shared" si="87"/>
        <v>#N/A</v>
      </c>
      <c r="D2034" s="526" t="s">
        <v>1614</v>
      </c>
      <c r="E2034" s="526" t="s">
        <v>2042</v>
      </c>
      <c r="F2034" s="526" t="s">
        <v>6113</v>
      </c>
      <c r="G2034" s="526" t="s">
        <v>6114</v>
      </c>
      <c r="H2034" s="412" t="e">
        <v>#N/A</v>
      </c>
      <c r="I2034" s="411" t="e">
        <v>#N/A</v>
      </c>
      <c r="J2034" s="411" t="e">
        <v>#N/A</v>
      </c>
      <c r="K2034" s="411" t="e">
        <v>#N/A</v>
      </c>
      <c r="L2034" s="526" t="e">
        <v>#N/A</v>
      </c>
    </row>
    <row r="2035" spans="1:12" ht="15" x14ac:dyDescent="0.25">
      <c r="A2035">
        <v>461923</v>
      </c>
      <c r="B2035" t="str">
        <f t="shared" si="86"/>
        <v>SEVROLL spojovacia lišta H18 3m oliva new</v>
      </c>
      <c r="C2035" s="198" t="e">
        <f t="shared" si="87"/>
        <v>#N/A</v>
      </c>
      <c r="D2035" s="526" t="s">
        <v>1615</v>
      </c>
      <c r="E2035" s="526" t="s">
        <v>2043</v>
      </c>
      <c r="F2035" s="526" t="s">
        <v>2243</v>
      </c>
      <c r="G2035" s="526" t="s">
        <v>6115</v>
      </c>
      <c r="H2035" s="412" t="e">
        <v>#N/A</v>
      </c>
      <c r="I2035" s="411" t="e">
        <v>#N/A</v>
      </c>
      <c r="J2035" s="411" t="e">
        <v>#N/A</v>
      </c>
      <c r="K2035" s="411" t="e">
        <v>#N/A</v>
      </c>
      <c r="L2035" s="526" t="e">
        <v>#N/A</v>
      </c>
    </row>
    <row r="2036" spans="1:12" ht="15" x14ac:dyDescent="0.25">
      <c r="A2036">
        <v>461924</v>
      </c>
      <c r="B2036" t="str">
        <f t="shared" si="86"/>
        <v>SEVROLL 01370-A  spojovacia lišta T Decor 3m oliva new</v>
      </c>
      <c r="C2036" s="198" t="e">
        <f t="shared" si="87"/>
        <v>#N/A</v>
      </c>
      <c r="D2036" s="526" t="s">
        <v>1616</v>
      </c>
      <c r="E2036" s="526" t="s">
        <v>2044</v>
      </c>
      <c r="F2036" s="526" t="s">
        <v>6116</v>
      </c>
      <c r="G2036" s="526" t="s">
        <v>2536</v>
      </c>
      <c r="H2036" s="412" t="e">
        <v>#N/A</v>
      </c>
      <c r="I2036" s="411" t="e">
        <v>#N/A</v>
      </c>
      <c r="J2036" s="411" t="e">
        <v>#N/A</v>
      </c>
      <c r="K2036" s="411" t="e">
        <v>#N/A</v>
      </c>
      <c r="L2036" s="526" t="e">
        <v>#N/A</v>
      </c>
    </row>
    <row r="2037" spans="1:12" ht="15" x14ac:dyDescent="0.25">
      <c r="A2037">
        <v>461925</v>
      </c>
      <c r="B2037" t="str">
        <f t="shared" si="86"/>
        <v>SEVROLL 00035-A profil "U" Decor 18mm 3m oliva new</v>
      </c>
      <c r="C2037" s="198" t="e">
        <f t="shared" si="87"/>
        <v>#N/A</v>
      </c>
      <c r="D2037" s="526" t="s">
        <v>1617</v>
      </c>
      <c r="E2037" s="526" t="s">
        <v>2045</v>
      </c>
      <c r="F2037" s="526" t="s">
        <v>1617</v>
      </c>
      <c r="G2037" s="526" t="s">
        <v>2537</v>
      </c>
      <c r="H2037" s="412" t="e">
        <v>#N/A</v>
      </c>
      <c r="I2037" s="411" t="e">
        <v>#N/A</v>
      </c>
      <c r="J2037" s="411" t="e">
        <v>#N/A</v>
      </c>
      <c r="K2037" s="411" t="e">
        <v>#N/A</v>
      </c>
      <c r="L2037" s="526" t="e">
        <v>#N/A</v>
      </c>
    </row>
    <row r="2038" spans="1:12" ht="15" x14ac:dyDescent="0.25">
      <c r="A2038">
        <v>461926</v>
      </c>
      <c r="B2038" t="str">
        <f t="shared" si="86"/>
        <v>SEVROLL 01246-A Single horné vedenie 1,7m oliva new</v>
      </c>
      <c r="C2038" s="198" t="e">
        <f t="shared" si="87"/>
        <v>#N/A</v>
      </c>
      <c r="D2038" s="526" t="s">
        <v>1618</v>
      </c>
      <c r="E2038" s="526" t="s">
        <v>2046</v>
      </c>
      <c r="F2038" s="526" t="s">
        <v>6117</v>
      </c>
      <c r="G2038" s="526" t="s">
        <v>2538</v>
      </c>
      <c r="H2038" s="412" t="e">
        <v>#N/A</v>
      </c>
      <c r="I2038" s="411" t="e">
        <v>#N/A</v>
      </c>
      <c r="J2038" s="411" t="e">
        <v>#N/A</v>
      </c>
      <c r="K2038" s="411" t="e">
        <v>#N/A</v>
      </c>
      <c r="L2038" s="526" t="e">
        <v>#N/A</v>
      </c>
    </row>
    <row r="2039" spans="1:12" ht="15" x14ac:dyDescent="0.25">
      <c r="A2039">
        <v>461927</v>
      </c>
      <c r="B2039" t="str">
        <f t="shared" si="86"/>
        <v>SEVROLL 01248-A Single horné vedenie 3m oliva new</v>
      </c>
      <c r="C2039" s="198" t="e">
        <f t="shared" si="87"/>
        <v>#N/A</v>
      </c>
      <c r="D2039" s="526" t="s">
        <v>1619</v>
      </c>
      <c r="E2039" s="526" t="s">
        <v>2047</v>
      </c>
      <c r="F2039" s="526" t="s">
        <v>6118</v>
      </c>
      <c r="G2039" s="526" t="s">
        <v>2539</v>
      </c>
      <c r="H2039" s="412" t="e">
        <v>#N/A</v>
      </c>
      <c r="I2039" s="411" t="e">
        <v>#N/A</v>
      </c>
      <c r="J2039" s="411" t="e">
        <v>#N/A</v>
      </c>
      <c r="K2039" s="411" t="e">
        <v>#N/A</v>
      </c>
      <c r="L2039" s="526" t="e">
        <v>#N/A</v>
      </c>
    </row>
    <row r="2040" spans="1:12" ht="15" x14ac:dyDescent="0.25">
      <c r="A2040">
        <v>461928</v>
      </c>
      <c r="B2040" t="str">
        <f t="shared" si="86"/>
        <v>SEVROLL SMART spodné vedenia 1,7 M oliva new</v>
      </c>
      <c r="C2040" s="198" t="e">
        <f t="shared" si="87"/>
        <v>#N/A</v>
      </c>
      <c r="D2040" s="526" t="s">
        <v>1620</v>
      </c>
      <c r="E2040" s="526" t="s">
        <v>2048</v>
      </c>
      <c r="F2040" s="526" t="s">
        <v>2244</v>
      </c>
      <c r="G2040" s="526" t="s">
        <v>2540</v>
      </c>
      <c r="H2040" s="412" t="e">
        <v>#N/A</v>
      </c>
      <c r="I2040" s="411" t="e">
        <v>#N/A</v>
      </c>
      <c r="J2040" s="411" t="e">
        <v>#N/A</v>
      </c>
      <c r="K2040" s="411" t="e">
        <v>#N/A</v>
      </c>
      <c r="L2040" s="526" t="e">
        <v>#N/A</v>
      </c>
    </row>
    <row r="2041" spans="1:12" ht="15" x14ac:dyDescent="0.25">
      <c r="A2041">
        <v>461929</v>
      </c>
      <c r="B2041" t="str">
        <f t="shared" si="86"/>
        <v>SEVROLL SMART spodné vedenia 2,35M oliva new</v>
      </c>
      <c r="C2041" s="198" t="e">
        <f t="shared" si="87"/>
        <v>#N/A</v>
      </c>
      <c r="D2041" s="526" t="s">
        <v>1621</v>
      </c>
      <c r="E2041" s="526" t="s">
        <v>2049</v>
      </c>
      <c r="F2041" s="526" t="s">
        <v>2245</v>
      </c>
      <c r="G2041" s="526" t="s">
        <v>2541</v>
      </c>
      <c r="H2041" s="412" t="e">
        <v>#N/A</v>
      </c>
      <c r="I2041" s="411" t="e">
        <v>#N/A</v>
      </c>
      <c r="J2041" s="411" t="e">
        <v>#N/A</v>
      </c>
      <c r="K2041" s="411" t="e">
        <v>#N/A</v>
      </c>
      <c r="L2041" s="526" t="e">
        <v>#N/A</v>
      </c>
    </row>
    <row r="2042" spans="1:12" ht="15" x14ac:dyDescent="0.25">
      <c r="A2042">
        <v>461930</v>
      </c>
      <c r="B2042" t="str">
        <f t="shared" si="86"/>
        <v>SEVROLL SMART SPODNÉ VEDENIE 3M oliva new</v>
      </c>
      <c r="C2042" s="198" t="e">
        <f t="shared" si="87"/>
        <v>#N/A</v>
      </c>
      <c r="D2042" s="526" t="s">
        <v>1622</v>
      </c>
      <c r="E2042" s="526" t="s">
        <v>2050</v>
      </c>
      <c r="F2042" s="526" t="s">
        <v>2246</v>
      </c>
      <c r="G2042" s="526" t="s">
        <v>2542</v>
      </c>
      <c r="H2042" s="412" t="e">
        <v>#N/A</v>
      </c>
      <c r="I2042" s="411" t="e">
        <v>#N/A</v>
      </c>
      <c r="J2042" s="411" t="e">
        <v>#N/A</v>
      </c>
      <c r="K2042" s="411" t="e">
        <v>#N/A</v>
      </c>
      <c r="L2042" s="526" t="e">
        <v>#N/A</v>
      </c>
    </row>
    <row r="2043" spans="1:12" ht="15" x14ac:dyDescent="0.25">
      <c r="A2043">
        <v>461931</v>
      </c>
      <c r="B2043" t="str">
        <f t="shared" si="86"/>
        <v>SEVROLL 04274-A Elegant II spodné vedenie  2,35m oliva new</v>
      </c>
      <c r="C2043" s="198" t="e">
        <f t="shared" si="87"/>
        <v>#N/A</v>
      </c>
      <c r="D2043" s="526" t="s">
        <v>1623</v>
      </c>
      <c r="E2043" s="526" t="s">
        <v>2051</v>
      </c>
      <c r="F2043" s="526" t="s">
        <v>6119</v>
      </c>
      <c r="G2043" s="526" t="s">
        <v>6120</v>
      </c>
      <c r="H2043" s="412" t="e">
        <v>#N/A</v>
      </c>
      <c r="I2043" s="411" t="e">
        <v>#N/A</v>
      </c>
      <c r="J2043" s="411" t="e">
        <v>#N/A</v>
      </c>
      <c r="K2043" s="411" t="e">
        <v>#N/A</v>
      </c>
      <c r="L2043" s="526" t="e">
        <v>#N/A</v>
      </c>
    </row>
    <row r="2044" spans="1:12" ht="15" x14ac:dyDescent="0.25">
      <c r="A2044">
        <v>461932</v>
      </c>
      <c r="B2044" t="str">
        <f t="shared" si="86"/>
        <v>SEVROLL 04275-A Elegant II spodné vedenie  3m oliva new</v>
      </c>
      <c r="C2044" s="198" t="e">
        <f t="shared" si="87"/>
        <v>#N/A</v>
      </c>
      <c r="D2044" s="526" t="s">
        <v>1624</v>
      </c>
      <c r="E2044" s="526" t="s">
        <v>2052</v>
      </c>
      <c r="F2044" s="526" t="s">
        <v>6121</v>
      </c>
      <c r="G2044" s="526" t="s">
        <v>6122</v>
      </c>
      <c r="H2044" s="412" t="e">
        <v>#N/A</v>
      </c>
      <c r="I2044" s="411" t="e">
        <v>#N/A</v>
      </c>
      <c r="J2044" s="411" t="e">
        <v>#N/A</v>
      </c>
      <c r="K2044" s="411" t="e">
        <v>#N/A</v>
      </c>
      <c r="L2044" s="526" t="e">
        <v>#N/A</v>
      </c>
    </row>
    <row r="2045" spans="1:12" ht="15" x14ac:dyDescent="0.25">
      <c r="A2045">
        <v>461933</v>
      </c>
      <c r="B2045" t="str">
        <f t="shared" si="86"/>
        <v>SEVROLL 04276-A Elegant II spodné vedenie  4,05m oliva new</v>
      </c>
      <c r="C2045" s="198" t="e">
        <f t="shared" si="87"/>
        <v>#N/A</v>
      </c>
      <c r="D2045" s="526" t="s">
        <v>1625</v>
      </c>
      <c r="E2045" s="526" t="s">
        <v>2053</v>
      </c>
      <c r="F2045" s="526" t="s">
        <v>6123</v>
      </c>
      <c r="G2045" s="526" t="s">
        <v>6124</v>
      </c>
      <c r="H2045" s="412" t="e">
        <v>#N/A</v>
      </c>
      <c r="I2045" s="411" t="e">
        <v>#N/A</v>
      </c>
      <c r="J2045" s="411" t="e">
        <v>#N/A</v>
      </c>
      <c r="K2045" s="411" t="e">
        <v>#N/A</v>
      </c>
      <c r="L2045" s="526" t="e">
        <v>#N/A</v>
      </c>
    </row>
    <row r="2046" spans="1:12" ht="15" x14ac:dyDescent="0.25">
      <c r="A2046">
        <v>461934</v>
      </c>
      <c r="B2046" t="str">
        <f t="shared" si="86"/>
        <v>SEVROLL 02032-A profil "U" pre lamino 16mm 3m oliva new</v>
      </c>
      <c r="C2046" s="198" t="e">
        <f t="shared" si="87"/>
        <v>#N/A</v>
      </c>
      <c r="D2046" s="526" t="s">
        <v>1626</v>
      </c>
      <c r="E2046" s="526" t="s">
        <v>2054</v>
      </c>
      <c r="F2046" s="526" t="s">
        <v>6125</v>
      </c>
      <c r="G2046" s="526" t="s">
        <v>2543</v>
      </c>
      <c r="H2046" s="412" t="e">
        <v>#N/A</v>
      </c>
      <c r="I2046" s="411" t="e">
        <v>#N/A</v>
      </c>
      <c r="J2046" s="411" t="e">
        <v>#N/A</v>
      </c>
      <c r="K2046" s="411" t="e">
        <v>#N/A</v>
      </c>
      <c r="L2046" s="526" t="e">
        <v>#N/A</v>
      </c>
    </row>
    <row r="2047" spans="1:12" ht="15" x14ac:dyDescent="0.25">
      <c r="A2047">
        <v>461935</v>
      </c>
      <c r="B2047" t="str">
        <f t="shared" si="86"/>
        <v>SEVROLL SPOJOVACia LIŠTA H04 3M oliva new</v>
      </c>
      <c r="C2047" s="198" t="e">
        <f t="shared" si="87"/>
        <v>#N/A</v>
      </c>
      <c r="D2047" s="526" t="s">
        <v>1627</v>
      </c>
      <c r="E2047" s="526" t="s">
        <v>2055</v>
      </c>
      <c r="F2047" s="526" t="s">
        <v>2247</v>
      </c>
      <c r="G2047" s="526" t="s">
        <v>6126</v>
      </c>
      <c r="H2047" s="412" t="e">
        <v>#N/A</v>
      </c>
      <c r="I2047" s="411" t="e">
        <v>#N/A</v>
      </c>
      <c r="J2047" s="411" t="e">
        <v>#N/A</v>
      </c>
      <c r="K2047" s="411" t="e">
        <v>#N/A</v>
      </c>
      <c r="L2047" s="526" t="e">
        <v>#N/A</v>
      </c>
    </row>
    <row r="2048" spans="1:12" ht="15" x14ac:dyDescent="0.25">
      <c r="A2048">
        <v>461936</v>
      </c>
      <c r="B2048" t="str">
        <f t="shared" si="86"/>
        <v>SEVROLL Gemini horné vedenie 6m oliva new</v>
      </c>
      <c r="C2048" s="198" t="e">
        <f t="shared" si="87"/>
        <v>#N/A</v>
      </c>
      <c r="D2048" s="526" t="s">
        <v>1628</v>
      </c>
      <c r="E2048" s="526" t="s">
        <v>2056</v>
      </c>
      <c r="F2048" s="526" t="s">
        <v>2248</v>
      </c>
      <c r="G2048" s="526" t="s">
        <v>2544</v>
      </c>
      <c r="H2048" s="412" t="e">
        <v>#N/A</v>
      </c>
      <c r="I2048" s="411" t="e">
        <v>#N/A</v>
      </c>
      <c r="J2048" s="411" t="e">
        <v>#N/A</v>
      </c>
      <c r="K2048" s="411" t="e">
        <v>#N/A</v>
      </c>
      <c r="L2048" s="526" t="e">
        <v>#N/A</v>
      </c>
    </row>
    <row r="2049" spans="1:12" ht="15" x14ac:dyDescent="0.25">
      <c r="A2049">
        <v>461937</v>
      </c>
      <c r="B2049" t="str">
        <f t="shared" si="86"/>
        <v>SEVROLL okrasná lišta S20 3m oliva new</v>
      </c>
      <c r="C2049" s="198" t="e">
        <f t="shared" si="87"/>
        <v>#N/A</v>
      </c>
      <c r="D2049" s="526" t="s">
        <v>1629</v>
      </c>
      <c r="E2049" s="526" t="s">
        <v>2057</v>
      </c>
      <c r="F2049" s="526" t="s">
        <v>2249</v>
      </c>
      <c r="G2049" s="526" t="s">
        <v>6127</v>
      </c>
      <c r="H2049" s="412" t="e">
        <v>#N/A</v>
      </c>
      <c r="I2049" s="411" t="e">
        <v>#N/A</v>
      </c>
      <c r="J2049" s="411" t="e">
        <v>#N/A</v>
      </c>
      <c r="K2049" s="411" t="e">
        <v>#N/A</v>
      </c>
      <c r="L2049" s="526" t="e">
        <v>#N/A</v>
      </c>
    </row>
    <row r="2050" spans="1:12" ht="15" x14ac:dyDescent="0.25">
      <c r="A2050">
        <v>461938</v>
      </c>
      <c r="B2050" t="str">
        <f t="shared" si="86"/>
        <v>SEVROLL okrasná lišta S10 3m oliva new</v>
      </c>
      <c r="C2050" s="198" t="e">
        <f t="shared" si="87"/>
        <v>#N/A</v>
      </c>
      <c r="D2050" s="526" t="s">
        <v>1630</v>
      </c>
      <c r="E2050" s="526" t="s">
        <v>2058</v>
      </c>
      <c r="F2050" s="526" t="s">
        <v>2250</v>
      </c>
      <c r="G2050" s="526" t="s">
        <v>2545</v>
      </c>
      <c r="H2050" s="412" t="e">
        <v>#N/A</v>
      </c>
      <c r="I2050" s="411" t="e">
        <v>#N/A</v>
      </c>
      <c r="J2050" s="411" t="e">
        <v>#N/A</v>
      </c>
      <c r="K2050" s="411" t="e">
        <v>#N/A</v>
      </c>
      <c r="L2050" s="526" t="e">
        <v>#N/A</v>
      </c>
    </row>
    <row r="2051" spans="1:12" ht="15" x14ac:dyDescent="0.25">
      <c r="A2051">
        <v>461939</v>
      </c>
      <c r="B2051" t="str">
        <f t="shared" si="86"/>
        <v>SEVROLL Julia II úch.lišta 2,7m oliva new</v>
      </c>
      <c r="C2051" s="198" t="e">
        <f t="shared" si="87"/>
        <v>#N/A</v>
      </c>
      <c r="D2051" s="526" t="s">
        <v>1631</v>
      </c>
      <c r="E2051" s="526" t="s">
        <v>2059</v>
      </c>
      <c r="F2051" s="526" t="s">
        <v>2251</v>
      </c>
      <c r="G2051" s="526" t="s">
        <v>2546</v>
      </c>
      <c r="H2051" s="412" t="e">
        <v>#N/A</v>
      </c>
      <c r="I2051" s="411" t="e">
        <v>#N/A</v>
      </c>
      <c r="J2051" s="411" t="e">
        <v>#N/A</v>
      </c>
      <c r="K2051" s="411" t="e">
        <v>#N/A</v>
      </c>
      <c r="L2051" s="526" t="e">
        <v>#N/A</v>
      </c>
    </row>
    <row r="2052" spans="1:12" ht="15" x14ac:dyDescent="0.25">
      <c r="A2052">
        <v>461940</v>
      </c>
      <c r="B2052" t="str">
        <f t="shared" si="86"/>
        <v>SEVROLL Romeo II úch.lišta 2,7m oliva new</v>
      </c>
      <c r="C2052" s="198" t="e">
        <f t="shared" si="87"/>
        <v>#N/A</v>
      </c>
      <c r="D2052" s="526" t="s">
        <v>1632</v>
      </c>
      <c r="E2052" s="526" t="s">
        <v>2060</v>
      </c>
      <c r="F2052" s="526" t="s">
        <v>2252</v>
      </c>
      <c r="G2052" s="526" t="s">
        <v>6128</v>
      </c>
      <c r="H2052" s="412" t="e">
        <v>#N/A</v>
      </c>
      <c r="I2052" s="411" t="e">
        <v>#N/A</v>
      </c>
      <c r="J2052" s="411" t="e">
        <v>#N/A</v>
      </c>
      <c r="K2052" s="411" t="e">
        <v>#N/A</v>
      </c>
      <c r="L2052" s="526" t="e">
        <v>#N/A</v>
      </c>
    </row>
    <row r="2053" spans="1:12" ht="15" x14ac:dyDescent="0.25">
      <c r="A2053">
        <v>461941</v>
      </c>
      <c r="B2053" t="str">
        <f t="shared" si="86"/>
        <v>SEVROLL 04548-A Factor 18 II úchytová lišta 2,7m oliva new</v>
      </c>
      <c r="C2053" s="198" t="e">
        <f t="shared" si="87"/>
        <v>#N/A</v>
      </c>
      <c r="D2053" s="526" t="s">
        <v>1633</v>
      </c>
      <c r="E2053" s="526" t="s">
        <v>2061</v>
      </c>
      <c r="F2053" s="526" t="s">
        <v>1633</v>
      </c>
      <c r="G2053" s="526" t="s">
        <v>6129</v>
      </c>
      <c r="H2053" s="412" t="e">
        <v>#N/A</v>
      </c>
      <c r="I2053" s="411" t="e">
        <v>#N/A</v>
      </c>
      <c r="J2053" s="411" t="e">
        <v>#N/A</v>
      </c>
      <c r="K2053" s="411" t="e">
        <v>#N/A</v>
      </c>
      <c r="L2053" s="526" t="e">
        <v>#N/A</v>
      </c>
    </row>
    <row r="2054" spans="1:12" ht="15" x14ac:dyDescent="0.25">
      <c r="A2054">
        <v>461942</v>
      </c>
      <c r="B2054" t="str">
        <f t="shared" ref="B2054:B2117" si="88">IF($A$2=1,D2054,IF($A$2=2,F2054,IF($A$2=3,G2054,IF($A$2=4,E2054,"zadat jazyk"))))</f>
        <v>SEVROLL Factor 16 II-úchyt.lišta oliva new 2,7m</v>
      </c>
      <c r="C2054" s="198" t="e">
        <f t="shared" ref="C2054:C2117" si="89">IF($A$2=1,H2054,IF($A$2=2,I2054,IF($A$2=3,J2054,IF($A$2=4,K2054,"zadat jazyk"))))</f>
        <v>#N/A</v>
      </c>
      <c r="D2054" s="526" t="s">
        <v>1634</v>
      </c>
      <c r="E2054" s="526" t="s">
        <v>2062</v>
      </c>
      <c r="F2054" s="526" t="s">
        <v>2253</v>
      </c>
      <c r="G2054" s="526" t="s">
        <v>2547</v>
      </c>
      <c r="H2054" s="412" t="e">
        <v>#N/A</v>
      </c>
      <c r="I2054" s="411" t="e">
        <v>#N/A</v>
      </c>
      <c r="J2054" s="411" t="e">
        <v>#N/A</v>
      </c>
      <c r="K2054" s="411" t="e">
        <v>#N/A</v>
      </c>
      <c r="L2054" s="526" t="e">
        <v>#N/A</v>
      </c>
    </row>
    <row r="2055" spans="1:12" ht="15" x14ac:dyDescent="0.25">
      <c r="A2055">
        <v>461943</v>
      </c>
      <c r="B2055" t="str">
        <f t="shared" si="88"/>
        <v>SEVROLL 04542-A Victoria II úchytová lišta 18mm 2,7m oliva new</v>
      </c>
      <c r="C2055" s="198" t="e">
        <f t="shared" si="89"/>
        <v>#N/A</v>
      </c>
      <c r="D2055" s="526" t="s">
        <v>1635</v>
      </c>
      <c r="E2055" s="526" t="s">
        <v>6130</v>
      </c>
      <c r="F2055" s="526" t="s">
        <v>1635</v>
      </c>
      <c r="G2055" s="526" t="s">
        <v>2548</v>
      </c>
      <c r="H2055" s="412" t="e">
        <v>#N/A</v>
      </c>
      <c r="I2055" s="411" t="e">
        <v>#N/A</v>
      </c>
      <c r="J2055" s="411" t="e">
        <v>#N/A</v>
      </c>
      <c r="K2055" s="411" t="e">
        <v>#N/A</v>
      </c>
      <c r="L2055" s="526" t="e">
        <v>#N/A</v>
      </c>
    </row>
    <row r="2056" spans="1:12" ht="15" x14ac:dyDescent="0.25">
      <c r="A2056">
        <v>461944</v>
      </c>
      <c r="B2056" t="str">
        <f t="shared" si="88"/>
        <v>SEVROLL Minicomfort II úchytová lišta 2,7m oliva new</v>
      </c>
      <c r="C2056" s="198" t="e">
        <f t="shared" si="89"/>
        <v>#N/A</v>
      </c>
      <c r="D2056" s="526" t="s">
        <v>1636</v>
      </c>
      <c r="E2056" s="526" t="s">
        <v>2063</v>
      </c>
      <c r="F2056" s="526" t="s">
        <v>2254</v>
      </c>
      <c r="G2056" s="526" t="s">
        <v>2549</v>
      </c>
      <c r="H2056" s="412" t="e">
        <v>#N/A</v>
      </c>
      <c r="I2056" s="411" t="e">
        <v>#N/A</v>
      </c>
      <c r="J2056" s="411" t="e">
        <v>#N/A</v>
      </c>
      <c r="K2056" s="411" t="e">
        <v>#N/A</v>
      </c>
      <c r="L2056" s="526" t="e">
        <v>#N/A</v>
      </c>
    </row>
    <row r="2057" spans="1:12" ht="15" x14ac:dyDescent="0.25">
      <c r="A2057">
        <v>461945</v>
      </c>
      <c r="B2057" t="str">
        <f t="shared" si="88"/>
        <v>SEVROLL Comfor 18 II úchytová lišta 2,7m oliva new</v>
      </c>
      <c r="C2057" s="198" t="e">
        <f t="shared" si="89"/>
        <v>#N/A</v>
      </c>
      <c r="D2057" s="526" t="s">
        <v>1637</v>
      </c>
      <c r="E2057" s="526" t="s">
        <v>2064</v>
      </c>
      <c r="F2057" s="526" t="s">
        <v>2255</v>
      </c>
      <c r="G2057" s="526" t="s">
        <v>2550</v>
      </c>
      <c r="H2057" s="412" t="e">
        <v>#N/A</v>
      </c>
      <c r="I2057" s="411" t="e">
        <v>#N/A</v>
      </c>
      <c r="J2057" s="411" t="e">
        <v>#N/A</v>
      </c>
      <c r="K2057" s="411" t="e">
        <v>#N/A</v>
      </c>
      <c r="L2057" s="526" t="e">
        <v>#N/A</v>
      </c>
    </row>
    <row r="2058" spans="1:12" ht="15" x14ac:dyDescent="0.25">
      <c r="A2058">
        <v>461946</v>
      </c>
      <c r="B2058" t="str">
        <f t="shared" si="88"/>
        <v>SEVROLL Unicomfort II úchytová lišta 2,7m oliva new</v>
      </c>
      <c r="C2058" s="198" t="e">
        <f t="shared" si="89"/>
        <v>#N/A</v>
      </c>
      <c r="D2058" s="526" t="s">
        <v>1638</v>
      </c>
      <c r="E2058" s="526" t="s">
        <v>2065</v>
      </c>
      <c r="F2058" s="526" t="s">
        <v>2256</v>
      </c>
      <c r="G2058" s="526" t="s">
        <v>2551</v>
      </c>
      <c r="H2058" s="412" t="e">
        <v>#N/A</v>
      </c>
      <c r="I2058" s="411" t="e">
        <v>#N/A</v>
      </c>
      <c r="J2058" s="411" t="e">
        <v>#N/A</v>
      </c>
      <c r="K2058" s="411" t="e">
        <v>#N/A</v>
      </c>
      <c r="L2058" s="526" t="e">
        <v>#N/A</v>
      </c>
    </row>
    <row r="2059" spans="1:12" ht="15" x14ac:dyDescent="0.25">
      <c r="A2059">
        <v>461947</v>
      </c>
      <c r="B2059" t="str">
        <f t="shared" si="88"/>
        <v>SEVROLL Faworyt II úchytová lišta 2,7m oliva new</v>
      </c>
      <c r="C2059" s="198" t="e">
        <f t="shared" si="89"/>
        <v>#N/A</v>
      </c>
      <c r="D2059" s="526" t="s">
        <v>1639</v>
      </c>
      <c r="E2059" s="526" t="s">
        <v>2066</v>
      </c>
      <c r="F2059" s="526" t="s">
        <v>2257</v>
      </c>
      <c r="G2059" s="526" t="s">
        <v>2552</v>
      </c>
      <c r="H2059" s="412" t="e">
        <v>#N/A</v>
      </c>
      <c r="I2059" s="411" t="e">
        <v>#N/A</v>
      </c>
      <c r="J2059" s="411" t="e">
        <v>#N/A</v>
      </c>
      <c r="K2059" s="411" t="e">
        <v>#N/A</v>
      </c>
      <c r="L2059" s="526" t="e">
        <v>#N/A</v>
      </c>
    </row>
    <row r="2060" spans="1:12" ht="15" x14ac:dyDescent="0.25">
      <c r="A2060">
        <v>461948</v>
      </c>
      <c r="B2060" t="str">
        <f t="shared" si="88"/>
        <v>SEVROLL Comfor 16 II úch.lišta 2,7m oliva new</v>
      </c>
      <c r="C2060" s="198" t="e">
        <f t="shared" si="89"/>
        <v>#N/A</v>
      </c>
      <c r="D2060" s="526" t="s">
        <v>1640</v>
      </c>
      <c r="E2060" s="526" t="s">
        <v>2067</v>
      </c>
      <c r="F2060" s="526" t="s">
        <v>2258</v>
      </c>
      <c r="G2060" s="526" t="s">
        <v>2553</v>
      </c>
      <c r="H2060" s="412" t="e">
        <v>#N/A</v>
      </c>
      <c r="I2060" s="411" t="e">
        <v>#N/A</v>
      </c>
      <c r="J2060" s="411" t="e">
        <v>#N/A</v>
      </c>
      <c r="K2060" s="411" t="e">
        <v>#N/A</v>
      </c>
      <c r="L2060" s="526" t="e">
        <v>#N/A</v>
      </c>
    </row>
    <row r="2061" spans="1:12" ht="15" x14ac:dyDescent="0.25">
      <c r="A2061">
        <v>461949</v>
      </c>
      <c r="B2061" t="str">
        <f t="shared" si="88"/>
        <v>SEVROLL ERGO UCH.LIŠTA.2,70m oliva new</v>
      </c>
      <c r="C2061" s="198" t="e">
        <f t="shared" si="89"/>
        <v>#N/A</v>
      </c>
      <c r="D2061" s="526" t="s">
        <v>1641</v>
      </c>
      <c r="E2061" s="526" t="s">
        <v>2068</v>
      </c>
      <c r="F2061" s="526" t="s">
        <v>2259</v>
      </c>
      <c r="G2061" s="526" t="s">
        <v>6131</v>
      </c>
      <c r="H2061" s="412" t="e">
        <v>#N/A</v>
      </c>
      <c r="I2061" s="411" t="e">
        <v>#N/A</v>
      </c>
      <c r="J2061" s="411" t="e">
        <v>#N/A</v>
      </c>
      <c r="K2061" s="411" t="e">
        <v>#N/A</v>
      </c>
      <c r="L2061" s="526" t="e">
        <v>#N/A</v>
      </c>
    </row>
    <row r="2062" spans="1:12" ht="15" x14ac:dyDescent="0.25">
      <c r="A2062">
        <v>461950</v>
      </c>
      <c r="B2062" t="str">
        <f t="shared" si="88"/>
        <v>SEVROLL FIRST HOR/SPOD VED. 1,8 M oliva new</v>
      </c>
      <c r="C2062" s="198" t="e">
        <f t="shared" si="89"/>
        <v>#N/A</v>
      </c>
      <c r="D2062" s="526" t="s">
        <v>1642</v>
      </c>
      <c r="E2062" s="526" t="s">
        <v>2069</v>
      </c>
      <c r="F2062" s="526" t="s">
        <v>2260</v>
      </c>
      <c r="G2062" s="526" t="s">
        <v>2554</v>
      </c>
      <c r="H2062" s="412" t="e">
        <v>#N/A</v>
      </c>
      <c r="I2062" s="411" t="e">
        <v>#N/A</v>
      </c>
      <c r="J2062" s="411" t="e">
        <v>#N/A</v>
      </c>
      <c r="K2062" s="411" t="e">
        <v>#N/A</v>
      </c>
      <c r="L2062" s="526" t="e">
        <v>#N/A</v>
      </c>
    </row>
    <row r="2063" spans="1:12" ht="15" x14ac:dyDescent="0.25">
      <c r="A2063">
        <v>461951</v>
      </c>
      <c r="B2063" t="str">
        <f t="shared" si="88"/>
        <v>SEVROLL SPOD.VED. DOUBLER II 1,7M oliva new</v>
      </c>
      <c r="C2063" s="198" t="e">
        <f t="shared" si="89"/>
        <v>#N/A</v>
      </c>
      <c r="D2063" s="526" t="s">
        <v>1643</v>
      </c>
      <c r="E2063" s="526" t="s">
        <v>2070</v>
      </c>
      <c r="F2063" s="526" t="s">
        <v>2261</v>
      </c>
      <c r="G2063" s="526" t="s">
        <v>2555</v>
      </c>
      <c r="H2063" s="412" t="e">
        <v>#N/A</v>
      </c>
      <c r="I2063" s="411" t="e">
        <v>#N/A</v>
      </c>
      <c r="J2063" s="411" t="e">
        <v>#N/A</v>
      </c>
      <c r="K2063" s="411" t="e">
        <v>#N/A</v>
      </c>
      <c r="L2063" s="526" t="e">
        <v>#N/A</v>
      </c>
    </row>
    <row r="2064" spans="1:12" ht="15" x14ac:dyDescent="0.25">
      <c r="A2064">
        <v>461952</v>
      </c>
      <c r="B2064" t="str">
        <f t="shared" si="88"/>
        <v>SEVROLL SPOD.VED. DOUBLER II 2,35M oliva new</v>
      </c>
      <c r="C2064" s="198" t="e">
        <f t="shared" si="89"/>
        <v>#N/A</v>
      </c>
      <c r="D2064" s="526" t="s">
        <v>1644</v>
      </c>
      <c r="E2064" s="526" t="s">
        <v>2071</v>
      </c>
      <c r="F2064" s="526" t="s">
        <v>2262</v>
      </c>
      <c r="G2064" s="526" t="s">
        <v>2556</v>
      </c>
      <c r="H2064" s="412" t="e">
        <v>#N/A</v>
      </c>
      <c r="I2064" s="411" t="e">
        <v>#N/A</v>
      </c>
      <c r="J2064" s="411" t="e">
        <v>#N/A</v>
      </c>
      <c r="K2064" s="411" t="e">
        <v>#N/A</v>
      </c>
      <c r="L2064" s="526" t="e">
        <v>#N/A</v>
      </c>
    </row>
    <row r="2065" spans="1:12" ht="15" x14ac:dyDescent="0.25">
      <c r="A2065">
        <v>461953</v>
      </c>
      <c r="B2065" t="str">
        <f t="shared" si="88"/>
        <v>SEVROLL SPOD.VED. DOUBLER II 3M oliva new</v>
      </c>
      <c r="C2065" s="198" t="e">
        <f t="shared" si="89"/>
        <v>#N/A</v>
      </c>
      <c r="D2065" s="526" t="s">
        <v>1645</v>
      </c>
      <c r="E2065" s="526" t="s">
        <v>2072</v>
      </c>
      <c r="F2065" s="526" t="s">
        <v>2263</v>
      </c>
      <c r="G2065" s="526" t="s">
        <v>2557</v>
      </c>
      <c r="H2065" s="412" t="e">
        <v>#N/A</v>
      </c>
      <c r="I2065" s="411" t="e">
        <v>#N/A</v>
      </c>
      <c r="J2065" s="411" t="e">
        <v>#N/A</v>
      </c>
      <c r="K2065" s="411" t="e">
        <v>#N/A</v>
      </c>
      <c r="L2065" s="526" t="e">
        <v>#N/A</v>
      </c>
    </row>
    <row r="2066" spans="1:12" ht="15" x14ac:dyDescent="0.25">
      <c r="A2066">
        <v>461954</v>
      </c>
      <c r="B2066" t="str">
        <f t="shared" si="88"/>
        <v>SEVROLL SPOD.VED. DOUBLER II 4,05M oliva new</v>
      </c>
      <c r="C2066" s="198" t="e">
        <f t="shared" si="89"/>
        <v>#N/A</v>
      </c>
      <c r="D2066" s="526" t="s">
        <v>1646</v>
      </c>
      <c r="E2066" s="526" t="s">
        <v>2073</v>
      </c>
      <c r="F2066" s="526" t="s">
        <v>2264</v>
      </c>
      <c r="G2066" s="526" t="s">
        <v>2558</v>
      </c>
      <c r="H2066" s="412" t="e">
        <v>#N/A</v>
      </c>
      <c r="I2066" s="411" t="e">
        <v>#N/A</v>
      </c>
      <c r="J2066" s="411" t="e">
        <v>#N/A</v>
      </c>
      <c r="K2066" s="411" t="e">
        <v>#N/A</v>
      </c>
      <c r="L2066" s="526" t="e">
        <v>#N/A</v>
      </c>
    </row>
    <row r="2067" spans="1:12" ht="15" x14ac:dyDescent="0.25">
      <c r="A2067">
        <v>461955</v>
      </c>
      <c r="B2067" t="str">
        <f t="shared" si="88"/>
        <v>SEVROLL SPOD.VED. DOUBLER II 6M oliva new</v>
      </c>
      <c r="C2067" s="198" t="e">
        <f t="shared" si="89"/>
        <v>#N/A</v>
      </c>
      <c r="D2067" s="526" t="s">
        <v>1647</v>
      </c>
      <c r="E2067" s="526" t="s">
        <v>2074</v>
      </c>
      <c r="F2067" s="526" t="s">
        <v>2265</v>
      </c>
      <c r="G2067" s="526" t="s">
        <v>2559</v>
      </c>
      <c r="H2067" s="412" t="e">
        <v>#N/A</v>
      </c>
      <c r="I2067" s="411" t="e">
        <v>#N/A</v>
      </c>
      <c r="J2067" s="411" t="e">
        <v>#N/A</v>
      </c>
      <c r="K2067" s="411" t="e">
        <v>#N/A</v>
      </c>
      <c r="L2067" s="526" t="e">
        <v>#N/A</v>
      </c>
    </row>
    <row r="2068" spans="1:12" ht="15" x14ac:dyDescent="0.25">
      <c r="A2068">
        <v>461956</v>
      </c>
      <c r="B2068" t="str">
        <f t="shared" si="88"/>
        <v>SEVROLL MASKA DOUBLER II 1,7 M oliva new</v>
      </c>
      <c r="C2068" s="198" t="e">
        <f t="shared" si="89"/>
        <v>#N/A</v>
      </c>
      <c r="D2068" s="526" t="s">
        <v>1648</v>
      </c>
      <c r="E2068" s="526" t="s">
        <v>2075</v>
      </c>
      <c r="F2068" s="526" t="s">
        <v>2266</v>
      </c>
      <c r="G2068" s="526" t="s">
        <v>2560</v>
      </c>
      <c r="H2068" s="412" t="e">
        <v>#N/A</v>
      </c>
      <c r="I2068" s="411" t="e">
        <v>#N/A</v>
      </c>
      <c r="J2068" s="411" t="e">
        <v>#N/A</v>
      </c>
      <c r="K2068" s="411" t="e">
        <v>#N/A</v>
      </c>
      <c r="L2068" s="526" t="e">
        <v>#N/A</v>
      </c>
    </row>
    <row r="2069" spans="1:12" ht="15" x14ac:dyDescent="0.25">
      <c r="A2069">
        <v>461957</v>
      </c>
      <c r="B2069" t="str">
        <f t="shared" si="88"/>
        <v>SEVROLL MASKA DOUBLER II 2,35 M oliva new</v>
      </c>
      <c r="C2069" s="198" t="e">
        <f t="shared" si="89"/>
        <v>#N/A</v>
      </c>
      <c r="D2069" s="526" t="s">
        <v>1649</v>
      </c>
      <c r="E2069" s="526" t="s">
        <v>2076</v>
      </c>
      <c r="F2069" s="526" t="s">
        <v>2267</v>
      </c>
      <c r="G2069" s="526" t="s">
        <v>2561</v>
      </c>
      <c r="H2069" s="412" t="e">
        <v>#N/A</v>
      </c>
      <c r="I2069" s="411" t="e">
        <v>#N/A</v>
      </c>
      <c r="J2069" s="411" t="e">
        <v>#N/A</v>
      </c>
      <c r="K2069" s="411" t="e">
        <v>#N/A</v>
      </c>
      <c r="L2069" s="526" t="e">
        <v>#N/A</v>
      </c>
    </row>
    <row r="2070" spans="1:12" ht="15" x14ac:dyDescent="0.25">
      <c r="A2070">
        <v>461958</v>
      </c>
      <c r="B2070" t="str">
        <f t="shared" si="88"/>
        <v>SEVROLL MASKA DOUBLER II 3 M oliva new</v>
      </c>
      <c r="C2070" s="198" t="e">
        <f t="shared" si="89"/>
        <v>#N/A</v>
      </c>
      <c r="D2070" s="526" t="s">
        <v>1650</v>
      </c>
      <c r="E2070" s="526" t="s">
        <v>2077</v>
      </c>
      <c r="F2070" s="526" t="s">
        <v>2268</v>
      </c>
      <c r="G2070" s="526" t="s">
        <v>2562</v>
      </c>
      <c r="H2070" s="412" t="e">
        <v>#N/A</v>
      </c>
      <c r="I2070" s="411" t="e">
        <v>#N/A</v>
      </c>
      <c r="J2070" s="411" t="e">
        <v>#N/A</v>
      </c>
      <c r="K2070" s="411" t="e">
        <v>#N/A</v>
      </c>
      <c r="L2070" s="526" t="e">
        <v>#N/A</v>
      </c>
    </row>
    <row r="2071" spans="1:12" ht="15" x14ac:dyDescent="0.25">
      <c r="A2071">
        <v>461959</v>
      </c>
      <c r="B2071" t="str">
        <f t="shared" si="88"/>
        <v>SEVROLL MASKA DOUBLER II 4,05 M oliva new</v>
      </c>
      <c r="C2071" s="198" t="e">
        <f t="shared" si="89"/>
        <v>#N/A</v>
      </c>
      <c r="D2071" s="526" t="s">
        <v>1651</v>
      </c>
      <c r="E2071" s="526" t="s">
        <v>2078</v>
      </c>
      <c r="F2071" s="526" t="s">
        <v>2269</v>
      </c>
      <c r="G2071" s="526" t="s">
        <v>2563</v>
      </c>
      <c r="H2071" s="412" t="e">
        <v>#N/A</v>
      </c>
      <c r="I2071" s="411" t="e">
        <v>#N/A</v>
      </c>
      <c r="J2071" s="411" t="e">
        <v>#N/A</v>
      </c>
      <c r="K2071" s="411" t="e">
        <v>#N/A</v>
      </c>
      <c r="L2071" s="526" t="e">
        <v>#N/A</v>
      </c>
    </row>
    <row r="2072" spans="1:12" ht="15" x14ac:dyDescent="0.25">
      <c r="A2072">
        <v>461960</v>
      </c>
      <c r="B2072" t="str">
        <f t="shared" si="88"/>
        <v>SEVROLL MASKA DOUBLER II 6 M oliva new</v>
      </c>
      <c r="C2072" s="198" t="e">
        <f t="shared" si="89"/>
        <v>#N/A</v>
      </c>
      <c r="D2072" s="526" t="s">
        <v>1652</v>
      </c>
      <c r="E2072" s="526" t="s">
        <v>2079</v>
      </c>
      <c r="F2072" s="526" t="s">
        <v>2270</v>
      </c>
      <c r="G2072" s="526" t="s">
        <v>2564</v>
      </c>
      <c r="H2072" s="412" t="e">
        <v>#N/A</v>
      </c>
      <c r="I2072" s="411" t="e">
        <v>#N/A</v>
      </c>
      <c r="J2072" s="411" t="e">
        <v>#N/A</v>
      </c>
      <c r="K2072" s="411" t="e">
        <v>#N/A</v>
      </c>
      <c r="L2072" s="526" t="e">
        <v>#N/A</v>
      </c>
    </row>
    <row r="2073" spans="1:12" ht="15" x14ac:dyDescent="0.25">
      <c r="A2073">
        <v>461961</v>
      </c>
      <c r="B2073" t="str">
        <f t="shared" si="88"/>
        <v>SEVROLL Future II úchytová lišta 3,5m oliva new</v>
      </c>
      <c r="C2073" s="198" t="e">
        <f t="shared" si="89"/>
        <v>#N/A</v>
      </c>
      <c r="D2073" s="526" t="s">
        <v>1653</v>
      </c>
      <c r="E2073" s="526" t="s">
        <v>2080</v>
      </c>
      <c r="F2073" s="526" t="s">
        <v>2271</v>
      </c>
      <c r="G2073" s="526" t="s">
        <v>2565</v>
      </c>
      <c r="H2073" s="412" t="e">
        <v>#N/A</v>
      </c>
      <c r="I2073" s="411" t="e">
        <v>#N/A</v>
      </c>
      <c r="J2073" s="411" t="e">
        <v>#N/A</v>
      </c>
      <c r="K2073" s="411" t="e">
        <v>#N/A</v>
      </c>
      <c r="L2073" s="526" t="e">
        <v>#N/A</v>
      </c>
    </row>
    <row r="2074" spans="1:12" ht="15" x14ac:dyDescent="0.25">
      <c r="A2074">
        <v>461962</v>
      </c>
      <c r="B2074" t="str">
        <f t="shared" si="88"/>
        <v>SEVROLL Future II úchytová lišta 2,7m oliva new</v>
      </c>
      <c r="C2074" s="198" t="e">
        <f t="shared" si="89"/>
        <v>#N/A</v>
      </c>
      <c r="D2074" s="526" t="s">
        <v>1654</v>
      </c>
      <c r="E2074" s="526" t="s">
        <v>2081</v>
      </c>
      <c r="F2074" s="526" t="s">
        <v>2272</v>
      </c>
      <c r="G2074" s="526" t="s">
        <v>2566</v>
      </c>
      <c r="H2074" s="412" t="e">
        <v>#N/A</v>
      </c>
      <c r="I2074" s="411" t="e">
        <v>#N/A</v>
      </c>
      <c r="J2074" s="411" t="e">
        <v>#N/A</v>
      </c>
      <c r="K2074" s="411" t="e">
        <v>#N/A</v>
      </c>
      <c r="L2074" s="526" t="e">
        <v>#N/A</v>
      </c>
    </row>
    <row r="2075" spans="1:12" ht="15" x14ac:dyDescent="0.25">
      <c r="A2075">
        <v>461963</v>
      </c>
      <c r="B2075" t="str">
        <f t="shared" si="88"/>
        <v>SEVROLL FIRST HOR/SPOD VED. 3 M oliva new</v>
      </c>
      <c r="C2075" s="198" t="e">
        <f t="shared" si="89"/>
        <v>#N/A</v>
      </c>
      <c r="D2075" s="526" t="s">
        <v>1655</v>
      </c>
      <c r="E2075" s="526" t="s">
        <v>2082</v>
      </c>
      <c r="F2075" s="526" t="s">
        <v>2273</v>
      </c>
      <c r="G2075" s="526" t="s">
        <v>2567</v>
      </c>
      <c r="H2075" s="412" t="e">
        <v>#N/A</v>
      </c>
      <c r="I2075" s="411" t="e">
        <v>#N/A</v>
      </c>
      <c r="J2075" s="411" t="e">
        <v>#N/A</v>
      </c>
      <c r="K2075" s="411" t="e">
        <v>#N/A</v>
      </c>
      <c r="L2075" s="526" t="e">
        <v>#N/A</v>
      </c>
    </row>
    <row r="2076" spans="1:12" ht="15" x14ac:dyDescent="0.25">
      <c r="A2076">
        <v>461964</v>
      </c>
      <c r="B2076" t="str">
        <f t="shared" si="88"/>
        <v>SEVROLL Micra horné/spodné vedenie 1,7m oliva new</v>
      </c>
      <c r="C2076" s="198" t="e">
        <f t="shared" si="89"/>
        <v>#N/A</v>
      </c>
      <c r="D2076" s="526" t="s">
        <v>1656</v>
      </c>
      <c r="E2076" s="526" t="s">
        <v>2083</v>
      </c>
      <c r="F2076" s="526" t="s">
        <v>2274</v>
      </c>
      <c r="G2076" s="526" t="s">
        <v>2568</v>
      </c>
      <c r="H2076" s="412" t="e">
        <v>#N/A</v>
      </c>
      <c r="I2076" s="411" t="e">
        <v>#N/A</v>
      </c>
      <c r="J2076" s="411" t="e">
        <v>#N/A</v>
      </c>
      <c r="K2076" s="411" t="e">
        <v>#N/A</v>
      </c>
      <c r="L2076" s="526" t="e">
        <v>#N/A</v>
      </c>
    </row>
    <row r="2077" spans="1:12" ht="15" x14ac:dyDescent="0.25">
      <c r="A2077">
        <v>461965</v>
      </c>
      <c r="B2077" t="str">
        <f t="shared" si="88"/>
        <v>SEVROLL Micra horné/spodné vedenie 2,35m oliva new</v>
      </c>
      <c r="C2077" s="198" t="e">
        <f t="shared" si="89"/>
        <v>#N/A</v>
      </c>
      <c r="D2077" s="526" t="s">
        <v>1657</v>
      </c>
      <c r="E2077" s="526" t="s">
        <v>2084</v>
      </c>
      <c r="F2077" s="526" t="s">
        <v>2275</v>
      </c>
      <c r="G2077" s="526" t="s">
        <v>2569</v>
      </c>
      <c r="H2077" s="412" t="e">
        <v>#N/A</v>
      </c>
      <c r="I2077" s="411" t="e">
        <v>#N/A</v>
      </c>
      <c r="J2077" s="411" t="e">
        <v>#N/A</v>
      </c>
      <c r="K2077" s="411" t="e">
        <v>#N/A</v>
      </c>
      <c r="L2077" s="526" t="e">
        <v>#N/A</v>
      </c>
    </row>
    <row r="2078" spans="1:12" ht="15" x14ac:dyDescent="0.25">
      <c r="A2078">
        <v>461966</v>
      </c>
      <c r="B2078" t="str">
        <f t="shared" si="88"/>
        <v>SEVROLL Top horné vedenie jednoduché 3m oliva new</v>
      </c>
      <c r="C2078" s="198" t="e">
        <f t="shared" si="89"/>
        <v>#N/A</v>
      </c>
      <c r="D2078" s="526" t="s">
        <v>1658</v>
      </c>
      <c r="E2078" s="526" t="s">
        <v>2085</v>
      </c>
      <c r="F2078" s="526" t="s">
        <v>2276</v>
      </c>
      <c r="G2078" s="526" t="s">
        <v>2570</v>
      </c>
      <c r="H2078" s="412" t="e">
        <v>#N/A</v>
      </c>
      <c r="I2078" s="411" t="e">
        <v>#N/A</v>
      </c>
      <c r="J2078" s="411" t="e">
        <v>#N/A</v>
      </c>
      <c r="K2078" s="411" t="e">
        <v>#N/A</v>
      </c>
      <c r="L2078" s="526" t="e">
        <v>#N/A</v>
      </c>
    </row>
    <row r="2079" spans="1:12" ht="15" x14ac:dyDescent="0.25">
      <c r="A2079">
        <v>461967</v>
      </c>
      <c r="B2079" t="str">
        <f t="shared" si="88"/>
        <v>SEVROLL Top horné vedenie jednoduché 6m oliva new</v>
      </c>
      <c r="C2079" s="198" t="e">
        <f t="shared" si="89"/>
        <v>#N/A</v>
      </c>
      <c r="D2079" s="526" t="s">
        <v>1659</v>
      </c>
      <c r="E2079" s="526" t="s">
        <v>2086</v>
      </c>
      <c r="F2079" s="526" t="s">
        <v>2277</v>
      </c>
      <c r="G2079" s="526" t="s">
        <v>2571</v>
      </c>
      <c r="H2079" s="412" t="e">
        <v>#N/A</v>
      </c>
      <c r="I2079" s="411" t="e">
        <v>#N/A</v>
      </c>
      <c r="J2079" s="411" t="e">
        <v>#N/A</v>
      </c>
      <c r="K2079" s="411" t="e">
        <v>#N/A</v>
      </c>
      <c r="L2079" s="526" t="e">
        <v>#N/A</v>
      </c>
    </row>
    <row r="2080" spans="1:12" ht="15" x14ac:dyDescent="0.25">
      <c r="A2080">
        <v>461968</v>
      </c>
      <c r="B2080" t="str">
        <f t="shared" si="88"/>
        <v>SEVROLL Star úchytová lišta 2,7m oliva new</v>
      </c>
      <c r="C2080" s="198" t="e">
        <f t="shared" si="89"/>
        <v>#N/A</v>
      </c>
      <c r="D2080" s="526" t="s">
        <v>1660</v>
      </c>
      <c r="E2080" s="526" t="s">
        <v>2087</v>
      </c>
      <c r="F2080" s="526" t="s">
        <v>2278</v>
      </c>
      <c r="G2080" s="526" t="s">
        <v>2572</v>
      </c>
      <c r="H2080" s="412" t="e">
        <v>#N/A</v>
      </c>
      <c r="I2080" s="411" t="e">
        <v>#N/A</v>
      </c>
      <c r="J2080" s="411" t="e">
        <v>#N/A</v>
      </c>
      <c r="K2080" s="411" t="e">
        <v>#N/A</v>
      </c>
      <c r="L2080" s="526" t="e">
        <v>#N/A</v>
      </c>
    </row>
    <row r="2081" spans="1:12" ht="15" x14ac:dyDescent="0.25">
      <c r="A2081">
        <v>461969</v>
      </c>
      <c r="B2081" t="str">
        <f t="shared" si="88"/>
        <v>SEVROLL Beta 18 úchytová lišta 2,70m oliva new</v>
      </c>
      <c r="C2081" s="198" t="e">
        <f t="shared" si="89"/>
        <v>#N/A</v>
      </c>
      <c r="D2081" s="526" t="s">
        <v>1661</v>
      </c>
      <c r="E2081" s="526" t="s">
        <v>2088</v>
      </c>
      <c r="F2081" s="526" t="s">
        <v>2279</v>
      </c>
      <c r="G2081" s="526" t="s">
        <v>2573</v>
      </c>
      <c r="H2081" s="412" t="e">
        <v>#N/A</v>
      </c>
      <c r="I2081" s="411" t="e">
        <v>#N/A</v>
      </c>
      <c r="J2081" s="411" t="e">
        <v>#N/A</v>
      </c>
      <c r="K2081" s="411" t="e">
        <v>#N/A</v>
      </c>
      <c r="L2081" s="526" t="e">
        <v>#N/A</v>
      </c>
    </row>
    <row r="2082" spans="1:12" ht="15" x14ac:dyDescent="0.25">
      <c r="A2082">
        <v>461970</v>
      </c>
      <c r="B2082" t="str">
        <f t="shared" si="88"/>
        <v>SEVROLL Comfort spodné vedenie 1,7m oliva new</v>
      </c>
      <c r="C2082" s="198" t="e">
        <f t="shared" si="89"/>
        <v>#N/A</v>
      </c>
      <c r="D2082" s="526" t="s">
        <v>1662</v>
      </c>
      <c r="E2082" s="526" t="s">
        <v>2089</v>
      </c>
      <c r="F2082" s="526" t="s">
        <v>2280</v>
      </c>
      <c r="G2082" s="526" t="s">
        <v>2574</v>
      </c>
      <c r="H2082" s="412" t="e">
        <v>#N/A</v>
      </c>
      <c r="I2082" s="411" t="e">
        <v>#N/A</v>
      </c>
      <c r="J2082" s="411" t="e">
        <v>#N/A</v>
      </c>
      <c r="K2082" s="411" t="e">
        <v>#N/A</v>
      </c>
      <c r="L2082" s="526" t="e">
        <v>#N/A</v>
      </c>
    </row>
    <row r="2083" spans="1:12" ht="15" x14ac:dyDescent="0.25">
      <c r="A2083">
        <v>461971</v>
      </c>
      <c r="B2083" t="str">
        <f t="shared" si="88"/>
        <v>SEVROLL Comfort spodné vedenie 3m oliva new</v>
      </c>
      <c r="C2083" s="198" t="e">
        <f t="shared" si="89"/>
        <v>#N/A</v>
      </c>
      <c r="D2083" s="526" t="s">
        <v>1663</v>
      </c>
      <c r="E2083" s="526" t="s">
        <v>2090</v>
      </c>
      <c r="F2083" s="526" t="s">
        <v>2281</v>
      </c>
      <c r="G2083" s="526" t="s">
        <v>2575</v>
      </c>
      <c r="H2083" s="412" t="e">
        <v>#N/A</v>
      </c>
      <c r="I2083" s="411" t="e">
        <v>#N/A</v>
      </c>
      <c r="J2083" s="411" t="e">
        <v>#N/A</v>
      </c>
      <c r="K2083" s="411" t="e">
        <v>#N/A</v>
      </c>
      <c r="L2083" s="526" t="e">
        <v>#N/A</v>
      </c>
    </row>
    <row r="2084" spans="1:12" ht="15" x14ac:dyDescent="0.25">
      <c r="A2084">
        <v>461972</v>
      </c>
      <c r="B2084" t="str">
        <f t="shared" si="88"/>
        <v>SEVROLL 04529-A Alfa II úchytová lišta 18mm 2,70m oliva new</v>
      </c>
      <c r="C2084" s="198" t="e">
        <f t="shared" si="89"/>
        <v>#N/A</v>
      </c>
      <c r="D2084" s="526" t="s">
        <v>1664</v>
      </c>
      <c r="E2084" s="526" t="s">
        <v>2091</v>
      </c>
      <c r="F2084" s="526" t="s">
        <v>1664</v>
      </c>
      <c r="G2084" s="526" t="s">
        <v>2576</v>
      </c>
      <c r="H2084" s="412" t="e">
        <v>#N/A</v>
      </c>
      <c r="I2084" s="411" t="e">
        <v>#N/A</v>
      </c>
      <c r="J2084" s="411" t="e">
        <v>#N/A</v>
      </c>
      <c r="K2084" s="411" t="e">
        <v>#N/A</v>
      </c>
      <c r="L2084" s="526" t="e">
        <v>#N/A</v>
      </c>
    </row>
    <row r="2085" spans="1:12" ht="15" x14ac:dyDescent="0.25">
      <c r="A2085">
        <v>461973</v>
      </c>
      <c r="B2085" t="str">
        <f t="shared" si="88"/>
        <v>SEVROLL karat úchytová lišta 2,7m oliva new</v>
      </c>
      <c r="C2085" s="198" t="e">
        <f t="shared" si="89"/>
        <v>#N/A</v>
      </c>
      <c r="D2085" s="526" t="s">
        <v>1665</v>
      </c>
      <c r="E2085" s="526" t="s">
        <v>2092</v>
      </c>
      <c r="F2085" s="526" t="s">
        <v>2282</v>
      </c>
      <c r="G2085" s="526" t="s">
        <v>2577</v>
      </c>
      <c r="H2085" s="412" t="e">
        <v>#N/A</v>
      </c>
      <c r="I2085" s="411" t="e">
        <v>#N/A</v>
      </c>
      <c r="J2085" s="411" t="e">
        <v>#N/A</v>
      </c>
      <c r="K2085" s="411" t="e">
        <v>#N/A</v>
      </c>
      <c r="L2085" s="526" t="e">
        <v>#N/A</v>
      </c>
    </row>
    <row r="2086" spans="1:12" ht="15" x14ac:dyDescent="0.25">
      <c r="A2086">
        <v>461974</v>
      </c>
      <c r="B2086" t="str">
        <f t="shared" si="88"/>
        <v>SEVROLL spojovacia lišta H10 Decor 3m oliva new</v>
      </c>
      <c r="C2086" s="198" t="e">
        <f t="shared" si="89"/>
        <v>#N/A</v>
      </c>
      <c r="D2086" s="526" t="s">
        <v>1666</v>
      </c>
      <c r="E2086" s="526" t="s">
        <v>2093</v>
      </c>
      <c r="F2086" s="526" t="s">
        <v>2283</v>
      </c>
      <c r="G2086" s="526" t="s">
        <v>2578</v>
      </c>
      <c r="H2086" s="412" t="e">
        <v>#N/A</v>
      </c>
      <c r="I2086" s="411" t="e">
        <v>#N/A</v>
      </c>
      <c r="J2086" s="411" t="e">
        <v>#N/A</v>
      </c>
      <c r="K2086" s="411" t="e">
        <v>#N/A</v>
      </c>
      <c r="L2086" s="526" t="e">
        <v>#N/A</v>
      </c>
    </row>
    <row r="2087" spans="1:12" ht="15" x14ac:dyDescent="0.25">
      <c r="A2087">
        <v>461975</v>
      </c>
      <c r="B2087" t="str">
        <f t="shared" si="88"/>
        <v>SEVROLL Comfort horné vedenie 6m oliva new</v>
      </c>
      <c r="C2087" s="198" t="e">
        <f t="shared" si="89"/>
        <v>#N/A</v>
      </c>
      <c r="D2087" s="526" t="s">
        <v>1667</v>
      </c>
      <c r="E2087" s="526" t="s">
        <v>2094</v>
      </c>
      <c r="F2087" s="526" t="s">
        <v>2284</v>
      </c>
      <c r="G2087" s="526" t="s">
        <v>2579</v>
      </c>
      <c r="H2087" s="412" t="e">
        <v>#N/A</v>
      </c>
      <c r="I2087" s="411" t="e">
        <v>#N/A</v>
      </c>
      <c r="J2087" s="411" t="e">
        <v>#N/A</v>
      </c>
      <c r="K2087" s="411" t="e">
        <v>#N/A</v>
      </c>
      <c r="L2087" s="526" t="e">
        <v>#N/A</v>
      </c>
    </row>
    <row r="2088" spans="1:12" ht="15" x14ac:dyDescent="0.25">
      <c r="A2088">
        <v>461976</v>
      </c>
      <c r="B2088" t="str">
        <f t="shared" si="88"/>
        <v>SEVROLL spojovacia lišta H16 3m oliva new</v>
      </c>
      <c r="C2088" s="198" t="e">
        <f t="shared" si="89"/>
        <v>#N/A</v>
      </c>
      <c r="D2088" s="526" t="s">
        <v>1668</v>
      </c>
      <c r="E2088" s="526" t="s">
        <v>2095</v>
      </c>
      <c r="F2088" s="526" t="s">
        <v>2285</v>
      </c>
      <c r="G2088" s="526" t="s">
        <v>2580</v>
      </c>
      <c r="H2088" s="412" t="e">
        <v>#N/A</v>
      </c>
      <c r="I2088" s="411" t="e">
        <v>#N/A</v>
      </c>
      <c r="J2088" s="411" t="e">
        <v>#N/A</v>
      </c>
      <c r="K2088" s="411" t="e">
        <v>#N/A</v>
      </c>
      <c r="L2088" s="526" t="e">
        <v>#N/A</v>
      </c>
    </row>
    <row r="2089" spans="1:12" ht="15" x14ac:dyDescent="0.25">
      <c r="A2089">
        <v>461977</v>
      </c>
      <c r="B2089" t="str">
        <f t="shared" si="88"/>
        <v>SEVROLL spojovacia lišta H08/16 3m oliva new</v>
      </c>
      <c r="C2089" s="198" t="e">
        <f t="shared" si="89"/>
        <v>#N/A</v>
      </c>
      <c r="D2089" s="526" t="s">
        <v>1669</v>
      </c>
      <c r="E2089" s="526" t="s">
        <v>2096</v>
      </c>
      <c r="F2089" s="526" t="s">
        <v>2286</v>
      </c>
      <c r="G2089" s="526" t="s">
        <v>2581</v>
      </c>
      <c r="H2089" s="412" t="e">
        <v>#N/A</v>
      </c>
      <c r="I2089" s="411" t="e">
        <v>#N/A</v>
      </c>
      <c r="J2089" s="411" t="e">
        <v>#N/A</v>
      </c>
      <c r="K2089" s="411" t="e">
        <v>#N/A</v>
      </c>
      <c r="L2089" s="526" t="e">
        <v>#N/A</v>
      </c>
    </row>
    <row r="2090" spans="1:12" ht="15" x14ac:dyDescent="0.25">
      <c r="A2090">
        <v>461978</v>
      </c>
      <c r="B2090" t="str">
        <f t="shared" si="88"/>
        <v>SEVROLL Maxim horné vedenie 4,3m oliva new</v>
      </c>
      <c r="C2090" s="198" t="e">
        <f t="shared" si="89"/>
        <v>#N/A</v>
      </c>
      <c r="D2090" s="526" t="s">
        <v>1670</v>
      </c>
      <c r="E2090" s="526" t="s">
        <v>2097</v>
      </c>
      <c r="F2090" s="526" t="s">
        <v>2287</v>
      </c>
      <c r="G2090" s="526" t="s">
        <v>2582</v>
      </c>
      <c r="H2090" s="412" t="e">
        <v>#N/A</v>
      </c>
      <c r="I2090" s="411" t="e">
        <v>#N/A</v>
      </c>
      <c r="J2090" s="411" t="e">
        <v>#N/A</v>
      </c>
      <c r="K2090" s="411" t="e">
        <v>#N/A</v>
      </c>
      <c r="L2090" s="526" t="e">
        <v>#N/A</v>
      </c>
    </row>
    <row r="2091" spans="1:12" ht="15" x14ac:dyDescent="0.25">
      <c r="A2091">
        <v>461979</v>
      </c>
      <c r="B2091" t="str">
        <f t="shared" si="88"/>
        <v>SEVROLL Maxim vodiaca lišta 4,3m oliva new</v>
      </c>
      <c r="C2091" s="198" t="e">
        <f t="shared" si="89"/>
        <v>#N/A</v>
      </c>
      <c r="D2091" s="526" t="s">
        <v>1671</v>
      </c>
      <c r="E2091" s="526" t="s">
        <v>2098</v>
      </c>
      <c r="F2091" s="526" t="s">
        <v>2288</v>
      </c>
      <c r="G2091" s="526" t="s">
        <v>2583</v>
      </c>
      <c r="H2091" s="412" t="e">
        <v>#N/A</v>
      </c>
      <c r="I2091" s="411" t="e">
        <v>#N/A</v>
      </c>
      <c r="J2091" s="411" t="e">
        <v>#N/A</v>
      </c>
      <c r="K2091" s="411" t="e">
        <v>#N/A</v>
      </c>
      <c r="L2091" s="526" t="e">
        <v>#N/A</v>
      </c>
    </row>
    <row r="2092" spans="1:12" ht="15" x14ac:dyDescent="0.25">
      <c r="A2092">
        <v>461980</v>
      </c>
      <c r="B2092" t="str">
        <f t="shared" si="88"/>
        <v>SEVROLL Oaza II úch. Lišta 2,7m oliva new</v>
      </c>
      <c r="C2092" s="198" t="e">
        <f t="shared" si="89"/>
        <v>#N/A</v>
      </c>
      <c r="D2092" s="526" t="s">
        <v>1672</v>
      </c>
      <c r="E2092" s="526" t="s">
        <v>2099</v>
      </c>
      <c r="F2092" s="526" t="s">
        <v>2289</v>
      </c>
      <c r="G2092" s="526" t="s">
        <v>2584</v>
      </c>
      <c r="H2092" s="412" t="e">
        <v>#N/A</v>
      </c>
      <c r="I2092" s="411" t="e">
        <v>#N/A</v>
      </c>
      <c r="J2092" s="411" t="e">
        <v>#N/A</v>
      </c>
      <c r="K2092" s="411" t="e">
        <v>#N/A</v>
      </c>
      <c r="L2092" s="526" t="e">
        <v>#N/A</v>
      </c>
    </row>
    <row r="2093" spans="1:12" ht="15" x14ac:dyDescent="0.25">
      <c r="A2093">
        <v>461981</v>
      </c>
      <c r="B2093" t="str">
        <f t="shared" si="88"/>
        <v>SEVROLL Maxim vodiaca lišta 2,5m oliva new</v>
      </c>
      <c r="C2093" s="198" t="e">
        <f t="shared" si="89"/>
        <v>#N/A</v>
      </c>
      <c r="D2093" s="526" t="s">
        <v>1673</v>
      </c>
      <c r="E2093" s="526" t="s">
        <v>2100</v>
      </c>
      <c r="F2093" s="526" t="s">
        <v>2290</v>
      </c>
      <c r="G2093" s="526" t="s">
        <v>2585</v>
      </c>
      <c r="H2093" s="412" t="e">
        <v>#N/A</v>
      </c>
      <c r="I2093" s="411" t="e">
        <v>#N/A</v>
      </c>
      <c r="J2093" s="411" t="e">
        <v>#N/A</v>
      </c>
      <c r="K2093" s="411" t="e">
        <v>#N/A</v>
      </c>
      <c r="L2093" s="526" t="e">
        <v>#N/A</v>
      </c>
    </row>
    <row r="2094" spans="1:12" ht="15" x14ac:dyDescent="0.25">
      <c r="A2094">
        <v>461982</v>
      </c>
      <c r="B2094" t="str">
        <f t="shared" si="88"/>
        <v>SEVROLL Fala úchytová lišta 10mm 2,70m oliva new</v>
      </c>
      <c r="C2094" s="198" t="e">
        <f t="shared" si="89"/>
        <v>#N/A</v>
      </c>
      <c r="D2094" s="526" t="s">
        <v>1674</v>
      </c>
      <c r="E2094" s="526" t="s">
        <v>2101</v>
      </c>
      <c r="F2094" s="526" t="s">
        <v>2291</v>
      </c>
      <c r="G2094" s="526" t="s">
        <v>6132</v>
      </c>
      <c r="H2094" s="412" t="e">
        <v>#N/A</v>
      </c>
      <c r="I2094" s="411" t="e">
        <v>#N/A</v>
      </c>
      <c r="J2094" s="411" t="e">
        <v>#N/A</v>
      </c>
      <c r="K2094" s="411" t="e">
        <v>#N/A</v>
      </c>
      <c r="L2094" s="526" t="e">
        <v>#N/A</v>
      </c>
    </row>
    <row r="2095" spans="1:12" ht="15" x14ac:dyDescent="0.25">
      <c r="A2095">
        <v>461983</v>
      </c>
      <c r="B2095" t="str">
        <f t="shared" si="88"/>
        <v>SEVROLL Polo úchytová lišta 10mm 2,7m oliva new</v>
      </c>
      <c r="C2095" s="198" t="e">
        <f t="shared" si="89"/>
        <v>#N/A</v>
      </c>
      <c r="D2095" s="526" t="s">
        <v>1675</v>
      </c>
      <c r="E2095" s="526" t="s">
        <v>2102</v>
      </c>
      <c r="F2095" s="526" t="s">
        <v>2292</v>
      </c>
      <c r="G2095" s="526" t="s">
        <v>6133</v>
      </c>
      <c r="H2095" s="412" t="e">
        <v>#N/A</v>
      </c>
      <c r="I2095" s="411" t="e">
        <v>#N/A</v>
      </c>
      <c r="J2095" s="411" t="e">
        <v>#N/A</v>
      </c>
      <c r="K2095" s="411" t="e">
        <v>#N/A</v>
      </c>
      <c r="L2095" s="526" t="e">
        <v>#N/A</v>
      </c>
    </row>
    <row r="2096" spans="1:12" ht="15" x14ac:dyDescent="0.25">
      <c r="A2096">
        <v>461984</v>
      </c>
      <c r="B2096" t="str">
        <f t="shared" si="88"/>
        <v>SEVROLL Simple horné vedenie 6m oliva new</v>
      </c>
      <c r="C2096" s="198" t="e">
        <f t="shared" si="89"/>
        <v>#N/A</v>
      </c>
      <c r="D2096" s="526" t="s">
        <v>1676</v>
      </c>
      <c r="E2096" s="526" t="s">
        <v>2103</v>
      </c>
      <c r="F2096" s="526" t="s">
        <v>2293</v>
      </c>
      <c r="G2096" s="526" t="s">
        <v>2586</v>
      </c>
      <c r="H2096" s="412" t="e">
        <v>#N/A</v>
      </c>
      <c r="I2096" s="411" t="e">
        <v>#N/A</v>
      </c>
      <c r="J2096" s="411" t="e">
        <v>#N/A</v>
      </c>
      <c r="K2096" s="411" t="e">
        <v>#N/A</v>
      </c>
      <c r="L2096" s="526" t="e">
        <v>#N/A</v>
      </c>
    </row>
    <row r="2097" spans="1:12" ht="15" x14ac:dyDescent="0.25">
      <c r="A2097">
        <v>461985</v>
      </c>
      <c r="B2097" t="str">
        <f t="shared" si="88"/>
        <v>SEVROLL Simple spodné vedenie 6m oliva new</v>
      </c>
      <c r="C2097" s="198" t="e">
        <f t="shared" si="89"/>
        <v>#N/A</v>
      </c>
      <c r="D2097" s="526" t="s">
        <v>1677</v>
      </c>
      <c r="E2097" s="526" t="s">
        <v>2104</v>
      </c>
      <c r="F2097" s="526" t="s">
        <v>2294</v>
      </c>
      <c r="G2097" s="526" t="s">
        <v>2587</v>
      </c>
      <c r="H2097" s="412" t="e">
        <v>#N/A</v>
      </c>
      <c r="I2097" s="411" t="e">
        <v>#N/A</v>
      </c>
      <c r="J2097" s="411" t="e">
        <v>#N/A</v>
      </c>
      <c r="K2097" s="411" t="e">
        <v>#N/A</v>
      </c>
      <c r="L2097" s="526" t="e">
        <v>#N/A</v>
      </c>
    </row>
    <row r="2098" spans="1:12" ht="15" x14ac:dyDescent="0.25">
      <c r="A2098">
        <v>461986</v>
      </c>
      <c r="B2098" t="str">
        <f t="shared" si="88"/>
        <v>SEVROLL 04444-M spojovacia lišta Simple/Blue H28 3m (pre lamino 18mm) oliva new</v>
      </c>
      <c r="C2098" s="198" t="e">
        <f t="shared" si="89"/>
        <v>#N/A</v>
      </c>
      <c r="D2098" s="526" t="s">
        <v>1678</v>
      </c>
      <c r="E2098" s="526" t="s">
        <v>2105</v>
      </c>
      <c r="F2098" s="526" t="s">
        <v>6134</v>
      </c>
      <c r="G2098" s="526" t="s">
        <v>2588</v>
      </c>
      <c r="H2098" s="412" t="e">
        <v>#N/A</v>
      </c>
      <c r="I2098" s="411" t="e">
        <v>#N/A</v>
      </c>
      <c r="J2098" s="411" t="e">
        <v>#N/A</v>
      </c>
      <c r="K2098" s="411" t="e">
        <v>#N/A</v>
      </c>
      <c r="L2098" s="526" t="e">
        <v>#N/A</v>
      </c>
    </row>
    <row r="2099" spans="1:12" ht="15" x14ac:dyDescent="0.25">
      <c r="A2099">
        <v>461987</v>
      </c>
      <c r="B2099" t="str">
        <f t="shared" si="88"/>
        <v>SEVROLL spodná krycia lišta Simple/Blue 3m (pre lamino 10mm) oliva new</v>
      </c>
      <c r="C2099" s="198" t="e">
        <f t="shared" si="89"/>
        <v>#N/A</v>
      </c>
      <c r="D2099" s="526" t="s">
        <v>1679</v>
      </c>
      <c r="E2099" s="526" t="s">
        <v>2106</v>
      </c>
      <c r="F2099" s="526" t="s">
        <v>2295</v>
      </c>
      <c r="G2099" s="526" t="s">
        <v>2589</v>
      </c>
      <c r="H2099" s="412" t="e">
        <v>#N/A</v>
      </c>
      <c r="I2099" s="411" t="e">
        <v>#N/A</v>
      </c>
      <c r="J2099" s="411" t="e">
        <v>#N/A</v>
      </c>
      <c r="K2099" s="411" t="e">
        <v>#N/A</v>
      </c>
      <c r="L2099" s="526" t="e">
        <v>#N/A</v>
      </c>
    </row>
    <row r="2100" spans="1:12" ht="15" x14ac:dyDescent="0.25">
      <c r="A2100">
        <v>461988</v>
      </c>
      <c r="B2100" t="str">
        <f t="shared" si="88"/>
        <v>SEVROLL Simple horné vedenie 1,5m oliva new</v>
      </c>
      <c r="C2100" s="198" t="e">
        <f t="shared" si="89"/>
        <v>#N/A</v>
      </c>
      <c r="D2100" s="526" t="s">
        <v>1680</v>
      </c>
      <c r="E2100" s="526" t="s">
        <v>2107</v>
      </c>
      <c r="F2100" s="526" t="s">
        <v>2296</v>
      </c>
      <c r="G2100" s="526" t="s">
        <v>2590</v>
      </c>
      <c r="H2100" s="412" t="e">
        <v>#N/A</v>
      </c>
      <c r="I2100" s="411" t="e">
        <v>#N/A</v>
      </c>
      <c r="J2100" s="411" t="e">
        <v>#N/A</v>
      </c>
      <c r="K2100" s="411" t="e">
        <v>#N/A</v>
      </c>
      <c r="L2100" s="526" t="e">
        <v>#N/A</v>
      </c>
    </row>
    <row r="2101" spans="1:12" ht="15" x14ac:dyDescent="0.25">
      <c r="A2101">
        <v>461989</v>
      </c>
      <c r="B2101" t="str">
        <f t="shared" si="88"/>
        <v>SEVROLL Simple horné vedenie 2m oliva new</v>
      </c>
      <c r="C2101" s="198" t="e">
        <f t="shared" si="89"/>
        <v>#N/A</v>
      </c>
      <c r="D2101" s="526" t="s">
        <v>1681</v>
      </c>
      <c r="E2101" s="526" t="s">
        <v>2108</v>
      </c>
      <c r="F2101" s="526" t="s">
        <v>2297</v>
      </c>
      <c r="G2101" s="526" t="s">
        <v>2591</v>
      </c>
      <c r="H2101" s="412" t="e">
        <v>#N/A</v>
      </c>
      <c r="I2101" s="411" t="e">
        <v>#N/A</v>
      </c>
      <c r="J2101" s="411" t="e">
        <v>#N/A</v>
      </c>
      <c r="K2101" s="411" t="e">
        <v>#N/A</v>
      </c>
      <c r="L2101" s="526" t="e">
        <v>#N/A</v>
      </c>
    </row>
    <row r="2102" spans="1:12" ht="15" x14ac:dyDescent="0.25">
      <c r="A2102">
        <v>461990</v>
      </c>
      <c r="B2102" t="str">
        <f t="shared" si="88"/>
        <v>SEVROLL Simple horné vedenie 2,5m oliva new</v>
      </c>
      <c r="C2102" s="198" t="e">
        <f t="shared" si="89"/>
        <v>#N/A</v>
      </c>
      <c r="D2102" s="526" t="s">
        <v>1682</v>
      </c>
      <c r="E2102" s="526" t="s">
        <v>2109</v>
      </c>
      <c r="F2102" s="526" t="s">
        <v>2298</v>
      </c>
      <c r="G2102" s="526" t="s">
        <v>2592</v>
      </c>
      <c r="H2102" s="412" t="e">
        <v>#N/A</v>
      </c>
      <c r="I2102" s="411" t="e">
        <v>#N/A</v>
      </c>
      <c r="J2102" s="411" t="e">
        <v>#N/A</v>
      </c>
      <c r="K2102" s="411" t="e">
        <v>#N/A</v>
      </c>
      <c r="L2102" s="526" t="e">
        <v>#N/A</v>
      </c>
    </row>
    <row r="2103" spans="1:12" ht="15" x14ac:dyDescent="0.25">
      <c r="A2103">
        <v>461991</v>
      </c>
      <c r="B2103" t="str">
        <f t="shared" si="88"/>
        <v>SEVROLL Simple horné vedenie 3m oliva new</v>
      </c>
      <c r="C2103" s="198" t="e">
        <f t="shared" si="89"/>
        <v>#N/A</v>
      </c>
      <c r="D2103" s="526" t="s">
        <v>1683</v>
      </c>
      <c r="E2103" s="526" t="s">
        <v>2110</v>
      </c>
      <c r="F2103" s="526" t="s">
        <v>2299</v>
      </c>
      <c r="G2103" s="526" t="s">
        <v>2593</v>
      </c>
      <c r="H2103" s="412" t="e">
        <v>#N/A</v>
      </c>
      <c r="I2103" s="411" t="e">
        <v>#N/A</v>
      </c>
      <c r="J2103" s="411" t="e">
        <v>#N/A</v>
      </c>
      <c r="K2103" s="411" t="e">
        <v>#N/A</v>
      </c>
      <c r="L2103" s="526" t="e">
        <v>#N/A</v>
      </c>
    </row>
    <row r="2104" spans="1:12" ht="15" x14ac:dyDescent="0.25">
      <c r="A2104">
        <v>461992</v>
      </c>
      <c r="B2104" t="str">
        <f t="shared" si="88"/>
        <v>SEVROLL Simple horné vedenie 4m oliva new</v>
      </c>
      <c r="C2104" s="198" t="e">
        <f t="shared" si="89"/>
        <v>#N/A</v>
      </c>
      <c r="D2104" s="526" t="s">
        <v>1684</v>
      </c>
      <c r="E2104" s="526" t="s">
        <v>2111</v>
      </c>
      <c r="F2104" s="526" t="s">
        <v>2300</v>
      </c>
      <c r="G2104" s="526" t="s">
        <v>2594</v>
      </c>
      <c r="H2104" s="412" t="e">
        <v>#N/A</v>
      </c>
      <c r="I2104" s="411" t="e">
        <v>#N/A</v>
      </c>
      <c r="J2104" s="411" t="e">
        <v>#N/A</v>
      </c>
      <c r="K2104" s="411" t="e">
        <v>#N/A</v>
      </c>
      <c r="L2104" s="526" t="e">
        <v>#N/A</v>
      </c>
    </row>
    <row r="2105" spans="1:12" ht="15" x14ac:dyDescent="0.25">
      <c r="A2105">
        <v>461993</v>
      </c>
      <c r="B2105" t="str">
        <f t="shared" si="88"/>
        <v>SEVROLL Simple spodné vedenie 1,5m oliva new</v>
      </c>
      <c r="C2105" s="198" t="e">
        <f t="shared" si="89"/>
        <v>#N/A</v>
      </c>
      <c r="D2105" s="526" t="s">
        <v>1685</v>
      </c>
      <c r="E2105" s="526" t="s">
        <v>2112</v>
      </c>
      <c r="F2105" s="526" t="s">
        <v>2301</v>
      </c>
      <c r="G2105" s="526" t="s">
        <v>2595</v>
      </c>
      <c r="H2105" s="412" t="e">
        <v>#N/A</v>
      </c>
      <c r="I2105" s="411" t="e">
        <v>#N/A</v>
      </c>
      <c r="J2105" s="411" t="e">
        <v>#N/A</v>
      </c>
      <c r="K2105" s="411" t="e">
        <v>#N/A</v>
      </c>
      <c r="L2105" s="526" t="e">
        <v>#N/A</v>
      </c>
    </row>
    <row r="2106" spans="1:12" ht="15" x14ac:dyDescent="0.25">
      <c r="A2106">
        <v>461994</v>
      </c>
      <c r="B2106" t="str">
        <f t="shared" si="88"/>
        <v>SEVROLL Simple spodné vedenie 2m oliva new</v>
      </c>
      <c r="C2106" s="198" t="e">
        <f t="shared" si="89"/>
        <v>#N/A</v>
      </c>
      <c r="D2106" s="526" t="s">
        <v>1686</v>
      </c>
      <c r="E2106" s="526" t="s">
        <v>2113</v>
      </c>
      <c r="F2106" s="526" t="s">
        <v>2302</v>
      </c>
      <c r="G2106" s="526" t="s">
        <v>2596</v>
      </c>
      <c r="H2106" s="412" t="e">
        <v>#N/A</v>
      </c>
      <c r="I2106" s="411" t="e">
        <v>#N/A</v>
      </c>
      <c r="J2106" s="411" t="e">
        <v>#N/A</v>
      </c>
      <c r="K2106" s="411" t="e">
        <v>#N/A</v>
      </c>
      <c r="L2106" s="526" t="e">
        <v>#N/A</v>
      </c>
    </row>
    <row r="2107" spans="1:12" ht="15" x14ac:dyDescent="0.25">
      <c r="A2107">
        <v>461995</v>
      </c>
      <c r="B2107" t="str">
        <f t="shared" si="88"/>
        <v>SEVROLL Simple spodné vedenie 2,5m oliva new</v>
      </c>
      <c r="C2107" s="198" t="e">
        <f t="shared" si="89"/>
        <v>#N/A</v>
      </c>
      <c r="D2107" s="526" t="s">
        <v>1687</v>
      </c>
      <c r="E2107" s="526" t="s">
        <v>2114</v>
      </c>
      <c r="F2107" s="526" t="s">
        <v>2303</v>
      </c>
      <c r="G2107" s="526" t="s">
        <v>2597</v>
      </c>
      <c r="H2107" s="412" t="e">
        <v>#N/A</v>
      </c>
      <c r="I2107" s="411" t="e">
        <v>#N/A</v>
      </c>
      <c r="J2107" s="411" t="e">
        <v>#N/A</v>
      </c>
      <c r="K2107" s="411" t="e">
        <v>#N/A</v>
      </c>
      <c r="L2107" s="526" t="e">
        <v>#N/A</v>
      </c>
    </row>
    <row r="2108" spans="1:12" ht="15" x14ac:dyDescent="0.25">
      <c r="A2108">
        <v>461996</v>
      </c>
      <c r="B2108" t="str">
        <f t="shared" si="88"/>
        <v>SEVROLL Simple spodné vedenie 3m oliva new</v>
      </c>
      <c r="C2108" s="198" t="e">
        <f t="shared" si="89"/>
        <v>#N/A</v>
      </c>
      <c r="D2108" s="526" t="s">
        <v>1688</v>
      </c>
      <c r="E2108" s="526" t="s">
        <v>2115</v>
      </c>
      <c r="F2108" s="526" t="s">
        <v>2304</v>
      </c>
      <c r="G2108" s="526" t="s">
        <v>2598</v>
      </c>
      <c r="H2108" s="412" t="e">
        <v>#N/A</v>
      </c>
      <c r="I2108" s="411" t="e">
        <v>#N/A</v>
      </c>
      <c r="J2108" s="411" t="e">
        <v>#N/A</v>
      </c>
      <c r="K2108" s="411" t="e">
        <v>#N/A</v>
      </c>
      <c r="L2108" s="526" t="e">
        <v>#N/A</v>
      </c>
    </row>
    <row r="2109" spans="1:12" ht="15" x14ac:dyDescent="0.25">
      <c r="A2109">
        <v>461997</v>
      </c>
      <c r="B2109" t="str">
        <f t="shared" si="88"/>
        <v>SEVROLL Simple spodné vedenie 4m oliva new</v>
      </c>
      <c r="C2109" s="198" t="e">
        <f t="shared" si="89"/>
        <v>#N/A</v>
      </c>
      <c r="D2109" s="526" t="s">
        <v>1689</v>
      </c>
      <c r="E2109" s="526" t="s">
        <v>2116</v>
      </c>
      <c r="F2109" s="526" t="s">
        <v>2305</v>
      </c>
      <c r="G2109" s="526" t="s">
        <v>2599</v>
      </c>
      <c r="H2109" s="412" t="e">
        <v>#N/A</v>
      </c>
      <c r="I2109" s="411" t="e">
        <v>#N/A</v>
      </c>
      <c r="J2109" s="411" t="e">
        <v>#N/A</v>
      </c>
      <c r="K2109" s="411" t="e">
        <v>#N/A</v>
      </c>
      <c r="L2109" s="526" t="e">
        <v>#N/A</v>
      </c>
    </row>
    <row r="2110" spans="1:12" ht="15" x14ac:dyDescent="0.25">
      <c r="A2110">
        <v>461998</v>
      </c>
      <c r="B2110" t="str">
        <f t="shared" si="88"/>
        <v>SEVROLL 04456-M horná vodiaca lišta Simple/Blue 1,5m (pre lamino 18mm) oliva new</v>
      </c>
      <c r="C2110" s="198" t="e">
        <f t="shared" si="89"/>
        <v>#N/A</v>
      </c>
      <c r="D2110" s="526" t="s">
        <v>1690</v>
      </c>
      <c r="E2110" s="526" t="s">
        <v>2117</v>
      </c>
      <c r="F2110" s="526" t="s">
        <v>6135</v>
      </c>
      <c r="G2110" s="526" t="s">
        <v>6136</v>
      </c>
      <c r="H2110" s="412" t="e">
        <v>#N/A</v>
      </c>
      <c r="I2110" s="411" t="e">
        <v>#N/A</v>
      </c>
      <c r="J2110" s="411" t="e">
        <v>#N/A</v>
      </c>
      <c r="K2110" s="411" t="e">
        <v>#N/A</v>
      </c>
      <c r="L2110" s="526" t="e">
        <v>#N/A</v>
      </c>
    </row>
    <row r="2111" spans="1:12" ht="15" x14ac:dyDescent="0.25">
      <c r="A2111">
        <v>461999</v>
      </c>
      <c r="B2111" t="str">
        <f t="shared" si="88"/>
        <v>SEVROLL 04457-M horná vodiaca lišta Simple/Blue 2m (pre lamino 18mm) oliva new</v>
      </c>
      <c r="C2111" s="198" t="e">
        <f t="shared" si="89"/>
        <v>#N/A</v>
      </c>
      <c r="D2111" s="526" t="s">
        <v>1691</v>
      </c>
      <c r="E2111" s="526" t="s">
        <v>2118</v>
      </c>
      <c r="F2111" s="526" t="s">
        <v>6137</v>
      </c>
      <c r="G2111" s="526" t="s">
        <v>6138</v>
      </c>
      <c r="H2111" s="412" t="e">
        <v>#N/A</v>
      </c>
      <c r="I2111" s="411" t="e">
        <v>#N/A</v>
      </c>
      <c r="J2111" s="411" t="e">
        <v>#N/A</v>
      </c>
      <c r="K2111" s="411" t="e">
        <v>#N/A</v>
      </c>
      <c r="L2111" s="526" t="e">
        <v>#N/A</v>
      </c>
    </row>
    <row r="2112" spans="1:12" ht="15" x14ac:dyDescent="0.25">
      <c r="A2112">
        <v>462000</v>
      </c>
      <c r="B2112" t="str">
        <f t="shared" si="88"/>
        <v>SEVROLL horná vodiaca lišta Simple/Blue 2,5m (pre lamino 18mm) oliva new</v>
      </c>
      <c r="C2112" s="198" t="e">
        <f t="shared" si="89"/>
        <v>#N/A</v>
      </c>
      <c r="D2112" s="526" t="s">
        <v>1692</v>
      </c>
      <c r="E2112" s="526" t="s">
        <v>2119</v>
      </c>
      <c r="F2112" s="526" t="s">
        <v>2306</v>
      </c>
      <c r="G2112" s="526" t="s">
        <v>2600</v>
      </c>
      <c r="H2112" s="412" t="e">
        <v>#N/A</v>
      </c>
      <c r="I2112" s="411" t="e">
        <v>#N/A</v>
      </c>
      <c r="J2112" s="411" t="e">
        <v>#N/A</v>
      </c>
      <c r="K2112" s="411" t="e">
        <v>#N/A</v>
      </c>
      <c r="L2112" s="526" t="e">
        <v>#N/A</v>
      </c>
    </row>
    <row r="2113" spans="1:12" ht="15" x14ac:dyDescent="0.25">
      <c r="A2113">
        <v>462001</v>
      </c>
      <c r="B2113" t="str">
        <f t="shared" si="88"/>
        <v>SEVROLL 04448-M spodná krycia lišta Simple/Blue 1,5m (pre lamino 18mm) oliva new</v>
      </c>
      <c r="C2113" s="198" t="e">
        <f t="shared" si="89"/>
        <v>#N/A</v>
      </c>
      <c r="D2113" s="526" t="s">
        <v>1693</v>
      </c>
      <c r="E2113" s="526" t="s">
        <v>2120</v>
      </c>
      <c r="F2113" s="526" t="s">
        <v>6139</v>
      </c>
      <c r="G2113" s="526" t="s">
        <v>2601</v>
      </c>
      <c r="H2113" s="412" t="e">
        <v>#N/A</v>
      </c>
      <c r="I2113" s="411" t="e">
        <v>#N/A</v>
      </c>
      <c r="J2113" s="411" t="e">
        <v>#N/A</v>
      </c>
      <c r="K2113" s="411" t="e">
        <v>#N/A</v>
      </c>
      <c r="L2113" s="526" t="e">
        <v>#N/A</v>
      </c>
    </row>
    <row r="2114" spans="1:12" ht="15" x14ac:dyDescent="0.25">
      <c r="A2114">
        <v>462002</v>
      </c>
      <c r="B2114" t="str">
        <f t="shared" si="88"/>
        <v>SEVROLL horná vodiaca lišta Simple/Blue 1,5m (pre lamino 10mm) oliva new</v>
      </c>
      <c r="C2114" s="198" t="e">
        <f t="shared" si="89"/>
        <v>#N/A</v>
      </c>
      <c r="D2114" s="526" t="s">
        <v>1694</v>
      </c>
      <c r="E2114" s="526" t="s">
        <v>2121</v>
      </c>
      <c r="F2114" s="526" t="s">
        <v>2307</v>
      </c>
      <c r="G2114" s="526" t="s">
        <v>2602</v>
      </c>
      <c r="H2114" s="412" t="e">
        <v>#N/A</v>
      </c>
      <c r="I2114" s="411" t="e">
        <v>#N/A</v>
      </c>
      <c r="J2114" s="411" t="e">
        <v>#N/A</v>
      </c>
      <c r="K2114" s="411" t="e">
        <v>#N/A</v>
      </c>
      <c r="L2114" s="526" t="e">
        <v>#N/A</v>
      </c>
    </row>
    <row r="2115" spans="1:12" ht="15" x14ac:dyDescent="0.25">
      <c r="A2115">
        <v>462003</v>
      </c>
      <c r="B2115" t="str">
        <f t="shared" si="88"/>
        <v>SEVROLL horná vodiaca lišta Simple/Blue 2m (pre lamino 10mm) oliva new</v>
      </c>
      <c r="C2115" s="198" t="e">
        <f t="shared" si="89"/>
        <v>#N/A</v>
      </c>
      <c r="D2115" s="526" t="s">
        <v>1695</v>
      </c>
      <c r="E2115" s="526" t="s">
        <v>2122</v>
      </c>
      <c r="F2115" s="526" t="s">
        <v>2308</v>
      </c>
      <c r="G2115" s="526" t="s">
        <v>2603</v>
      </c>
      <c r="H2115" s="412" t="e">
        <v>#N/A</v>
      </c>
      <c r="I2115" s="411" t="e">
        <v>#N/A</v>
      </c>
      <c r="J2115" s="411" t="e">
        <v>#N/A</v>
      </c>
      <c r="K2115" s="411" t="e">
        <v>#N/A</v>
      </c>
      <c r="L2115" s="526" t="e">
        <v>#N/A</v>
      </c>
    </row>
    <row r="2116" spans="1:12" ht="15" x14ac:dyDescent="0.25">
      <c r="A2116">
        <v>462004</v>
      </c>
      <c r="B2116" t="str">
        <f t="shared" si="88"/>
        <v>SEVROLL horná vodiaca lišta Simple/Blue 2,5m (pre lamino 10mm) oliva new</v>
      </c>
      <c r="C2116" s="198" t="e">
        <f t="shared" si="89"/>
        <v>#N/A</v>
      </c>
      <c r="D2116" s="526" t="s">
        <v>1696</v>
      </c>
      <c r="E2116" s="526" t="s">
        <v>2123</v>
      </c>
      <c r="F2116" s="526" t="s">
        <v>2309</v>
      </c>
      <c r="G2116" s="526" t="s">
        <v>2604</v>
      </c>
      <c r="H2116" s="412" t="e">
        <v>#N/A</v>
      </c>
      <c r="I2116" s="411" t="e">
        <v>#N/A</v>
      </c>
      <c r="J2116" s="411" t="e">
        <v>#N/A</v>
      </c>
      <c r="K2116" s="411" t="e">
        <v>#N/A</v>
      </c>
      <c r="L2116" s="526" t="e">
        <v>#N/A</v>
      </c>
    </row>
    <row r="2117" spans="1:12" ht="15" x14ac:dyDescent="0.25">
      <c r="A2117">
        <v>462005</v>
      </c>
      <c r="B2117" t="str">
        <f t="shared" si="88"/>
        <v>SEVROLL spodná krycia lišta Simple/Blue 1,5m (pre lamino 10mm) oliva new</v>
      </c>
      <c r="C2117" s="198" t="e">
        <f t="shared" si="89"/>
        <v>#N/A</v>
      </c>
      <c r="D2117" s="526" t="s">
        <v>1697</v>
      </c>
      <c r="E2117" s="526" t="s">
        <v>2124</v>
      </c>
      <c r="F2117" s="526" t="s">
        <v>2310</v>
      </c>
      <c r="G2117" s="526" t="s">
        <v>2605</v>
      </c>
      <c r="H2117" s="412" t="e">
        <v>#N/A</v>
      </c>
      <c r="I2117" s="411" t="e">
        <v>#N/A</v>
      </c>
      <c r="J2117" s="411" t="e">
        <v>#N/A</v>
      </c>
      <c r="K2117" s="411" t="e">
        <v>#N/A</v>
      </c>
      <c r="L2117" s="526" t="e">
        <v>#N/A</v>
      </c>
    </row>
    <row r="2118" spans="1:12" ht="15" x14ac:dyDescent="0.25">
      <c r="A2118">
        <v>462006</v>
      </c>
      <c r="B2118" t="str">
        <f t="shared" ref="B2118:B2176" si="90">IF($A$2=1,D2118,IF($A$2=2,F2118,IF($A$2=3,G2118,IF($A$2=4,E2118,"zadat jazyk"))))</f>
        <v>SEVROLL spodná vodiaca lišta Simple/Blue 2m (pre lamino 10mm) oliva new</v>
      </c>
      <c r="C2118" s="198" t="e">
        <f t="shared" ref="C2118:C2176" si="91">IF($A$2=1,H2118,IF($A$2=2,I2118,IF($A$2=3,J2118,IF($A$2=4,K2118,"zadat jazyk"))))</f>
        <v>#N/A</v>
      </c>
      <c r="D2118" s="526" t="s">
        <v>1698</v>
      </c>
      <c r="E2118" s="526" t="s">
        <v>2125</v>
      </c>
      <c r="F2118" s="526" t="s">
        <v>2311</v>
      </c>
      <c r="G2118" s="526" t="s">
        <v>2606</v>
      </c>
      <c r="H2118" s="412" t="e">
        <v>#N/A</v>
      </c>
      <c r="I2118" s="411" t="e">
        <v>#N/A</v>
      </c>
      <c r="J2118" s="411" t="e">
        <v>#N/A</v>
      </c>
      <c r="K2118" s="411" t="e">
        <v>#N/A</v>
      </c>
      <c r="L2118" s="526" t="e">
        <v>#N/A</v>
      </c>
    </row>
    <row r="2119" spans="1:12" ht="15" x14ac:dyDescent="0.25">
      <c r="A2119">
        <v>462007</v>
      </c>
      <c r="B2119" t="str">
        <f t="shared" si="90"/>
        <v>SEVROLL spodná vodiaca lišta Simple/Blue 2,5 (pre lamino 10mm) oliva new</v>
      </c>
      <c r="C2119" s="198" t="e">
        <f t="shared" si="91"/>
        <v>#N/A</v>
      </c>
      <c r="D2119" s="526" t="s">
        <v>1699</v>
      </c>
      <c r="E2119" s="526" t="s">
        <v>2126</v>
      </c>
      <c r="F2119" s="526" t="s">
        <v>2312</v>
      </c>
      <c r="G2119" s="526" t="s">
        <v>2607</v>
      </c>
      <c r="H2119" s="412" t="e">
        <v>#N/A</v>
      </c>
      <c r="I2119" s="411" t="e">
        <v>#N/A</v>
      </c>
      <c r="J2119" s="411" t="e">
        <v>#N/A</v>
      </c>
      <c r="K2119" s="411" t="e">
        <v>#N/A</v>
      </c>
      <c r="L2119" s="526" t="e">
        <v>#N/A</v>
      </c>
    </row>
    <row r="2120" spans="1:12" ht="15" x14ac:dyDescent="0.25">
      <c r="A2120">
        <v>462008</v>
      </c>
      <c r="B2120" t="str">
        <f t="shared" si="90"/>
        <v>SEVROLL 04446-M spojovacia lišta Simple/Blue H21 3m (pre lamino 18mm) oliva new</v>
      </c>
      <c r="C2120" s="198" t="e">
        <f t="shared" si="91"/>
        <v>#N/A</v>
      </c>
      <c r="D2120" s="526" t="s">
        <v>1700</v>
      </c>
      <c r="E2120" s="526" t="s">
        <v>2127</v>
      </c>
      <c r="F2120" s="526" t="s">
        <v>6140</v>
      </c>
      <c r="G2120" s="526" t="s">
        <v>2608</v>
      </c>
      <c r="H2120" s="412" t="e">
        <v>#N/A</v>
      </c>
      <c r="I2120" s="411" t="e">
        <v>#N/A</v>
      </c>
      <c r="J2120" s="411" t="e">
        <v>#N/A</v>
      </c>
      <c r="K2120" s="411" t="e">
        <v>#N/A</v>
      </c>
      <c r="L2120" s="526" t="e">
        <v>#N/A</v>
      </c>
    </row>
    <row r="2121" spans="1:12" ht="15" x14ac:dyDescent="0.25">
      <c r="A2121">
        <v>462009</v>
      </c>
      <c r="B2121" t="str">
        <f t="shared" si="90"/>
        <v>SEVROLL spojovacia lišta Simple/Blue H25 3m oliva new</v>
      </c>
      <c r="C2121" s="198" t="e">
        <f t="shared" si="91"/>
        <v>#N/A</v>
      </c>
      <c r="D2121" s="526" t="s">
        <v>1701</v>
      </c>
      <c r="E2121" s="526" t="s">
        <v>2128</v>
      </c>
      <c r="F2121" s="526" t="s">
        <v>2313</v>
      </c>
      <c r="G2121" s="526" t="s">
        <v>2609</v>
      </c>
      <c r="H2121" s="412" t="e">
        <v>#N/A</v>
      </c>
      <c r="I2121" s="411" t="e">
        <v>#N/A</v>
      </c>
      <c r="J2121" s="411" t="e">
        <v>#N/A</v>
      </c>
      <c r="K2121" s="411" t="e">
        <v>#N/A</v>
      </c>
      <c r="L2121" s="526" t="e">
        <v>#N/A</v>
      </c>
    </row>
    <row r="2122" spans="1:12" ht="15" x14ac:dyDescent="0.25">
      <c r="A2122">
        <v>462010</v>
      </c>
      <c r="B2122" t="str">
        <f t="shared" si="90"/>
        <v>SEVROLL Uno úchytová lišta 18mm 2,70m oliva new</v>
      </c>
      <c r="C2122" s="198" t="e">
        <f t="shared" si="91"/>
        <v>#N/A</v>
      </c>
      <c r="D2122" s="526" t="s">
        <v>1702</v>
      </c>
      <c r="E2122" s="526" t="s">
        <v>2129</v>
      </c>
      <c r="F2122" s="526" t="s">
        <v>2314</v>
      </c>
      <c r="G2122" s="526" t="s">
        <v>2610</v>
      </c>
      <c r="H2122" s="412" t="e">
        <v>#N/A</v>
      </c>
      <c r="I2122" s="411" t="e">
        <v>#N/A</v>
      </c>
      <c r="J2122" s="411" t="e">
        <v>#N/A</v>
      </c>
      <c r="K2122" s="411" t="e">
        <v>#N/A</v>
      </c>
      <c r="L2122" s="526" t="e">
        <v>#N/A</v>
      </c>
    </row>
    <row r="2123" spans="1:12" ht="15" x14ac:dyDescent="0.25">
      <c r="A2123">
        <v>462011</v>
      </c>
      <c r="B2123" t="str">
        <f t="shared" si="90"/>
        <v>SEVROLL Maxim II maska 2,5m oliva new</v>
      </c>
      <c r="C2123" s="198" t="e">
        <f t="shared" si="91"/>
        <v>#N/A</v>
      </c>
      <c r="D2123" s="526" t="s">
        <v>1703</v>
      </c>
      <c r="E2123" s="526" t="s">
        <v>2130</v>
      </c>
      <c r="F2123" s="526" t="s">
        <v>2315</v>
      </c>
      <c r="G2123" s="526" t="s">
        <v>2611</v>
      </c>
      <c r="H2123" s="412" t="e">
        <v>#N/A</v>
      </c>
      <c r="I2123" s="411" t="e">
        <v>#N/A</v>
      </c>
      <c r="J2123" s="411" t="e">
        <v>#N/A</v>
      </c>
      <c r="K2123" s="411" t="e">
        <v>#N/A</v>
      </c>
      <c r="L2123" s="526" t="e">
        <v>#N/A</v>
      </c>
    </row>
    <row r="2124" spans="1:12" ht="15" x14ac:dyDescent="0.25">
      <c r="A2124">
        <v>462012</v>
      </c>
      <c r="B2124" t="str">
        <f t="shared" si="90"/>
        <v>SEVROLL profil "U" na DTD 36mm oliva new 3m</v>
      </c>
      <c r="C2124" s="198" t="e">
        <f t="shared" si="91"/>
        <v>#N/A</v>
      </c>
      <c r="D2124" s="526" t="s">
        <v>1704</v>
      </c>
      <c r="E2124" s="526" t="s">
        <v>2131</v>
      </c>
      <c r="F2124" s="526" t="s">
        <v>2316</v>
      </c>
      <c r="G2124" s="526" t="s">
        <v>2612</v>
      </c>
      <c r="H2124" s="412" t="e">
        <v>#N/A</v>
      </c>
      <c r="I2124" s="411" t="e">
        <v>#N/A</v>
      </c>
      <c r="J2124" s="411" t="e">
        <v>#N/A</v>
      </c>
      <c r="K2124" s="411" t="e">
        <v>#N/A</v>
      </c>
      <c r="L2124" s="526" t="e">
        <v>#N/A</v>
      </c>
    </row>
    <row r="2125" spans="1:12" ht="15" x14ac:dyDescent="0.25">
      <c r="A2125">
        <v>462013</v>
      </c>
      <c r="B2125" t="str">
        <f t="shared" si="90"/>
        <v>SEVROLL profil "U" Mini na DTD 18mm oliva new 3m</v>
      </c>
      <c r="C2125" s="198" t="e">
        <f t="shared" si="91"/>
        <v>#N/A</v>
      </c>
      <c r="D2125" s="526" t="s">
        <v>1705</v>
      </c>
      <c r="E2125" s="526" t="s">
        <v>2132</v>
      </c>
      <c r="F2125" s="526" t="s">
        <v>2317</v>
      </c>
      <c r="G2125" s="526" t="s">
        <v>2613</v>
      </c>
      <c r="H2125" s="412" t="e">
        <v>#N/A</v>
      </c>
      <c r="I2125" s="411" t="e">
        <v>#N/A</v>
      </c>
      <c r="J2125" s="411" t="e">
        <v>#N/A</v>
      </c>
      <c r="K2125" s="411" t="e">
        <v>#N/A</v>
      </c>
      <c r="L2125" s="526" t="e">
        <v>#N/A</v>
      </c>
    </row>
    <row r="2126" spans="1:12" ht="15" x14ac:dyDescent="0.25">
      <c r="A2126">
        <v>462014</v>
      </c>
      <c r="B2126" t="str">
        <f t="shared" si="90"/>
        <v>SEVROLL uholník 18x36mm 3m oliva new</v>
      </c>
      <c r="C2126" s="198" t="e">
        <f t="shared" si="91"/>
        <v>#N/A</v>
      </c>
      <c r="D2126" s="526" t="s">
        <v>1706</v>
      </c>
      <c r="E2126" s="526" t="s">
        <v>2133</v>
      </c>
      <c r="F2126" s="526" t="s">
        <v>2318</v>
      </c>
      <c r="G2126" s="526" t="s">
        <v>2614</v>
      </c>
      <c r="H2126" s="412" t="e">
        <v>#N/A</v>
      </c>
      <c r="I2126" s="411" t="e">
        <v>#N/A</v>
      </c>
      <c r="J2126" s="411" t="e">
        <v>#N/A</v>
      </c>
      <c r="K2126" s="411" t="e">
        <v>#N/A</v>
      </c>
      <c r="L2126" s="526" t="e">
        <v>#N/A</v>
      </c>
    </row>
    <row r="2127" spans="1:12" ht="15" x14ac:dyDescent="0.25">
      <c r="A2127">
        <v>462015</v>
      </c>
      <c r="B2127" t="str">
        <f t="shared" si="90"/>
        <v>SEVROLL uholník 36x36mm 3m oliva new</v>
      </c>
      <c r="C2127" s="198" t="e">
        <f t="shared" si="91"/>
        <v>#N/A</v>
      </c>
      <c r="D2127" s="526" t="s">
        <v>1707</v>
      </c>
      <c r="E2127" s="526" t="s">
        <v>2134</v>
      </c>
      <c r="F2127" s="526" t="s">
        <v>2319</v>
      </c>
      <c r="G2127" s="526" t="s">
        <v>2615</v>
      </c>
      <c r="H2127" s="412" t="e">
        <v>#N/A</v>
      </c>
      <c r="I2127" s="411" t="e">
        <v>#N/A</v>
      </c>
      <c r="J2127" s="411" t="e">
        <v>#N/A</v>
      </c>
      <c r="K2127" s="411" t="e">
        <v>#N/A</v>
      </c>
      <c r="L2127" s="526" t="e">
        <v>#N/A</v>
      </c>
    </row>
    <row r="2128" spans="1:12" ht="15" x14ac:dyDescent="0.25">
      <c r="A2128">
        <v>462016</v>
      </c>
      <c r="B2128" t="str">
        <f t="shared" si="90"/>
        <v>SEVROLL Porto úchytová lišta 2,7m oliva new</v>
      </c>
      <c r="C2128" s="198" t="e">
        <f t="shared" si="91"/>
        <v>#N/A</v>
      </c>
      <c r="D2128" s="526" t="s">
        <v>1708</v>
      </c>
      <c r="E2128" s="526" t="s">
        <v>2135</v>
      </c>
      <c r="F2128" s="526" t="s">
        <v>2320</v>
      </c>
      <c r="G2128" s="526" t="s">
        <v>2616</v>
      </c>
      <c r="H2128" s="412" t="e">
        <v>#N/A</v>
      </c>
      <c r="I2128" s="411" t="e">
        <v>#N/A</v>
      </c>
      <c r="J2128" s="411" t="e">
        <v>#N/A</v>
      </c>
      <c r="K2128" s="411" t="e">
        <v>#N/A</v>
      </c>
      <c r="L2128" s="526" t="e">
        <v>#N/A</v>
      </c>
    </row>
    <row r="2129" spans="1:12" ht="15" x14ac:dyDescent="0.25">
      <c r="A2129">
        <v>462017</v>
      </c>
      <c r="B2129" t="str">
        <f t="shared" si="90"/>
        <v>SEVROLL okrasná lišta S18 s lepidlom 3m oliva new</v>
      </c>
      <c r="C2129" s="198" t="e">
        <f t="shared" si="91"/>
        <v>#N/A</v>
      </c>
      <c r="D2129" s="526" t="s">
        <v>1709</v>
      </c>
      <c r="E2129" s="526" t="s">
        <v>2136</v>
      </c>
      <c r="F2129" s="526" t="s">
        <v>2321</v>
      </c>
      <c r="G2129" s="526" t="s">
        <v>2617</v>
      </c>
      <c r="H2129" s="412" t="e">
        <v>#N/A</v>
      </c>
      <c r="I2129" s="411" t="e">
        <v>#N/A</v>
      </c>
      <c r="J2129" s="411" t="e">
        <v>#N/A</v>
      </c>
      <c r="K2129" s="411" t="e">
        <v>#N/A</v>
      </c>
      <c r="L2129" s="526" t="e">
        <v>#N/A</v>
      </c>
    </row>
    <row r="2130" spans="1:12" ht="15" x14ac:dyDescent="0.25">
      <c r="A2130">
        <v>462018</v>
      </c>
      <c r="B2130" t="str">
        <f t="shared" si="90"/>
        <v>SEVROLL 04586-A Gemini II spodné vedenie  1,7m oliva new</v>
      </c>
      <c r="C2130" s="198" t="e">
        <f t="shared" si="91"/>
        <v>#N/A</v>
      </c>
      <c r="D2130" s="526" t="s">
        <v>1710</v>
      </c>
      <c r="E2130" s="526" t="s">
        <v>2137</v>
      </c>
      <c r="F2130" s="526" t="s">
        <v>6141</v>
      </c>
      <c r="G2130" s="526" t="s">
        <v>2618</v>
      </c>
      <c r="H2130" s="412" t="e">
        <v>#N/A</v>
      </c>
      <c r="I2130" s="411" t="e">
        <v>#N/A</v>
      </c>
      <c r="J2130" s="411" t="e">
        <v>#N/A</v>
      </c>
      <c r="K2130" s="411" t="e">
        <v>#N/A</v>
      </c>
      <c r="L2130" s="526" t="e">
        <v>#N/A</v>
      </c>
    </row>
    <row r="2131" spans="1:12" ht="15" x14ac:dyDescent="0.25">
      <c r="A2131">
        <v>462019</v>
      </c>
      <c r="B2131" t="str">
        <f t="shared" si="90"/>
        <v>SEVROLL 04587-A Gemini II spodné vedenie  2,35m oliva new</v>
      </c>
      <c r="C2131" s="198" t="e">
        <f t="shared" si="91"/>
        <v>#N/A</v>
      </c>
      <c r="D2131" s="526" t="s">
        <v>1711</v>
      </c>
      <c r="E2131" s="526" t="s">
        <v>2138</v>
      </c>
      <c r="F2131" s="526" t="s">
        <v>6142</v>
      </c>
      <c r="G2131" s="526" t="s">
        <v>2619</v>
      </c>
      <c r="H2131" s="412" t="e">
        <v>#N/A</v>
      </c>
      <c r="I2131" s="411" t="e">
        <v>#N/A</v>
      </c>
      <c r="J2131" s="411" t="e">
        <v>#N/A</v>
      </c>
      <c r="K2131" s="411" t="e">
        <v>#N/A</v>
      </c>
      <c r="L2131" s="526" t="e">
        <v>#N/A</v>
      </c>
    </row>
    <row r="2132" spans="1:12" ht="15" x14ac:dyDescent="0.25">
      <c r="A2132">
        <v>462020</v>
      </c>
      <c r="B2132" t="str">
        <f t="shared" si="90"/>
        <v>SEVROLL 04588-A Gemini II spodné vedenie  3m oliva new</v>
      </c>
      <c r="C2132" s="198" t="e">
        <f t="shared" si="91"/>
        <v>#N/A</v>
      </c>
      <c r="D2132" s="526" t="s">
        <v>1712</v>
      </c>
      <c r="E2132" s="526" t="s">
        <v>2139</v>
      </c>
      <c r="F2132" s="526" t="s">
        <v>6143</v>
      </c>
      <c r="G2132" s="526" t="s">
        <v>2620</v>
      </c>
      <c r="H2132" s="412" t="e">
        <v>#N/A</v>
      </c>
      <c r="I2132" s="411" t="e">
        <v>#N/A</v>
      </c>
      <c r="J2132" s="411" t="e">
        <v>#N/A</v>
      </c>
      <c r="K2132" s="411" t="e">
        <v>#N/A</v>
      </c>
      <c r="L2132" s="526" t="e">
        <v>#N/A</v>
      </c>
    </row>
    <row r="2133" spans="1:12" ht="15" x14ac:dyDescent="0.25">
      <c r="A2133">
        <v>462021</v>
      </c>
      <c r="B2133" t="str">
        <f t="shared" si="90"/>
        <v>SEVROLL 04589-A Gemini II spodné vedenie  4,05m oliva new</v>
      </c>
      <c r="C2133" s="198" t="e">
        <f t="shared" si="91"/>
        <v>#N/A</v>
      </c>
      <c r="D2133" s="526" t="s">
        <v>1713</v>
      </c>
      <c r="E2133" s="526" t="s">
        <v>2140</v>
      </c>
      <c r="F2133" s="526" t="s">
        <v>6144</v>
      </c>
      <c r="G2133" s="526" t="s">
        <v>2621</v>
      </c>
      <c r="H2133" s="412" t="e">
        <v>#N/A</v>
      </c>
      <c r="I2133" s="411" t="e">
        <v>#N/A</v>
      </c>
      <c r="J2133" s="411" t="e">
        <v>#N/A</v>
      </c>
      <c r="K2133" s="411" t="e">
        <v>#N/A</v>
      </c>
      <c r="L2133" s="526" t="e">
        <v>#N/A</v>
      </c>
    </row>
    <row r="2134" spans="1:12" ht="15" x14ac:dyDescent="0.25">
      <c r="A2134">
        <v>462022</v>
      </c>
      <c r="B2134" t="str">
        <f t="shared" si="90"/>
        <v>SEVROLL 04590-A Gemini II spodné vedenie  6m oliva new</v>
      </c>
      <c r="C2134" s="198" t="e">
        <f t="shared" si="91"/>
        <v>#N/A</v>
      </c>
      <c r="D2134" s="526" t="s">
        <v>1714</v>
      </c>
      <c r="E2134" s="526" t="s">
        <v>2141</v>
      </c>
      <c r="F2134" s="526" t="s">
        <v>6145</v>
      </c>
      <c r="G2134" s="526" t="s">
        <v>2622</v>
      </c>
      <c r="H2134" s="412" t="e">
        <v>#N/A</v>
      </c>
      <c r="I2134" s="411" t="e">
        <v>#N/A</v>
      </c>
      <c r="J2134" s="411" t="e">
        <v>#N/A</v>
      </c>
      <c r="K2134" s="411" t="e">
        <v>#N/A</v>
      </c>
      <c r="L2134" s="526" t="e">
        <v>#N/A</v>
      </c>
    </row>
    <row r="2135" spans="1:12" ht="15" x14ac:dyDescent="0.25">
      <c r="A2135">
        <v>462023</v>
      </c>
      <c r="B2135" t="str">
        <f t="shared" si="90"/>
        <v>SEVROLL 04297-A maska Elegant II 2,35m oliva new</v>
      </c>
      <c r="C2135" s="198" t="e">
        <f t="shared" si="91"/>
        <v>#N/A</v>
      </c>
      <c r="D2135" s="526" t="s">
        <v>1715</v>
      </c>
      <c r="E2135" s="526" t="s">
        <v>2142</v>
      </c>
      <c r="F2135" s="526" t="s">
        <v>1715</v>
      </c>
      <c r="G2135" s="526" t="s">
        <v>6146</v>
      </c>
      <c r="H2135" s="412" t="e">
        <v>#N/A</v>
      </c>
      <c r="I2135" s="411" t="e">
        <v>#N/A</v>
      </c>
      <c r="J2135" s="411" t="e">
        <v>#N/A</v>
      </c>
      <c r="K2135" s="411" t="e">
        <v>#N/A</v>
      </c>
      <c r="L2135" s="526" t="e">
        <v>#N/A</v>
      </c>
    </row>
    <row r="2136" spans="1:12" ht="15" x14ac:dyDescent="0.25">
      <c r="A2136">
        <v>462024</v>
      </c>
      <c r="B2136" t="str">
        <f t="shared" si="90"/>
        <v>SEVROLL 04273-A Elegant II spodné vedenie  1,7m oliva new</v>
      </c>
      <c r="C2136" s="198" t="e">
        <f t="shared" si="91"/>
        <v>#N/A</v>
      </c>
      <c r="D2136" s="526" t="s">
        <v>1716</v>
      </c>
      <c r="E2136" s="526" t="s">
        <v>2143</v>
      </c>
      <c r="F2136" s="526" t="s">
        <v>6147</v>
      </c>
      <c r="G2136" s="526" t="s">
        <v>6148</v>
      </c>
      <c r="H2136" s="412" t="e">
        <v>#N/A</v>
      </c>
      <c r="I2136" s="411" t="e">
        <v>#N/A</v>
      </c>
      <c r="J2136" s="411" t="e">
        <v>#N/A</v>
      </c>
      <c r="K2136" s="411" t="e">
        <v>#N/A</v>
      </c>
      <c r="L2136" s="526" t="e">
        <v>#N/A</v>
      </c>
    </row>
    <row r="2137" spans="1:12" ht="15" x14ac:dyDescent="0.25">
      <c r="A2137">
        <v>462025</v>
      </c>
      <c r="B2137" t="str">
        <f t="shared" si="90"/>
        <v>SEVROLL 04747-A Rekord úchytová lišta 18mm 2,70m oliva new</v>
      </c>
      <c r="C2137" s="198" t="e">
        <f t="shared" si="91"/>
        <v>#N/A</v>
      </c>
      <c r="D2137" s="526" t="s">
        <v>1717</v>
      </c>
      <c r="E2137" s="526" t="s">
        <v>2144</v>
      </c>
      <c r="F2137" s="526" t="s">
        <v>1717</v>
      </c>
      <c r="G2137" s="526" t="s">
        <v>6149</v>
      </c>
      <c r="H2137" s="412" t="e">
        <v>#N/A</v>
      </c>
      <c r="I2137" s="411" t="e">
        <v>#N/A</v>
      </c>
      <c r="J2137" s="411" t="e">
        <v>#N/A</v>
      </c>
      <c r="K2137" s="411" t="e">
        <v>#N/A</v>
      </c>
      <c r="L2137" s="526" t="e">
        <v>#N/A</v>
      </c>
    </row>
    <row r="2138" spans="1:12" ht="15" x14ac:dyDescent="0.25">
      <c r="A2138">
        <v>462026</v>
      </c>
      <c r="B2138" t="str">
        <f t="shared" si="90"/>
        <v>SEVROLL 04298-A maska Elegant II 3m oliva new</v>
      </c>
      <c r="C2138" s="198" t="e">
        <f t="shared" si="91"/>
        <v>#N/A</v>
      </c>
      <c r="D2138" s="526" t="s">
        <v>1718</v>
      </c>
      <c r="E2138" s="526" t="s">
        <v>2145</v>
      </c>
      <c r="F2138" s="526" t="s">
        <v>1718</v>
      </c>
      <c r="G2138" s="526" t="s">
        <v>6150</v>
      </c>
      <c r="H2138" s="412" t="e">
        <v>#N/A</v>
      </c>
      <c r="I2138" s="411" t="e">
        <v>#N/A</v>
      </c>
      <c r="J2138" s="411" t="e">
        <v>#N/A</v>
      </c>
      <c r="K2138" s="411" t="e">
        <v>#N/A</v>
      </c>
      <c r="L2138" s="526" t="e">
        <v>#N/A</v>
      </c>
    </row>
    <row r="2139" spans="1:12" ht="15" x14ac:dyDescent="0.25">
      <c r="A2139">
        <v>256367</v>
      </c>
      <c r="B2139" t="e">
        <f t="shared" si="90"/>
        <v>#N/A</v>
      </c>
      <c r="C2139" s="198" t="e">
        <f t="shared" si="91"/>
        <v>#N/A</v>
      </c>
      <c r="D2139" s="526" t="e">
        <v>#N/A</v>
      </c>
      <c r="E2139" s="526" t="e">
        <v>#N/A</v>
      </c>
      <c r="F2139" s="526" t="e">
        <v>#N/A</v>
      </c>
      <c r="G2139" s="526" t="e">
        <v>#N/A</v>
      </c>
      <c r="H2139" s="412" t="e">
        <v>#N/A</v>
      </c>
      <c r="I2139" s="411" t="e">
        <v>#N/A</v>
      </c>
      <c r="J2139" s="411" t="e">
        <v>#N/A</v>
      </c>
      <c r="K2139" s="411" t="e">
        <v>#N/A</v>
      </c>
      <c r="L2139" s="526" t="e">
        <v>#N/A</v>
      </c>
    </row>
    <row r="2140" spans="1:12" ht="15" x14ac:dyDescent="0.25">
      <c r="A2140">
        <v>301637</v>
      </c>
      <c r="B2140" t="e">
        <f t="shared" si="90"/>
        <v>#N/A</v>
      </c>
      <c r="C2140" s="198" t="e">
        <f t="shared" si="91"/>
        <v>#N/A</v>
      </c>
      <c r="D2140" s="526" t="e">
        <v>#N/A</v>
      </c>
      <c r="E2140" s="526" t="e">
        <v>#N/A</v>
      </c>
      <c r="F2140" s="526" t="e">
        <v>#N/A</v>
      </c>
      <c r="G2140" s="526" t="e">
        <v>#N/A</v>
      </c>
      <c r="H2140" s="412" t="e">
        <v>#N/A</v>
      </c>
      <c r="I2140" s="411" t="e">
        <v>#N/A</v>
      </c>
      <c r="J2140" s="411" t="e">
        <v>#N/A</v>
      </c>
      <c r="K2140" s="411" t="e">
        <v>#N/A</v>
      </c>
      <c r="L2140" s="526" t="e">
        <v>#N/A</v>
      </c>
    </row>
    <row r="2141" spans="1:12" ht="15" x14ac:dyDescent="0.25">
      <c r="A2141">
        <v>301638</v>
      </c>
      <c r="B2141" t="e">
        <f t="shared" si="90"/>
        <v>#N/A</v>
      </c>
      <c r="C2141" s="198" t="e">
        <f t="shared" si="91"/>
        <v>#N/A</v>
      </c>
      <c r="D2141" s="526" t="e">
        <v>#N/A</v>
      </c>
      <c r="E2141" s="526" t="e">
        <v>#N/A</v>
      </c>
      <c r="F2141" s="526" t="e">
        <v>#N/A</v>
      </c>
      <c r="G2141" s="526" t="e">
        <v>#N/A</v>
      </c>
      <c r="H2141" s="412" t="e">
        <v>#N/A</v>
      </c>
      <c r="I2141" s="411" t="e">
        <v>#N/A</v>
      </c>
      <c r="J2141" s="411" t="e">
        <v>#N/A</v>
      </c>
      <c r="K2141" s="411" t="e">
        <v>#N/A</v>
      </c>
      <c r="L2141" s="526" t="e">
        <v>#N/A</v>
      </c>
    </row>
    <row r="2142" spans="1:12" ht="15" x14ac:dyDescent="0.25">
      <c r="A2142">
        <v>301639</v>
      </c>
      <c r="B2142" t="e">
        <f t="shared" si="90"/>
        <v>#N/A</v>
      </c>
      <c r="C2142" s="198" t="e">
        <f t="shared" si="91"/>
        <v>#N/A</v>
      </c>
      <c r="D2142" s="526" t="e">
        <v>#N/A</v>
      </c>
      <c r="E2142" s="526" t="e">
        <v>#N/A</v>
      </c>
      <c r="F2142" s="526" t="e">
        <v>#N/A</v>
      </c>
      <c r="G2142" s="526" t="e">
        <v>#N/A</v>
      </c>
      <c r="H2142" s="412" t="e">
        <v>#N/A</v>
      </c>
      <c r="I2142" s="411" t="e">
        <v>#N/A</v>
      </c>
      <c r="J2142" s="411" t="e">
        <v>#N/A</v>
      </c>
      <c r="K2142" s="411" t="e">
        <v>#N/A</v>
      </c>
      <c r="L2142" s="526" t="e">
        <v>#N/A</v>
      </c>
    </row>
    <row r="2143" spans="1:12" ht="15" x14ac:dyDescent="0.25">
      <c r="A2143">
        <v>301750</v>
      </c>
      <c r="B2143" t="e">
        <f t="shared" si="90"/>
        <v>#N/A</v>
      </c>
      <c r="C2143" s="198" t="e">
        <f t="shared" si="91"/>
        <v>#N/A</v>
      </c>
      <c r="D2143" s="526" t="e">
        <v>#N/A</v>
      </c>
      <c r="E2143" s="526" t="e">
        <v>#N/A</v>
      </c>
      <c r="F2143" s="526" t="e">
        <v>#N/A</v>
      </c>
      <c r="G2143" s="526" t="e">
        <v>#N/A</v>
      </c>
      <c r="H2143" s="412" t="e">
        <v>#N/A</v>
      </c>
      <c r="I2143" s="411" t="e">
        <v>#N/A</v>
      </c>
      <c r="J2143" s="411" t="e">
        <v>#N/A</v>
      </c>
      <c r="K2143" s="411" t="e">
        <v>#N/A</v>
      </c>
      <c r="L2143" s="526" t="e">
        <v>#N/A</v>
      </c>
    </row>
    <row r="2144" spans="1:12" ht="15" x14ac:dyDescent="0.25">
      <c r="A2144">
        <v>301779</v>
      </c>
      <c r="B2144" t="e">
        <f t="shared" si="90"/>
        <v>#N/A</v>
      </c>
      <c r="C2144" s="198" t="e">
        <f t="shared" si="91"/>
        <v>#N/A</v>
      </c>
      <c r="D2144" s="526" t="e">
        <v>#N/A</v>
      </c>
      <c r="E2144" s="526" t="e">
        <v>#N/A</v>
      </c>
      <c r="F2144" s="526" t="e">
        <v>#N/A</v>
      </c>
      <c r="G2144" s="526" t="e">
        <v>#N/A</v>
      </c>
      <c r="H2144" s="412" t="e">
        <v>#N/A</v>
      </c>
      <c r="I2144" s="411" t="e">
        <v>#N/A</v>
      </c>
      <c r="J2144" s="411" t="e">
        <v>#N/A</v>
      </c>
      <c r="K2144" s="411" t="e">
        <v>#N/A</v>
      </c>
      <c r="L2144" s="526" t="e">
        <v>#N/A</v>
      </c>
    </row>
    <row r="2145" spans="1:12" ht="15" x14ac:dyDescent="0.25">
      <c r="A2145">
        <v>301780</v>
      </c>
      <c r="B2145" t="e">
        <f t="shared" si="90"/>
        <v>#N/A</v>
      </c>
      <c r="C2145" s="198" t="e">
        <f t="shared" si="91"/>
        <v>#N/A</v>
      </c>
      <c r="D2145" s="526" t="e">
        <v>#N/A</v>
      </c>
      <c r="E2145" s="526" t="e">
        <v>#N/A</v>
      </c>
      <c r="F2145" s="526" t="e">
        <v>#N/A</v>
      </c>
      <c r="G2145" s="526" t="e">
        <v>#N/A</v>
      </c>
      <c r="H2145" s="412" t="e">
        <v>#N/A</v>
      </c>
      <c r="I2145" s="411" t="e">
        <v>#N/A</v>
      </c>
      <c r="J2145" s="411" t="e">
        <v>#N/A</v>
      </c>
      <c r="K2145" s="411" t="e">
        <v>#N/A</v>
      </c>
      <c r="L2145" s="526" t="e">
        <v>#N/A</v>
      </c>
    </row>
    <row r="2146" spans="1:12" ht="15" x14ac:dyDescent="0.25">
      <c r="A2146">
        <v>301781</v>
      </c>
      <c r="B2146" t="e">
        <f t="shared" si="90"/>
        <v>#N/A</v>
      </c>
      <c r="C2146" s="198" t="e">
        <f t="shared" si="91"/>
        <v>#N/A</v>
      </c>
      <c r="D2146" s="526" t="e">
        <v>#N/A</v>
      </c>
      <c r="E2146" s="526" t="e">
        <v>#N/A</v>
      </c>
      <c r="F2146" s="526" t="e">
        <v>#N/A</v>
      </c>
      <c r="G2146" s="526" t="e">
        <v>#N/A</v>
      </c>
      <c r="H2146" s="412" t="e">
        <v>#N/A</v>
      </c>
      <c r="I2146" s="411" t="e">
        <v>#N/A</v>
      </c>
      <c r="J2146" s="411" t="e">
        <v>#N/A</v>
      </c>
      <c r="K2146" s="411" t="e">
        <v>#N/A</v>
      </c>
      <c r="L2146" s="526" t="e">
        <v>#N/A</v>
      </c>
    </row>
    <row r="2147" spans="1:12" ht="15" x14ac:dyDescent="0.25">
      <c r="A2147">
        <v>301782</v>
      </c>
      <c r="B2147" t="e">
        <f t="shared" si="90"/>
        <v>#N/A</v>
      </c>
      <c r="C2147" s="198" t="e">
        <f t="shared" si="91"/>
        <v>#N/A</v>
      </c>
      <c r="D2147" s="526" t="e">
        <v>#N/A</v>
      </c>
      <c r="E2147" s="526" t="e">
        <v>#N/A</v>
      </c>
      <c r="F2147" s="526" t="e">
        <v>#N/A</v>
      </c>
      <c r="G2147" s="526" t="e">
        <v>#N/A</v>
      </c>
      <c r="H2147" s="412" t="e">
        <v>#N/A</v>
      </c>
      <c r="I2147" s="411" t="e">
        <v>#N/A</v>
      </c>
      <c r="J2147" s="411" t="e">
        <v>#N/A</v>
      </c>
      <c r="K2147" s="411" t="e">
        <v>#N/A</v>
      </c>
      <c r="L2147" s="526" t="e">
        <v>#N/A</v>
      </c>
    </row>
    <row r="2148" spans="1:12" ht="15" x14ac:dyDescent="0.25">
      <c r="A2148">
        <v>301783</v>
      </c>
      <c r="B2148" t="e">
        <f t="shared" si="90"/>
        <v>#N/A</v>
      </c>
      <c r="C2148" s="198" t="e">
        <f t="shared" si="91"/>
        <v>#N/A</v>
      </c>
      <c r="D2148" s="526" t="e">
        <v>#N/A</v>
      </c>
      <c r="E2148" s="526" t="e">
        <v>#N/A</v>
      </c>
      <c r="F2148" s="526" t="e">
        <v>#N/A</v>
      </c>
      <c r="G2148" s="526" t="e">
        <v>#N/A</v>
      </c>
      <c r="H2148" s="412" t="e">
        <v>#N/A</v>
      </c>
      <c r="I2148" s="411" t="e">
        <v>#N/A</v>
      </c>
      <c r="J2148" s="411" t="e">
        <v>#N/A</v>
      </c>
      <c r="K2148" s="411" t="e">
        <v>#N/A</v>
      </c>
      <c r="L2148" s="526" t="e">
        <v>#N/A</v>
      </c>
    </row>
    <row r="2149" spans="1:12" ht="15" x14ac:dyDescent="0.25">
      <c r="A2149">
        <v>301784</v>
      </c>
      <c r="B2149" t="e">
        <f t="shared" si="90"/>
        <v>#N/A</v>
      </c>
      <c r="C2149" s="198" t="e">
        <f t="shared" si="91"/>
        <v>#N/A</v>
      </c>
      <c r="D2149" s="526" t="e">
        <v>#N/A</v>
      </c>
      <c r="E2149" s="526" t="e">
        <v>#N/A</v>
      </c>
      <c r="F2149" s="526" t="e">
        <v>#N/A</v>
      </c>
      <c r="G2149" s="526" t="e">
        <v>#N/A</v>
      </c>
      <c r="H2149" s="412" t="e">
        <v>#N/A</v>
      </c>
      <c r="I2149" s="411" t="e">
        <v>#N/A</v>
      </c>
      <c r="J2149" s="411" t="e">
        <v>#N/A</v>
      </c>
      <c r="K2149" s="411" t="e">
        <v>#N/A</v>
      </c>
      <c r="L2149" s="526" t="e">
        <v>#N/A</v>
      </c>
    </row>
    <row r="2150" spans="1:12" ht="15" x14ac:dyDescent="0.25">
      <c r="A2150">
        <v>373932</v>
      </c>
      <c r="B2150" t="e">
        <f t="shared" si="90"/>
        <v>#N/A</v>
      </c>
      <c r="C2150" s="198" t="e">
        <f t="shared" si="91"/>
        <v>#N/A</v>
      </c>
      <c r="D2150" s="526" t="e">
        <v>#N/A</v>
      </c>
      <c r="E2150" s="526" t="e">
        <v>#N/A</v>
      </c>
      <c r="F2150" s="526" t="e">
        <v>#N/A</v>
      </c>
      <c r="G2150" s="526" t="e">
        <v>#N/A</v>
      </c>
      <c r="H2150" s="412" t="e">
        <v>#N/A</v>
      </c>
      <c r="I2150" s="411" t="e">
        <v>#N/A</v>
      </c>
      <c r="J2150" s="411" t="e">
        <v>#N/A</v>
      </c>
      <c r="K2150" s="411" t="e">
        <v>#N/A</v>
      </c>
      <c r="L2150" s="526" t="e">
        <v>#N/A</v>
      </c>
    </row>
    <row r="2151" spans="1:12" ht="15" x14ac:dyDescent="0.25">
      <c r="A2151">
        <v>373933</v>
      </c>
      <c r="B2151" t="e">
        <f t="shared" si="90"/>
        <v>#N/A</v>
      </c>
      <c r="C2151" s="198" t="e">
        <f t="shared" si="91"/>
        <v>#N/A</v>
      </c>
      <c r="D2151" s="526" t="e">
        <v>#N/A</v>
      </c>
      <c r="E2151" s="526" t="e">
        <v>#N/A</v>
      </c>
      <c r="F2151" s="526" t="e">
        <v>#N/A</v>
      </c>
      <c r="G2151" s="526" t="e">
        <v>#N/A</v>
      </c>
      <c r="H2151" s="412" t="e">
        <v>#N/A</v>
      </c>
      <c r="I2151" s="411" t="e">
        <v>#N/A</v>
      </c>
      <c r="J2151" s="411" t="e">
        <v>#N/A</v>
      </c>
      <c r="K2151" s="411" t="e">
        <v>#N/A</v>
      </c>
      <c r="L2151" s="526" t="e">
        <v>#N/A</v>
      </c>
    </row>
    <row r="2152" spans="1:12" ht="15" x14ac:dyDescent="0.25">
      <c r="A2152">
        <v>373934</v>
      </c>
      <c r="B2152" t="e">
        <f t="shared" si="90"/>
        <v>#N/A</v>
      </c>
      <c r="C2152" s="198" t="e">
        <f t="shared" si="91"/>
        <v>#N/A</v>
      </c>
      <c r="D2152" s="526" t="e">
        <v>#N/A</v>
      </c>
      <c r="E2152" s="526" t="e">
        <v>#N/A</v>
      </c>
      <c r="F2152" s="526" t="e">
        <v>#N/A</v>
      </c>
      <c r="G2152" s="526" t="e">
        <v>#N/A</v>
      </c>
      <c r="H2152" s="412" t="e">
        <v>#N/A</v>
      </c>
      <c r="I2152" s="411" t="e">
        <v>#N/A</v>
      </c>
      <c r="J2152" s="411" t="e">
        <v>#N/A</v>
      </c>
      <c r="K2152" s="411" t="e">
        <v>#N/A</v>
      </c>
      <c r="L2152" s="526" t="e">
        <v>#N/A</v>
      </c>
    </row>
    <row r="2153" spans="1:12" ht="15" x14ac:dyDescent="0.25">
      <c r="A2153">
        <v>373935</v>
      </c>
      <c r="B2153" t="e">
        <f t="shared" si="90"/>
        <v>#N/A</v>
      </c>
      <c r="C2153" s="198" t="e">
        <f t="shared" si="91"/>
        <v>#N/A</v>
      </c>
      <c r="D2153" s="526" t="e">
        <v>#N/A</v>
      </c>
      <c r="E2153" s="526" t="e">
        <v>#N/A</v>
      </c>
      <c r="F2153" s="526" t="e">
        <v>#N/A</v>
      </c>
      <c r="G2153" s="526" t="e">
        <v>#N/A</v>
      </c>
      <c r="H2153" s="412" t="e">
        <v>#N/A</v>
      </c>
      <c r="I2153" s="411" t="e">
        <v>#N/A</v>
      </c>
      <c r="J2153" s="411" t="e">
        <v>#N/A</v>
      </c>
      <c r="K2153" s="411" t="e">
        <v>#N/A</v>
      </c>
      <c r="L2153" s="526" t="e">
        <v>#N/A</v>
      </c>
    </row>
    <row r="2154" spans="1:12" ht="15" x14ac:dyDescent="0.25">
      <c r="A2154">
        <v>373936</v>
      </c>
      <c r="B2154" t="e">
        <f t="shared" si="90"/>
        <v>#N/A</v>
      </c>
      <c r="C2154" s="198" t="e">
        <f t="shared" si="91"/>
        <v>#N/A</v>
      </c>
      <c r="D2154" s="526" t="e">
        <v>#N/A</v>
      </c>
      <c r="E2154" s="526" t="e">
        <v>#N/A</v>
      </c>
      <c r="F2154" s="526" t="e">
        <v>#N/A</v>
      </c>
      <c r="G2154" s="526" t="e">
        <v>#N/A</v>
      </c>
      <c r="H2154" s="412" t="e">
        <v>#N/A</v>
      </c>
      <c r="I2154" s="411" t="e">
        <v>#N/A</v>
      </c>
      <c r="J2154" s="411" t="e">
        <v>#N/A</v>
      </c>
      <c r="K2154" s="411" t="e">
        <v>#N/A</v>
      </c>
      <c r="L2154" s="526" t="e">
        <v>#N/A</v>
      </c>
    </row>
    <row r="2155" spans="1:12" ht="15" x14ac:dyDescent="0.25">
      <c r="A2155">
        <v>373937</v>
      </c>
      <c r="B2155" t="e">
        <f t="shared" si="90"/>
        <v>#N/A</v>
      </c>
      <c r="C2155" s="198" t="e">
        <f t="shared" si="91"/>
        <v>#N/A</v>
      </c>
      <c r="D2155" s="526" t="e">
        <v>#N/A</v>
      </c>
      <c r="E2155" s="526" t="e">
        <v>#N/A</v>
      </c>
      <c r="F2155" s="526" t="e">
        <v>#N/A</v>
      </c>
      <c r="G2155" s="526" t="e">
        <v>#N/A</v>
      </c>
      <c r="H2155" s="412" t="e">
        <v>#N/A</v>
      </c>
      <c r="I2155" s="411" t="e">
        <v>#N/A</v>
      </c>
      <c r="J2155" s="411" t="e">
        <v>#N/A</v>
      </c>
      <c r="K2155" s="411" t="e">
        <v>#N/A</v>
      </c>
      <c r="L2155" s="526" t="e">
        <v>#N/A</v>
      </c>
    </row>
    <row r="2156" spans="1:12" ht="15" x14ac:dyDescent="0.25">
      <c r="A2156">
        <v>373938</v>
      </c>
      <c r="B2156" t="e">
        <f t="shared" si="90"/>
        <v>#N/A</v>
      </c>
      <c r="C2156" s="198" t="e">
        <f t="shared" si="91"/>
        <v>#N/A</v>
      </c>
      <c r="D2156" s="526" t="e">
        <v>#N/A</v>
      </c>
      <c r="E2156" s="526" t="e">
        <v>#N/A</v>
      </c>
      <c r="F2156" s="526" t="e">
        <v>#N/A</v>
      </c>
      <c r="G2156" s="526" t="e">
        <v>#N/A</v>
      </c>
      <c r="H2156" s="412" t="e">
        <v>#N/A</v>
      </c>
      <c r="I2156" s="411" t="e">
        <v>#N/A</v>
      </c>
      <c r="J2156" s="411" t="e">
        <v>#N/A</v>
      </c>
      <c r="K2156" s="411" t="e">
        <v>#N/A</v>
      </c>
      <c r="L2156" s="526" t="e">
        <v>#N/A</v>
      </c>
    </row>
    <row r="2157" spans="1:12" ht="15" x14ac:dyDescent="0.25">
      <c r="A2157">
        <v>373939</v>
      </c>
      <c r="B2157" t="e">
        <f t="shared" si="90"/>
        <v>#N/A</v>
      </c>
      <c r="C2157" s="198" t="e">
        <f t="shared" si="91"/>
        <v>#N/A</v>
      </c>
      <c r="D2157" s="526" t="e">
        <v>#N/A</v>
      </c>
      <c r="E2157" s="526" t="e">
        <v>#N/A</v>
      </c>
      <c r="F2157" s="526" t="e">
        <v>#N/A</v>
      </c>
      <c r="G2157" s="526" t="e">
        <v>#N/A</v>
      </c>
      <c r="H2157" s="412" t="e">
        <v>#N/A</v>
      </c>
      <c r="I2157" s="411" t="e">
        <v>#N/A</v>
      </c>
      <c r="J2157" s="411" t="e">
        <v>#N/A</v>
      </c>
      <c r="K2157" s="411" t="e">
        <v>#N/A</v>
      </c>
      <c r="L2157" s="526" t="e">
        <v>#N/A</v>
      </c>
    </row>
    <row r="2158" spans="1:12" ht="15" x14ac:dyDescent="0.25">
      <c r="A2158">
        <v>373940</v>
      </c>
      <c r="B2158" t="e">
        <f t="shared" si="90"/>
        <v>#N/A</v>
      </c>
      <c r="C2158" s="198" t="e">
        <f t="shared" si="91"/>
        <v>#N/A</v>
      </c>
      <c r="D2158" s="526" t="e">
        <v>#N/A</v>
      </c>
      <c r="E2158" s="526" t="e">
        <v>#N/A</v>
      </c>
      <c r="F2158" s="526" t="e">
        <v>#N/A</v>
      </c>
      <c r="G2158" s="526" t="e">
        <v>#N/A</v>
      </c>
      <c r="H2158" s="412" t="e">
        <v>#N/A</v>
      </c>
      <c r="I2158" s="411" t="e">
        <v>#N/A</v>
      </c>
      <c r="J2158" s="411" t="e">
        <v>#N/A</v>
      </c>
      <c r="K2158" s="411" t="e">
        <v>#N/A</v>
      </c>
      <c r="L2158" s="526" t="e">
        <v>#N/A</v>
      </c>
    </row>
    <row r="2159" spans="1:12" ht="15" x14ac:dyDescent="0.25">
      <c r="A2159">
        <v>373941</v>
      </c>
      <c r="B2159" t="e">
        <f t="shared" si="90"/>
        <v>#N/A</v>
      </c>
      <c r="C2159" s="198" t="e">
        <f t="shared" si="91"/>
        <v>#N/A</v>
      </c>
      <c r="D2159" s="526" t="e">
        <v>#N/A</v>
      </c>
      <c r="E2159" s="526" t="e">
        <v>#N/A</v>
      </c>
      <c r="F2159" s="526" t="e">
        <v>#N/A</v>
      </c>
      <c r="G2159" s="526" t="e">
        <v>#N/A</v>
      </c>
      <c r="H2159" s="412" t="e">
        <v>#N/A</v>
      </c>
      <c r="I2159" s="411" t="e">
        <v>#N/A</v>
      </c>
      <c r="J2159" s="411" t="e">
        <v>#N/A</v>
      </c>
      <c r="K2159" s="411" t="e">
        <v>#N/A</v>
      </c>
      <c r="L2159" s="526" t="e">
        <v>#N/A</v>
      </c>
    </row>
    <row r="2160" spans="1:12" ht="15" x14ac:dyDescent="0.25">
      <c r="A2160">
        <v>373942</v>
      </c>
      <c r="B2160" t="e">
        <f t="shared" si="90"/>
        <v>#N/A</v>
      </c>
      <c r="C2160" s="198" t="e">
        <f t="shared" si="91"/>
        <v>#N/A</v>
      </c>
      <c r="D2160" s="526" t="e">
        <v>#N/A</v>
      </c>
      <c r="E2160" s="526" t="e">
        <v>#N/A</v>
      </c>
      <c r="F2160" s="526" t="e">
        <v>#N/A</v>
      </c>
      <c r="G2160" s="526" t="e">
        <v>#N/A</v>
      </c>
      <c r="H2160" s="412" t="e">
        <v>#N/A</v>
      </c>
      <c r="I2160" s="411" t="e">
        <v>#N/A</v>
      </c>
      <c r="J2160" s="411" t="e">
        <v>#N/A</v>
      </c>
      <c r="K2160" s="411" t="e">
        <v>#N/A</v>
      </c>
      <c r="L2160" s="526" t="e">
        <v>#N/A</v>
      </c>
    </row>
    <row r="2161" spans="1:12" ht="15" x14ac:dyDescent="0.25">
      <c r="A2161">
        <v>373943</v>
      </c>
      <c r="B2161" t="e">
        <f t="shared" si="90"/>
        <v>#N/A</v>
      </c>
      <c r="C2161" s="198" t="e">
        <f t="shared" si="91"/>
        <v>#N/A</v>
      </c>
      <c r="D2161" s="526" t="e">
        <v>#N/A</v>
      </c>
      <c r="E2161" s="526" t="e">
        <v>#N/A</v>
      </c>
      <c r="F2161" s="526" t="e">
        <v>#N/A</v>
      </c>
      <c r="G2161" s="526" t="e">
        <v>#N/A</v>
      </c>
      <c r="H2161" s="412" t="e">
        <v>#N/A</v>
      </c>
      <c r="I2161" s="411" t="e">
        <v>#N/A</v>
      </c>
      <c r="J2161" s="411" t="e">
        <v>#N/A</v>
      </c>
      <c r="K2161" s="411" t="e">
        <v>#N/A</v>
      </c>
      <c r="L2161" s="526" t="e">
        <v>#N/A</v>
      </c>
    </row>
    <row r="2162" spans="1:12" ht="15" x14ac:dyDescent="0.25">
      <c r="A2162">
        <v>374809</v>
      </c>
      <c r="B2162" t="e">
        <f t="shared" si="90"/>
        <v>#N/A</v>
      </c>
      <c r="C2162" s="198" t="e">
        <f t="shared" si="91"/>
        <v>#N/A</v>
      </c>
      <c r="D2162" s="526" t="e">
        <v>#N/A</v>
      </c>
      <c r="E2162" s="526" t="e">
        <v>#N/A</v>
      </c>
      <c r="F2162" s="526" t="e">
        <v>#N/A</v>
      </c>
      <c r="G2162" s="526" t="e">
        <v>#N/A</v>
      </c>
      <c r="H2162" s="412" t="e">
        <v>#N/A</v>
      </c>
      <c r="I2162" s="411" t="e">
        <v>#N/A</v>
      </c>
      <c r="J2162" s="411" t="e">
        <v>#N/A</v>
      </c>
      <c r="K2162" s="411" t="e">
        <v>#N/A</v>
      </c>
      <c r="L2162" s="526" t="e">
        <v>#N/A</v>
      </c>
    </row>
    <row r="2163" spans="1:12" ht="15" x14ac:dyDescent="0.25">
      <c r="A2163">
        <v>374810</v>
      </c>
      <c r="B2163" t="e">
        <f t="shared" si="90"/>
        <v>#N/A</v>
      </c>
      <c r="C2163" s="198" t="e">
        <f t="shared" si="91"/>
        <v>#N/A</v>
      </c>
      <c r="D2163" s="526" t="e">
        <v>#N/A</v>
      </c>
      <c r="E2163" s="526" t="e">
        <v>#N/A</v>
      </c>
      <c r="F2163" s="526" t="e">
        <v>#N/A</v>
      </c>
      <c r="G2163" s="526" t="e">
        <v>#N/A</v>
      </c>
      <c r="H2163" s="412" t="e">
        <v>#N/A</v>
      </c>
      <c r="I2163" s="411" t="e">
        <v>#N/A</v>
      </c>
      <c r="J2163" s="411" t="e">
        <v>#N/A</v>
      </c>
      <c r="K2163" s="411" t="e">
        <v>#N/A</v>
      </c>
      <c r="L2163" s="526" t="e">
        <v>#N/A</v>
      </c>
    </row>
    <row r="2164" spans="1:12" ht="15" x14ac:dyDescent="0.25">
      <c r="A2164">
        <v>374812</v>
      </c>
      <c r="B2164" t="e">
        <f t="shared" si="90"/>
        <v>#N/A</v>
      </c>
      <c r="C2164" s="198" t="e">
        <f t="shared" si="91"/>
        <v>#N/A</v>
      </c>
      <c r="D2164" s="526" t="e">
        <v>#N/A</v>
      </c>
      <c r="E2164" s="526" t="e">
        <v>#N/A</v>
      </c>
      <c r="F2164" s="526" t="e">
        <v>#N/A</v>
      </c>
      <c r="G2164" s="526" t="e">
        <v>#N/A</v>
      </c>
      <c r="H2164" s="412" t="e">
        <v>#N/A</v>
      </c>
      <c r="I2164" s="411" t="e">
        <v>#N/A</v>
      </c>
      <c r="J2164" s="411" t="e">
        <v>#N/A</v>
      </c>
      <c r="K2164" s="411" t="e">
        <v>#N/A</v>
      </c>
      <c r="L2164" s="526" t="e">
        <v>#N/A</v>
      </c>
    </row>
    <row r="2165" spans="1:12" ht="15" x14ac:dyDescent="0.25">
      <c r="A2165">
        <v>374813</v>
      </c>
      <c r="B2165" t="e">
        <f t="shared" si="90"/>
        <v>#N/A</v>
      </c>
      <c r="C2165" s="198" t="e">
        <f t="shared" si="91"/>
        <v>#N/A</v>
      </c>
      <c r="D2165" s="526" t="e">
        <v>#N/A</v>
      </c>
      <c r="E2165" s="526" t="e">
        <v>#N/A</v>
      </c>
      <c r="F2165" s="526" t="e">
        <v>#N/A</v>
      </c>
      <c r="G2165" s="526" t="e">
        <v>#N/A</v>
      </c>
      <c r="H2165" s="412" t="e">
        <v>#N/A</v>
      </c>
      <c r="I2165" s="411" t="e">
        <v>#N/A</v>
      </c>
      <c r="J2165" s="411" t="e">
        <v>#N/A</v>
      </c>
      <c r="K2165" s="411" t="e">
        <v>#N/A</v>
      </c>
      <c r="L2165" s="526" t="e">
        <v>#N/A</v>
      </c>
    </row>
    <row r="2166" spans="1:12" ht="15" x14ac:dyDescent="0.25">
      <c r="A2166">
        <v>374814</v>
      </c>
      <c r="B2166" t="e">
        <f t="shared" si="90"/>
        <v>#N/A</v>
      </c>
      <c r="C2166" s="198" t="e">
        <f t="shared" si="91"/>
        <v>#N/A</v>
      </c>
      <c r="D2166" s="526" t="e">
        <v>#N/A</v>
      </c>
      <c r="E2166" s="526" t="e">
        <v>#N/A</v>
      </c>
      <c r="F2166" s="526" t="e">
        <v>#N/A</v>
      </c>
      <c r="G2166" s="526" t="e">
        <v>#N/A</v>
      </c>
      <c r="H2166" s="412" t="e">
        <v>#N/A</v>
      </c>
      <c r="I2166" s="411" t="e">
        <v>#N/A</v>
      </c>
      <c r="J2166" s="411" t="e">
        <v>#N/A</v>
      </c>
      <c r="K2166" s="411" t="e">
        <v>#N/A</v>
      </c>
      <c r="L2166" s="526" t="e">
        <v>#N/A</v>
      </c>
    </row>
    <row r="2167" spans="1:12" ht="15" x14ac:dyDescent="0.25">
      <c r="A2167">
        <v>375036</v>
      </c>
      <c r="B2167" t="e">
        <f t="shared" si="90"/>
        <v>#N/A</v>
      </c>
      <c r="C2167" s="198" t="e">
        <f t="shared" si="91"/>
        <v>#N/A</v>
      </c>
      <c r="D2167" s="526" t="e">
        <v>#N/A</v>
      </c>
      <c r="E2167" s="526" t="e">
        <v>#N/A</v>
      </c>
      <c r="F2167" s="526" t="e">
        <v>#N/A</v>
      </c>
      <c r="G2167" s="526" t="e">
        <v>#N/A</v>
      </c>
      <c r="H2167" s="412" t="e">
        <v>#N/A</v>
      </c>
      <c r="I2167" s="411" t="e">
        <v>#N/A</v>
      </c>
      <c r="J2167" s="411" t="e">
        <v>#N/A</v>
      </c>
      <c r="K2167" s="411" t="e">
        <v>#N/A</v>
      </c>
      <c r="L2167" s="526" t="e">
        <v>#N/A</v>
      </c>
    </row>
    <row r="2168" spans="1:12" ht="15" x14ac:dyDescent="0.25">
      <c r="A2168">
        <v>375038</v>
      </c>
      <c r="B2168" t="e">
        <f t="shared" si="90"/>
        <v>#N/A</v>
      </c>
      <c r="C2168" s="198" t="e">
        <f t="shared" si="91"/>
        <v>#N/A</v>
      </c>
      <c r="D2168" s="526" t="e">
        <v>#N/A</v>
      </c>
      <c r="E2168" s="526" t="e">
        <v>#N/A</v>
      </c>
      <c r="F2168" s="526" t="e">
        <v>#N/A</v>
      </c>
      <c r="G2168" s="526" t="e">
        <v>#N/A</v>
      </c>
      <c r="H2168" s="412" t="e">
        <v>#N/A</v>
      </c>
      <c r="I2168" s="411" t="e">
        <v>#N/A</v>
      </c>
      <c r="J2168" s="411" t="e">
        <v>#N/A</v>
      </c>
      <c r="K2168" s="411" t="e">
        <v>#N/A</v>
      </c>
      <c r="L2168" s="526" t="e">
        <v>#N/A</v>
      </c>
    </row>
    <row r="2169" spans="1:12" ht="15" x14ac:dyDescent="0.25">
      <c r="A2169">
        <v>375040</v>
      </c>
      <c r="B2169" t="e">
        <f t="shared" si="90"/>
        <v>#N/A</v>
      </c>
      <c r="C2169" s="198" t="e">
        <f t="shared" si="91"/>
        <v>#N/A</v>
      </c>
      <c r="D2169" s="526" t="e">
        <v>#N/A</v>
      </c>
      <c r="E2169" s="526" t="e">
        <v>#N/A</v>
      </c>
      <c r="F2169" s="526" t="e">
        <v>#N/A</v>
      </c>
      <c r="G2169" s="526" t="e">
        <v>#N/A</v>
      </c>
      <c r="H2169" s="412" t="e">
        <v>#N/A</v>
      </c>
      <c r="I2169" s="411" t="e">
        <v>#N/A</v>
      </c>
      <c r="J2169" s="411" t="e">
        <v>#N/A</v>
      </c>
      <c r="K2169" s="411" t="e">
        <v>#N/A</v>
      </c>
      <c r="L2169" s="526" t="e">
        <v>#N/A</v>
      </c>
    </row>
    <row r="2170" spans="1:12" ht="15" x14ac:dyDescent="0.25">
      <c r="A2170">
        <v>375041</v>
      </c>
      <c r="B2170" t="e">
        <f t="shared" si="90"/>
        <v>#N/A</v>
      </c>
      <c r="C2170" s="198" t="e">
        <f t="shared" si="91"/>
        <v>#N/A</v>
      </c>
      <c r="D2170" s="526" t="e">
        <v>#N/A</v>
      </c>
      <c r="E2170" s="526" t="e">
        <v>#N/A</v>
      </c>
      <c r="F2170" s="526" t="e">
        <v>#N/A</v>
      </c>
      <c r="G2170" s="526" t="e">
        <v>#N/A</v>
      </c>
      <c r="H2170" s="412" t="e">
        <v>#N/A</v>
      </c>
      <c r="I2170" s="411" t="e">
        <v>#N/A</v>
      </c>
      <c r="J2170" s="411" t="e">
        <v>#N/A</v>
      </c>
      <c r="K2170" s="411" t="e">
        <v>#N/A</v>
      </c>
      <c r="L2170" s="526" t="e">
        <v>#N/A</v>
      </c>
    </row>
    <row r="2171" spans="1:12" ht="15" x14ac:dyDescent="0.25">
      <c r="A2171">
        <v>375042</v>
      </c>
      <c r="B2171" t="e">
        <f t="shared" si="90"/>
        <v>#N/A</v>
      </c>
      <c r="C2171" s="198" t="e">
        <f t="shared" si="91"/>
        <v>#N/A</v>
      </c>
      <c r="D2171" s="526" t="e">
        <v>#N/A</v>
      </c>
      <c r="E2171" s="526" t="e">
        <v>#N/A</v>
      </c>
      <c r="F2171" s="526" t="e">
        <v>#N/A</v>
      </c>
      <c r="G2171" s="526" t="e">
        <v>#N/A</v>
      </c>
      <c r="H2171" s="412" t="e">
        <v>#N/A</v>
      </c>
      <c r="I2171" s="411" t="e">
        <v>#N/A</v>
      </c>
      <c r="J2171" s="411" t="e">
        <v>#N/A</v>
      </c>
      <c r="K2171" s="411" t="e">
        <v>#N/A</v>
      </c>
      <c r="L2171" s="526" t="e">
        <v>#N/A</v>
      </c>
    </row>
    <row r="2172" spans="1:12" ht="15" x14ac:dyDescent="0.25">
      <c r="A2172">
        <v>375047</v>
      </c>
      <c r="B2172" t="e">
        <f t="shared" si="90"/>
        <v>#N/A</v>
      </c>
      <c r="C2172" s="198" t="e">
        <f t="shared" si="91"/>
        <v>#N/A</v>
      </c>
      <c r="D2172" s="526" t="e">
        <v>#N/A</v>
      </c>
      <c r="E2172" s="526" t="e">
        <v>#N/A</v>
      </c>
      <c r="F2172" s="526" t="e">
        <v>#N/A</v>
      </c>
      <c r="G2172" s="526" t="e">
        <v>#N/A</v>
      </c>
      <c r="H2172" s="412" t="e">
        <v>#N/A</v>
      </c>
      <c r="I2172" s="411" t="e">
        <v>#N/A</v>
      </c>
      <c r="J2172" s="411" t="e">
        <v>#N/A</v>
      </c>
      <c r="K2172" s="411" t="e">
        <v>#N/A</v>
      </c>
      <c r="L2172" s="526" t="e">
        <v>#N/A</v>
      </c>
    </row>
    <row r="2173" spans="1:12" ht="15" x14ac:dyDescent="0.25">
      <c r="A2173">
        <v>375048</v>
      </c>
      <c r="B2173" t="e">
        <f t="shared" si="90"/>
        <v>#N/A</v>
      </c>
      <c r="C2173" s="198" t="e">
        <f t="shared" si="91"/>
        <v>#N/A</v>
      </c>
      <c r="D2173" s="526" t="e">
        <v>#N/A</v>
      </c>
      <c r="E2173" s="526" t="e">
        <v>#N/A</v>
      </c>
      <c r="F2173" s="526" t="e">
        <v>#N/A</v>
      </c>
      <c r="G2173" s="526" t="e">
        <v>#N/A</v>
      </c>
      <c r="H2173" s="412" t="e">
        <v>#N/A</v>
      </c>
      <c r="I2173" s="411" t="e">
        <v>#N/A</v>
      </c>
      <c r="J2173" s="411" t="e">
        <v>#N/A</v>
      </c>
      <c r="K2173" s="411" t="e">
        <v>#N/A</v>
      </c>
      <c r="L2173" s="526" t="e">
        <v>#N/A</v>
      </c>
    </row>
    <row r="2174" spans="1:12" ht="15" x14ac:dyDescent="0.25">
      <c r="A2174">
        <v>350696</v>
      </c>
      <c r="B2174" t="str">
        <f t="shared" si="90"/>
        <v>SEVROLL U profil oceľový 6m strieborný</v>
      </c>
      <c r="C2174" s="198">
        <f t="shared" si="91"/>
        <v>51.37377</v>
      </c>
      <c r="D2174" s="526" t="s">
        <v>1719</v>
      </c>
      <c r="E2174" s="526" t="s">
        <v>2146</v>
      </c>
      <c r="F2174" s="526" t="s">
        <v>2322</v>
      </c>
      <c r="G2174" s="526" t="s">
        <v>6151</v>
      </c>
      <c r="H2174" s="412">
        <v>1355.97055</v>
      </c>
      <c r="I2174" s="411">
        <v>51.37377</v>
      </c>
      <c r="J2174" s="411">
        <v>176.7646</v>
      </c>
      <c r="K2174" s="411">
        <v>18918.328839999998</v>
      </c>
      <c r="L2174" s="526" t="s">
        <v>554</v>
      </c>
    </row>
    <row r="2175" spans="1:12" ht="15" x14ac:dyDescent="0.25">
      <c r="A2175">
        <v>351137</v>
      </c>
      <c r="B2175" t="e">
        <f t="shared" si="90"/>
        <v>#N/A</v>
      </c>
      <c r="C2175" s="198" t="e">
        <f t="shared" si="91"/>
        <v>#N/A</v>
      </c>
      <c r="D2175" s="526" t="e">
        <v>#N/A</v>
      </c>
      <c r="E2175" s="526" t="e">
        <v>#N/A</v>
      </c>
      <c r="F2175" s="526" t="e">
        <v>#N/A</v>
      </c>
      <c r="G2175" s="526" t="e">
        <v>#N/A</v>
      </c>
      <c r="H2175" s="412" t="e">
        <v>#N/A</v>
      </c>
      <c r="I2175" s="411" t="e">
        <v>#N/A</v>
      </c>
      <c r="J2175" s="411" t="e">
        <v>#N/A</v>
      </c>
      <c r="K2175" s="411" t="e">
        <v>#N/A</v>
      </c>
      <c r="L2175" s="526" t="e">
        <v>#N/A</v>
      </c>
    </row>
    <row r="2176" spans="1:12" ht="15" x14ac:dyDescent="0.25">
      <c r="A2176">
        <v>460670</v>
      </c>
      <c r="B2176" t="e">
        <f t="shared" si="90"/>
        <v>#N/A</v>
      </c>
      <c r="C2176" s="198" t="e">
        <f t="shared" si="91"/>
        <v>#N/A</v>
      </c>
      <c r="D2176" s="526" t="e">
        <v>#N/A</v>
      </c>
      <c r="E2176" s="526" t="e">
        <v>#N/A</v>
      </c>
      <c r="F2176" s="526" t="e">
        <v>#N/A</v>
      </c>
      <c r="G2176" s="526" t="e">
        <v>#N/A</v>
      </c>
      <c r="H2176" s="412" t="e">
        <v>#N/A</v>
      </c>
      <c r="I2176" s="411" t="e">
        <v>#N/A</v>
      </c>
      <c r="J2176" s="411" t="e">
        <v>#N/A</v>
      </c>
      <c r="K2176" s="411" t="e">
        <v>#N/A</v>
      </c>
      <c r="L2176" s="526" t="e">
        <v>#N/A</v>
      </c>
    </row>
    <row r="2177" spans="1:12" ht="15" x14ac:dyDescent="0.25">
      <c r="A2177">
        <v>460671</v>
      </c>
      <c r="B2177" t="e">
        <f t="shared" ref="B2177:B2211" si="92">IF($A$2=1,D2177,IF($A$2=2,F2177,IF($A$2=3,G2177,IF($A$2=4,E2177,"zadat jazyk"))))</f>
        <v>#N/A</v>
      </c>
      <c r="C2177" s="198" t="e">
        <f t="shared" ref="C2177:C2211" si="93">IF($A$2=1,H2177,IF($A$2=2,I2177,IF($A$2=3,J2177,IF($A$2=4,K2177,"zadat jazyk"))))</f>
        <v>#N/A</v>
      </c>
      <c r="D2177" s="526" t="e">
        <v>#N/A</v>
      </c>
      <c r="E2177" s="526" t="e">
        <v>#N/A</v>
      </c>
      <c r="F2177" s="526" t="e">
        <v>#N/A</v>
      </c>
      <c r="G2177" s="526" t="e">
        <v>#N/A</v>
      </c>
      <c r="H2177" s="412" t="e">
        <v>#N/A</v>
      </c>
      <c r="I2177" s="411" t="e">
        <v>#N/A</v>
      </c>
      <c r="J2177" s="411" t="e">
        <v>#N/A</v>
      </c>
      <c r="K2177" s="411" t="e">
        <v>#N/A</v>
      </c>
      <c r="L2177" s="526" t="e">
        <v>#N/A</v>
      </c>
    </row>
    <row r="2178" spans="1:12" ht="15" x14ac:dyDescent="0.25">
      <c r="A2178">
        <v>460672</v>
      </c>
      <c r="B2178" t="e">
        <f t="shared" si="92"/>
        <v>#N/A</v>
      </c>
      <c r="C2178" s="198" t="e">
        <f t="shared" si="93"/>
        <v>#N/A</v>
      </c>
      <c r="D2178" s="526" t="e">
        <v>#N/A</v>
      </c>
      <c r="E2178" s="526" t="e">
        <v>#N/A</v>
      </c>
      <c r="F2178" s="526" t="e">
        <v>#N/A</v>
      </c>
      <c r="G2178" s="526" t="e">
        <v>#N/A</v>
      </c>
      <c r="H2178" s="412" t="e">
        <v>#N/A</v>
      </c>
      <c r="I2178" s="411" t="e">
        <v>#N/A</v>
      </c>
      <c r="J2178" s="411" t="e">
        <v>#N/A</v>
      </c>
      <c r="K2178" s="411" t="e">
        <v>#N/A</v>
      </c>
      <c r="L2178" s="526" t="e">
        <v>#N/A</v>
      </c>
    </row>
    <row r="2179" spans="1:12" ht="15" x14ac:dyDescent="0.25">
      <c r="A2179">
        <v>88052</v>
      </c>
      <c r="B2179" t="e">
        <f t="shared" si="92"/>
        <v>#N/A</v>
      </c>
      <c r="C2179" s="198" t="e">
        <f t="shared" si="93"/>
        <v>#N/A</v>
      </c>
      <c r="D2179" s="526" t="e">
        <v>#N/A</v>
      </c>
      <c r="E2179" s="526" t="e">
        <v>#N/A</v>
      </c>
      <c r="F2179" s="526" t="e">
        <v>#N/A</v>
      </c>
      <c r="G2179" s="526" t="e">
        <v>#N/A</v>
      </c>
      <c r="H2179" s="412" t="e">
        <v>#N/A</v>
      </c>
      <c r="I2179" s="411" t="e">
        <v>#N/A</v>
      </c>
      <c r="J2179" s="411" t="e">
        <v>#N/A</v>
      </c>
      <c r="K2179" s="411" t="e">
        <v>#N/A</v>
      </c>
      <c r="L2179" s="526" t="e">
        <v>#N/A</v>
      </c>
    </row>
    <row r="2180" spans="1:12" ht="15" x14ac:dyDescent="0.25">
      <c r="A2180">
        <v>86275</v>
      </c>
      <c r="B2180" t="e">
        <f t="shared" si="92"/>
        <v>#N/A</v>
      </c>
      <c r="C2180" s="198" t="e">
        <f t="shared" si="93"/>
        <v>#N/A</v>
      </c>
      <c r="D2180" s="526" t="e">
        <v>#N/A</v>
      </c>
      <c r="E2180" s="526" t="e">
        <v>#N/A</v>
      </c>
      <c r="F2180" s="526" t="e">
        <v>#N/A</v>
      </c>
      <c r="G2180" s="526" t="e">
        <v>#N/A</v>
      </c>
      <c r="H2180" s="412" t="e">
        <v>#N/A</v>
      </c>
      <c r="I2180" s="411" t="e">
        <v>#N/A</v>
      </c>
      <c r="J2180" s="411" t="e">
        <v>#N/A</v>
      </c>
      <c r="K2180" s="411" t="e">
        <v>#N/A</v>
      </c>
      <c r="L2180" s="526" t="e">
        <v>#N/A</v>
      </c>
    </row>
    <row r="2181" spans="1:12" ht="15" x14ac:dyDescent="0.25">
      <c r="A2181">
        <v>86282</v>
      </c>
      <c r="B2181" t="e">
        <f t="shared" si="92"/>
        <v>#N/A</v>
      </c>
      <c r="C2181" s="198" t="e">
        <f t="shared" si="93"/>
        <v>#N/A</v>
      </c>
      <c r="D2181" s="526" t="e">
        <v>#N/A</v>
      </c>
      <c r="E2181" s="526" t="e">
        <v>#N/A</v>
      </c>
      <c r="F2181" s="526" t="e">
        <v>#N/A</v>
      </c>
      <c r="G2181" s="526" t="e">
        <v>#N/A</v>
      </c>
      <c r="H2181" s="412" t="e">
        <v>#N/A</v>
      </c>
      <c r="I2181" s="411" t="e">
        <v>#N/A</v>
      </c>
      <c r="J2181" s="411" t="e">
        <v>#N/A</v>
      </c>
      <c r="K2181" s="411" t="e">
        <v>#N/A</v>
      </c>
      <c r="L2181" s="526" t="e">
        <v>#N/A</v>
      </c>
    </row>
    <row r="2182" spans="1:12" ht="15" x14ac:dyDescent="0.25">
      <c r="A2182">
        <v>86283</v>
      </c>
      <c r="B2182" t="e">
        <f t="shared" si="92"/>
        <v>#N/A</v>
      </c>
      <c r="C2182" s="198" t="e">
        <f t="shared" si="93"/>
        <v>#N/A</v>
      </c>
      <c r="D2182" s="526" t="e">
        <v>#N/A</v>
      </c>
      <c r="E2182" s="526" t="e">
        <v>#N/A</v>
      </c>
      <c r="F2182" s="526" t="e">
        <v>#N/A</v>
      </c>
      <c r="G2182" s="526" t="e">
        <v>#N/A</v>
      </c>
      <c r="H2182" s="412" t="e">
        <v>#N/A</v>
      </c>
      <c r="I2182" s="411" t="e">
        <v>#N/A</v>
      </c>
      <c r="J2182" s="411" t="e">
        <v>#N/A</v>
      </c>
      <c r="K2182" s="411" t="e">
        <v>#N/A</v>
      </c>
      <c r="L2182" s="526" t="e">
        <v>#N/A</v>
      </c>
    </row>
    <row r="2183" spans="1:12" ht="15" x14ac:dyDescent="0.25">
      <c r="A2183">
        <v>86286</v>
      </c>
      <c r="B2183" t="e">
        <f t="shared" si="92"/>
        <v>#N/A</v>
      </c>
      <c r="C2183" s="198" t="e">
        <f t="shared" si="93"/>
        <v>#N/A</v>
      </c>
      <c r="D2183" s="526" t="e">
        <v>#N/A</v>
      </c>
      <c r="E2183" s="526" t="e">
        <v>#N/A</v>
      </c>
      <c r="F2183" s="526" t="e">
        <v>#N/A</v>
      </c>
      <c r="G2183" s="526" t="e">
        <v>#N/A</v>
      </c>
      <c r="H2183" s="412" t="e">
        <v>#N/A</v>
      </c>
      <c r="I2183" s="411" t="e">
        <v>#N/A</v>
      </c>
      <c r="J2183" s="411" t="e">
        <v>#N/A</v>
      </c>
      <c r="K2183" s="411" t="e">
        <v>#N/A</v>
      </c>
      <c r="L2183" s="526" t="e">
        <v>#N/A</v>
      </c>
    </row>
    <row r="2184" spans="1:12" ht="15" x14ac:dyDescent="0.25">
      <c r="A2184">
        <v>87350</v>
      </c>
      <c r="B2184" t="e">
        <f t="shared" si="92"/>
        <v>#N/A</v>
      </c>
      <c r="C2184" s="198" t="e">
        <f t="shared" si="93"/>
        <v>#N/A</v>
      </c>
      <c r="D2184" s="526" t="e">
        <v>#N/A</v>
      </c>
      <c r="E2184" s="526" t="e">
        <v>#N/A</v>
      </c>
      <c r="F2184" s="526" t="e">
        <v>#N/A</v>
      </c>
      <c r="G2184" s="526" t="e">
        <v>#N/A</v>
      </c>
      <c r="H2184" s="412" t="e">
        <v>#N/A</v>
      </c>
      <c r="I2184" s="411" t="e">
        <v>#N/A</v>
      </c>
      <c r="J2184" s="411" t="e">
        <v>#N/A</v>
      </c>
      <c r="K2184" s="411" t="e">
        <v>#N/A</v>
      </c>
      <c r="L2184" s="526" t="e">
        <v>#N/A</v>
      </c>
    </row>
    <row r="2185" spans="1:12" ht="15" x14ac:dyDescent="0.25">
      <c r="A2185">
        <v>87351</v>
      </c>
      <c r="B2185" t="e">
        <f t="shared" si="92"/>
        <v>#N/A</v>
      </c>
      <c r="C2185" s="198" t="e">
        <f t="shared" si="93"/>
        <v>#N/A</v>
      </c>
      <c r="D2185" s="526" t="e">
        <v>#N/A</v>
      </c>
      <c r="E2185" s="526" t="e">
        <v>#N/A</v>
      </c>
      <c r="F2185" s="526" t="e">
        <v>#N/A</v>
      </c>
      <c r="G2185" s="526" t="e">
        <v>#N/A</v>
      </c>
      <c r="H2185" s="412" t="e">
        <v>#N/A</v>
      </c>
      <c r="I2185" s="411" t="e">
        <v>#N/A</v>
      </c>
      <c r="J2185" s="411" t="e">
        <v>#N/A</v>
      </c>
      <c r="K2185" s="411" t="e">
        <v>#N/A</v>
      </c>
      <c r="L2185" s="526" t="e">
        <v>#N/A</v>
      </c>
    </row>
    <row r="2186" spans="1:12" ht="15" x14ac:dyDescent="0.25">
      <c r="A2186">
        <v>87352</v>
      </c>
      <c r="B2186" t="e">
        <f t="shared" si="92"/>
        <v>#N/A</v>
      </c>
      <c r="C2186" s="198" t="e">
        <f t="shared" si="93"/>
        <v>#N/A</v>
      </c>
      <c r="D2186" s="526" t="e">
        <v>#N/A</v>
      </c>
      <c r="E2186" s="526" t="e">
        <v>#N/A</v>
      </c>
      <c r="F2186" s="526" t="e">
        <v>#N/A</v>
      </c>
      <c r="G2186" s="526" t="e">
        <v>#N/A</v>
      </c>
      <c r="H2186" s="412" t="e">
        <v>#N/A</v>
      </c>
      <c r="I2186" s="411" t="e">
        <v>#N/A</v>
      </c>
      <c r="J2186" s="411" t="e">
        <v>#N/A</v>
      </c>
      <c r="K2186" s="411" t="e">
        <v>#N/A</v>
      </c>
      <c r="L2186" s="526" t="e">
        <v>#N/A</v>
      </c>
    </row>
    <row r="2187" spans="1:12" ht="15" x14ac:dyDescent="0.25">
      <c r="A2187">
        <v>87353</v>
      </c>
      <c r="B2187" t="e">
        <f t="shared" si="92"/>
        <v>#N/A</v>
      </c>
      <c r="C2187" s="198" t="e">
        <f t="shared" si="93"/>
        <v>#N/A</v>
      </c>
      <c r="D2187" s="526" t="e">
        <v>#N/A</v>
      </c>
      <c r="E2187" s="526" t="e">
        <v>#N/A</v>
      </c>
      <c r="F2187" s="526" t="e">
        <v>#N/A</v>
      </c>
      <c r="G2187" s="526" t="e">
        <v>#N/A</v>
      </c>
      <c r="H2187" s="412" t="e">
        <v>#N/A</v>
      </c>
      <c r="I2187" s="411" t="e">
        <v>#N/A</v>
      </c>
      <c r="J2187" s="411" t="e">
        <v>#N/A</v>
      </c>
      <c r="K2187" s="411" t="e">
        <v>#N/A</v>
      </c>
      <c r="L2187" s="526" t="e">
        <v>#N/A</v>
      </c>
    </row>
    <row r="2188" spans="1:12" ht="15" x14ac:dyDescent="0.25">
      <c r="A2188">
        <v>87354</v>
      </c>
      <c r="B2188" t="e">
        <f t="shared" si="92"/>
        <v>#N/A</v>
      </c>
      <c r="C2188" s="198" t="e">
        <f t="shared" si="93"/>
        <v>#N/A</v>
      </c>
      <c r="D2188" s="526" t="e">
        <v>#N/A</v>
      </c>
      <c r="E2188" s="526" t="e">
        <v>#N/A</v>
      </c>
      <c r="F2188" s="526" t="e">
        <v>#N/A</v>
      </c>
      <c r="G2188" s="526" t="e">
        <v>#N/A</v>
      </c>
      <c r="H2188" s="412" t="e">
        <v>#N/A</v>
      </c>
      <c r="I2188" s="411" t="e">
        <v>#N/A</v>
      </c>
      <c r="J2188" s="411" t="e">
        <v>#N/A</v>
      </c>
      <c r="K2188" s="411" t="e">
        <v>#N/A</v>
      </c>
      <c r="L2188" s="526" t="e">
        <v>#N/A</v>
      </c>
    </row>
    <row r="2189" spans="1:12" ht="15" x14ac:dyDescent="0.25">
      <c r="A2189">
        <v>87355</v>
      </c>
      <c r="B2189" t="e">
        <f t="shared" si="92"/>
        <v>#N/A</v>
      </c>
      <c r="C2189" s="198" t="e">
        <f t="shared" si="93"/>
        <v>#N/A</v>
      </c>
      <c r="D2189" s="526" t="e">
        <v>#N/A</v>
      </c>
      <c r="E2189" s="526" t="e">
        <v>#N/A</v>
      </c>
      <c r="F2189" s="526" t="e">
        <v>#N/A</v>
      </c>
      <c r="G2189" s="526" t="e">
        <v>#N/A</v>
      </c>
      <c r="H2189" s="412" t="e">
        <v>#N/A</v>
      </c>
      <c r="I2189" s="411" t="e">
        <v>#N/A</v>
      </c>
      <c r="J2189" s="411" t="e">
        <v>#N/A</v>
      </c>
      <c r="K2189" s="411" t="e">
        <v>#N/A</v>
      </c>
      <c r="L2189" s="526" t="e">
        <v>#N/A</v>
      </c>
    </row>
    <row r="2190" spans="1:12" ht="15" x14ac:dyDescent="0.25">
      <c r="A2190">
        <v>87356</v>
      </c>
      <c r="B2190" t="e">
        <f t="shared" si="92"/>
        <v>#N/A</v>
      </c>
      <c r="C2190" s="198" t="e">
        <f t="shared" si="93"/>
        <v>#N/A</v>
      </c>
      <c r="D2190" s="526" t="e">
        <v>#N/A</v>
      </c>
      <c r="E2190" s="526" t="e">
        <v>#N/A</v>
      </c>
      <c r="F2190" s="526" t="e">
        <v>#N/A</v>
      </c>
      <c r="G2190" s="526" t="e">
        <v>#N/A</v>
      </c>
      <c r="H2190" s="412" t="e">
        <v>#N/A</v>
      </c>
      <c r="I2190" s="411" t="e">
        <v>#N/A</v>
      </c>
      <c r="J2190" s="411" t="e">
        <v>#N/A</v>
      </c>
      <c r="K2190" s="411" t="e">
        <v>#N/A</v>
      </c>
      <c r="L2190" s="526" t="e">
        <v>#N/A</v>
      </c>
    </row>
    <row r="2191" spans="1:12" ht="15" x14ac:dyDescent="0.25">
      <c r="A2191">
        <v>220613</v>
      </c>
      <c r="B2191" t="str">
        <f t="shared" si="92"/>
        <v>SEVROLL U profil oceľový 2m strieborný</v>
      </c>
      <c r="C2191" s="198">
        <f t="shared" si="93"/>
        <v>16.77195</v>
      </c>
      <c r="D2191" s="526" t="s">
        <v>3047</v>
      </c>
      <c r="E2191" s="526" t="s">
        <v>2147</v>
      </c>
      <c r="F2191" s="526" t="s">
        <v>2323</v>
      </c>
      <c r="G2191" s="526" t="s">
        <v>2623</v>
      </c>
      <c r="H2191" s="412">
        <v>442.6825</v>
      </c>
      <c r="I2191" s="411">
        <v>16.77195</v>
      </c>
      <c r="J2191" s="411">
        <v>57.708179999999999</v>
      </c>
      <c r="K2191" s="411">
        <v>6176.25</v>
      </c>
      <c r="L2191" s="526" t="s">
        <v>554</v>
      </c>
    </row>
    <row r="2192" spans="1:12" ht="15" x14ac:dyDescent="0.25">
      <c r="A2192">
        <v>220614</v>
      </c>
      <c r="B2192" t="str">
        <f t="shared" si="92"/>
        <v>SEVROLL sada Herkules plus 40kg pre 2 krídla</v>
      </c>
      <c r="C2192" s="198" t="e">
        <f t="shared" si="93"/>
        <v>#N/A</v>
      </c>
      <c r="D2192" s="526" t="s">
        <v>3048</v>
      </c>
      <c r="E2192" s="526" t="s">
        <v>2148</v>
      </c>
      <c r="F2192" s="526" t="s">
        <v>2324</v>
      </c>
      <c r="G2192" s="526" t="s">
        <v>2624</v>
      </c>
      <c r="H2192" s="412" t="e">
        <v>#N/A</v>
      </c>
      <c r="I2192" s="411" t="e">
        <v>#N/A</v>
      </c>
      <c r="J2192" s="411" t="e">
        <v>#N/A</v>
      </c>
      <c r="K2192" s="411" t="e">
        <v>#N/A</v>
      </c>
      <c r="L2192" s="526" t="e">
        <v>#N/A</v>
      </c>
    </row>
    <row r="2193" spans="1:12" ht="15" x14ac:dyDescent="0.25">
      <c r="A2193">
        <v>220615</v>
      </c>
      <c r="B2193" t="str">
        <f t="shared" si="92"/>
        <v>SEVROLL vodítko pre skládacie dvere Herkules</v>
      </c>
      <c r="C2193" s="198" t="e">
        <f t="shared" si="93"/>
        <v>#N/A</v>
      </c>
      <c r="D2193" s="526" t="s">
        <v>3049</v>
      </c>
      <c r="E2193" s="526" t="s">
        <v>2149</v>
      </c>
      <c r="F2193" s="526" t="s">
        <v>2325</v>
      </c>
      <c r="G2193" s="526" t="s">
        <v>2625</v>
      </c>
      <c r="H2193" s="412" t="e">
        <v>#N/A</v>
      </c>
      <c r="I2193" s="411" t="e">
        <v>#N/A</v>
      </c>
      <c r="J2193" s="411" t="e">
        <v>#N/A</v>
      </c>
      <c r="K2193" s="411" t="e">
        <v>#N/A</v>
      </c>
      <c r="L2193" s="526" t="e">
        <v>#N/A</v>
      </c>
    </row>
    <row r="2194" spans="1:12" ht="15" x14ac:dyDescent="0.25">
      <c r="A2194">
        <v>220616</v>
      </c>
      <c r="B2194" t="str">
        <f t="shared" si="92"/>
        <v>SEVROLL stredový záves pružinový strieborný</v>
      </c>
      <c r="C2194" s="198">
        <f t="shared" si="93"/>
        <v>3.3285900000000002</v>
      </c>
      <c r="D2194" s="526" t="s">
        <v>3050</v>
      </c>
      <c r="E2194" s="526" t="s">
        <v>2150</v>
      </c>
      <c r="F2194" s="526" t="s">
        <v>2326</v>
      </c>
      <c r="G2194" s="526" t="s">
        <v>2626</v>
      </c>
      <c r="H2194" s="412">
        <v>87.855450000000005</v>
      </c>
      <c r="I2194" s="411">
        <v>3.3285900000000002</v>
      </c>
      <c r="J2194" s="411">
        <v>11.45285</v>
      </c>
      <c r="K2194" s="411">
        <v>1225.7480700000001</v>
      </c>
      <c r="L2194" s="526" t="s">
        <v>554</v>
      </c>
    </row>
    <row r="2195" spans="1:12" ht="15" x14ac:dyDescent="0.25">
      <c r="A2195">
        <v>220617</v>
      </c>
      <c r="B2195" t="str">
        <f t="shared" si="92"/>
        <v>SEVROLL Herkules plus horné vedenie 1,5m</v>
      </c>
      <c r="C2195" s="198" t="e">
        <f t="shared" si="93"/>
        <v>#N/A</v>
      </c>
      <c r="D2195" s="526" t="s">
        <v>3051</v>
      </c>
      <c r="E2195" s="526" t="s">
        <v>2151</v>
      </c>
      <c r="F2195" s="526" t="s">
        <v>2327</v>
      </c>
      <c r="G2195" s="526" t="s">
        <v>2627</v>
      </c>
      <c r="H2195" s="412" t="e">
        <v>#N/A</v>
      </c>
      <c r="I2195" s="411" t="e">
        <v>#N/A</v>
      </c>
      <c r="J2195" s="411" t="e">
        <v>#N/A</v>
      </c>
      <c r="K2195" s="411" t="e">
        <v>#N/A</v>
      </c>
      <c r="L2195" s="526" t="e">
        <v>#N/A</v>
      </c>
    </row>
    <row r="2196" spans="1:12" ht="15" x14ac:dyDescent="0.25">
      <c r="A2196">
        <v>221955</v>
      </c>
      <c r="B2196" t="e">
        <f t="shared" si="92"/>
        <v>#N/A</v>
      </c>
      <c r="C2196" s="198" t="e">
        <f t="shared" si="93"/>
        <v>#N/A</v>
      </c>
      <c r="D2196" s="526" t="e">
        <v>#N/A</v>
      </c>
      <c r="E2196" s="526" t="e">
        <v>#N/A</v>
      </c>
      <c r="F2196" s="526" t="e">
        <v>#N/A</v>
      </c>
      <c r="G2196" s="526" t="e">
        <v>#N/A</v>
      </c>
      <c r="H2196" s="412" t="e">
        <v>#N/A</v>
      </c>
      <c r="I2196" s="411" t="e">
        <v>#N/A</v>
      </c>
      <c r="J2196" s="411" t="e">
        <v>#N/A</v>
      </c>
      <c r="K2196" s="411" t="e">
        <v>#N/A</v>
      </c>
      <c r="L2196" s="526" t="e">
        <v>#N/A</v>
      </c>
    </row>
    <row r="2197" spans="1:12" ht="15" x14ac:dyDescent="0.25">
      <c r="A2197">
        <v>251160</v>
      </c>
      <c r="B2197" t="e">
        <f t="shared" si="92"/>
        <v>#N/A</v>
      </c>
      <c r="C2197" s="198" t="e">
        <f t="shared" si="93"/>
        <v>#N/A</v>
      </c>
      <c r="D2197" s="526" t="e">
        <v>#N/A</v>
      </c>
      <c r="E2197" s="526" t="e">
        <v>#N/A</v>
      </c>
      <c r="F2197" s="526" t="e">
        <v>#N/A</v>
      </c>
      <c r="G2197" s="526" t="e">
        <v>#N/A</v>
      </c>
      <c r="H2197" s="412" t="e">
        <v>#N/A</v>
      </c>
      <c r="I2197" s="411" t="e">
        <v>#N/A</v>
      </c>
      <c r="J2197" s="411" t="e">
        <v>#N/A</v>
      </c>
      <c r="K2197" s="411" t="e">
        <v>#N/A</v>
      </c>
      <c r="L2197" s="526" t="e">
        <v>#N/A</v>
      </c>
    </row>
    <row r="2198" spans="1:12" ht="15" x14ac:dyDescent="0.25">
      <c r="A2198">
        <v>251161</v>
      </c>
      <c r="B2198" t="e">
        <f t="shared" si="92"/>
        <v>#N/A</v>
      </c>
      <c r="C2198" s="198" t="e">
        <f t="shared" si="93"/>
        <v>#N/A</v>
      </c>
      <c r="D2198" s="526" t="e">
        <v>#N/A</v>
      </c>
      <c r="E2198" s="526" t="e">
        <v>#N/A</v>
      </c>
      <c r="F2198" s="526" t="e">
        <v>#N/A</v>
      </c>
      <c r="G2198" s="526" t="e">
        <v>#N/A</v>
      </c>
      <c r="H2198" s="412" t="e">
        <v>#N/A</v>
      </c>
      <c r="I2198" s="411" t="e">
        <v>#N/A</v>
      </c>
      <c r="J2198" s="411" t="e">
        <v>#N/A</v>
      </c>
      <c r="K2198" s="411" t="e">
        <v>#N/A</v>
      </c>
      <c r="L2198" s="526" t="e">
        <v>#N/A</v>
      </c>
    </row>
    <row r="2199" spans="1:12" ht="15" x14ac:dyDescent="0.25">
      <c r="A2199">
        <v>251163</v>
      </c>
      <c r="B2199" t="e">
        <f t="shared" si="92"/>
        <v>#N/A</v>
      </c>
      <c r="C2199" s="198" t="e">
        <f t="shared" si="93"/>
        <v>#N/A</v>
      </c>
      <c r="D2199" s="526" t="e">
        <v>#N/A</v>
      </c>
      <c r="E2199" s="526" t="e">
        <v>#N/A</v>
      </c>
      <c r="F2199" s="526" t="e">
        <v>#N/A</v>
      </c>
      <c r="G2199" s="526" t="e">
        <v>#N/A</v>
      </c>
      <c r="H2199" s="412" t="e">
        <v>#N/A</v>
      </c>
      <c r="I2199" s="411" t="e">
        <v>#N/A</v>
      </c>
      <c r="J2199" s="411" t="e">
        <v>#N/A</v>
      </c>
      <c r="K2199" s="411" t="e">
        <v>#N/A</v>
      </c>
      <c r="L2199" s="526" t="e">
        <v>#N/A</v>
      </c>
    </row>
    <row r="2200" spans="1:12" ht="15" x14ac:dyDescent="0.25">
      <c r="A2200">
        <v>251164</v>
      </c>
      <c r="B2200" t="e">
        <f t="shared" si="92"/>
        <v>#N/A</v>
      </c>
      <c r="C2200" s="198" t="e">
        <f t="shared" si="93"/>
        <v>#N/A</v>
      </c>
      <c r="D2200" s="526" t="e">
        <v>#N/A</v>
      </c>
      <c r="E2200" s="526" t="e">
        <v>#N/A</v>
      </c>
      <c r="F2200" s="526" t="e">
        <v>#N/A</v>
      </c>
      <c r="G2200" s="526" t="e">
        <v>#N/A</v>
      </c>
      <c r="H2200" s="412" t="e">
        <v>#N/A</v>
      </c>
      <c r="I2200" s="411" t="e">
        <v>#N/A</v>
      </c>
      <c r="J2200" s="411" t="e">
        <v>#N/A</v>
      </c>
      <c r="K2200" s="411" t="e">
        <v>#N/A</v>
      </c>
      <c r="L2200" s="526" t="e">
        <v>#N/A</v>
      </c>
    </row>
    <row r="2201" spans="1:12" ht="15" x14ac:dyDescent="0.25">
      <c r="A2201">
        <v>251671</v>
      </c>
      <c r="B2201" t="e">
        <f t="shared" si="92"/>
        <v>#N/A</v>
      </c>
      <c r="C2201" s="198" t="e">
        <f t="shared" si="93"/>
        <v>#N/A</v>
      </c>
      <c r="D2201" s="526" t="e">
        <v>#N/A</v>
      </c>
      <c r="E2201" s="526" t="e">
        <v>#N/A</v>
      </c>
      <c r="F2201" s="526" t="e">
        <v>#N/A</v>
      </c>
      <c r="G2201" s="526" t="e">
        <v>#N/A</v>
      </c>
      <c r="H2201" s="412" t="e">
        <v>#N/A</v>
      </c>
      <c r="I2201" s="411" t="e">
        <v>#N/A</v>
      </c>
      <c r="J2201" s="411" t="e">
        <v>#N/A</v>
      </c>
      <c r="K2201" s="411" t="e">
        <v>#N/A</v>
      </c>
      <c r="L2201" s="526" t="e">
        <v>#N/A</v>
      </c>
    </row>
    <row r="2202" spans="1:12" ht="15" x14ac:dyDescent="0.25">
      <c r="A2202">
        <v>251773</v>
      </c>
      <c r="B2202" t="e">
        <f t="shared" si="92"/>
        <v>#N/A</v>
      </c>
      <c r="C2202" s="198" t="e">
        <f t="shared" si="93"/>
        <v>#N/A</v>
      </c>
      <c r="D2202" s="526" t="e">
        <v>#N/A</v>
      </c>
      <c r="E2202" s="526" t="e">
        <v>#N/A</v>
      </c>
      <c r="F2202" s="526" t="e">
        <v>#N/A</v>
      </c>
      <c r="G2202" s="526" t="e">
        <v>#N/A</v>
      </c>
      <c r="H2202" s="412" t="e">
        <v>#N/A</v>
      </c>
      <c r="I2202" s="411" t="e">
        <v>#N/A</v>
      </c>
      <c r="J2202" s="411" t="e">
        <v>#N/A</v>
      </c>
      <c r="K2202" s="411" t="e">
        <v>#N/A</v>
      </c>
      <c r="L2202" s="526" t="e">
        <v>#N/A</v>
      </c>
    </row>
    <row r="2203" spans="1:12" ht="15" x14ac:dyDescent="0.25">
      <c r="A2203">
        <v>251793</v>
      </c>
      <c r="B2203" t="e">
        <f t="shared" si="92"/>
        <v>#N/A</v>
      </c>
      <c r="C2203" s="198" t="e">
        <f t="shared" si="93"/>
        <v>#N/A</v>
      </c>
      <c r="D2203" s="526" t="e">
        <v>#N/A</v>
      </c>
      <c r="E2203" s="526" t="e">
        <v>#N/A</v>
      </c>
      <c r="F2203" s="526" t="e">
        <v>#N/A</v>
      </c>
      <c r="G2203" s="526" t="e">
        <v>#N/A</v>
      </c>
      <c r="H2203" s="412" t="e">
        <v>#N/A</v>
      </c>
      <c r="I2203" s="411" t="e">
        <v>#N/A</v>
      </c>
      <c r="J2203" s="411" t="e">
        <v>#N/A</v>
      </c>
      <c r="K2203" s="411" t="e">
        <v>#N/A</v>
      </c>
      <c r="L2203" s="526" t="e">
        <v>#N/A</v>
      </c>
    </row>
    <row r="2204" spans="1:12" ht="15" x14ac:dyDescent="0.25">
      <c r="A2204">
        <v>251796</v>
      </c>
      <c r="B2204" t="e">
        <f t="shared" si="92"/>
        <v>#N/A</v>
      </c>
      <c r="C2204" s="198" t="e">
        <f t="shared" si="93"/>
        <v>#N/A</v>
      </c>
      <c r="D2204" s="526" t="e">
        <v>#N/A</v>
      </c>
      <c r="E2204" s="526" t="e">
        <v>#N/A</v>
      </c>
      <c r="F2204" s="526" t="e">
        <v>#N/A</v>
      </c>
      <c r="G2204" s="526" t="e">
        <v>#N/A</v>
      </c>
      <c r="H2204" s="412" t="e">
        <v>#N/A</v>
      </c>
      <c r="I2204" s="411" t="e">
        <v>#N/A</v>
      </c>
      <c r="J2204" s="411" t="e">
        <v>#N/A</v>
      </c>
      <c r="K2204" s="411" t="e">
        <v>#N/A</v>
      </c>
      <c r="L2204" s="526" t="e">
        <v>#N/A</v>
      </c>
    </row>
    <row r="2205" spans="1:12" ht="15" x14ac:dyDescent="0.25">
      <c r="A2205">
        <v>251797</v>
      </c>
      <c r="B2205" t="e">
        <f t="shared" si="92"/>
        <v>#N/A</v>
      </c>
      <c r="C2205" s="198" t="e">
        <f t="shared" si="93"/>
        <v>#N/A</v>
      </c>
      <c r="D2205" s="526" t="e">
        <v>#N/A</v>
      </c>
      <c r="E2205" s="526" t="e">
        <v>#N/A</v>
      </c>
      <c r="F2205" s="526" t="e">
        <v>#N/A</v>
      </c>
      <c r="G2205" s="526" t="e">
        <v>#N/A</v>
      </c>
      <c r="H2205" s="412" t="e">
        <v>#N/A</v>
      </c>
      <c r="I2205" s="411" t="e">
        <v>#N/A</v>
      </c>
      <c r="J2205" s="411" t="e">
        <v>#N/A</v>
      </c>
      <c r="K2205" s="411" t="e">
        <v>#N/A</v>
      </c>
      <c r="L2205" s="526" t="e">
        <v>#N/A</v>
      </c>
    </row>
    <row r="2206" spans="1:12" ht="15" x14ac:dyDescent="0.25">
      <c r="A2206">
        <v>251802</v>
      </c>
      <c r="B2206" t="e">
        <f t="shared" si="92"/>
        <v>#N/A</v>
      </c>
      <c r="C2206" s="198" t="e">
        <f t="shared" si="93"/>
        <v>#N/A</v>
      </c>
      <c r="D2206" s="526" t="e">
        <v>#N/A</v>
      </c>
      <c r="E2206" s="526" t="e">
        <v>#N/A</v>
      </c>
      <c r="F2206" s="526" t="e">
        <v>#N/A</v>
      </c>
      <c r="G2206" s="526" t="e">
        <v>#N/A</v>
      </c>
      <c r="H2206" s="412" t="e">
        <v>#N/A</v>
      </c>
      <c r="I2206" s="411" t="e">
        <v>#N/A</v>
      </c>
      <c r="J2206" s="411" t="e">
        <v>#N/A</v>
      </c>
      <c r="K2206" s="411" t="e">
        <v>#N/A</v>
      </c>
      <c r="L2206" s="526" t="e">
        <v>#N/A</v>
      </c>
    </row>
    <row r="2207" spans="1:12" ht="15" x14ac:dyDescent="0.25">
      <c r="A2207">
        <v>252424</v>
      </c>
      <c r="B2207" t="str">
        <f t="shared" si="92"/>
        <v>SEVROLL bočná krytka profilu Single+pozic.</v>
      </c>
      <c r="C2207" s="198">
        <f t="shared" si="93"/>
        <v>26.78351</v>
      </c>
      <c r="D2207" s="526" t="s">
        <v>3216</v>
      </c>
      <c r="E2207" s="526" t="s">
        <v>6152</v>
      </c>
      <c r="F2207" s="526" t="s">
        <v>6153</v>
      </c>
      <c r="G2207" s="526" t="s">
        <v>6154</v>
      </c>
      <c r="H2207" s="412">
        <v>706.92989999999998</v>
      </c>
      <c r="I2207" s="411">
        <v>26.78351</v>
      </c>
      <c r="J2207" s="411">
        <v>92.155529999999999</v>
      </c>
      <c r="K2207" s="411">
        <v>9862.9961600000006</v>
      </c>
      <c r="L2207" s="526" t="s">
        <v>554</v>
      </c>
    </row>
    <row r="2208" spans="1:12" ht="15" x14ac:dyDescent="0.25">
      <c r="A2208">
        <v>86201</v>
      </c>
      <c r="B2208" t="e">
        <f t="shared" si="92"/>
        <v>#N/A</v>
      </c>
      <c r="C2208" s="198" t="e">
        <f t="shared" si="93"/>
        <v>#N/A</v>
      </c>
      <c r="D2208" s="526" t="e">
        <v>#N/A</v>
      </c>
      <c r="E2208" s="526" t="e">
        <v>#N/A</v>
      </c>
      <c r="F2208" s="526" t="e">
        <v>#N/A</v>
      </c>
      <c r="G2208" s="526" t="e">
        <v>#N/A</v>
      </c>
      <c r="H2208" s="412" t="e">
        <v>#N/A</v>
      </c>
      <c r="I2208" s="411" t="e">
        <v>#N/A</v>
      </c>
      <c r="J2208" s="411" t="e">
        <v>#N/A</v>
      </c>
      <c r="K2208" s="411" t="e">
        <v>#N/A</v>
      </c>
      <c r="L2208" s="526" t="e">
        <v>#N/A</v>
      </c>
    </row>
    <row r="2209" spans="1:12" ht="15" x14ac:dyDescent="0.25">
      <c r="A2209">
        <v>15708</v>
      </c>
      <c r="B2209" t="e">
        <f t="shared" si="92"/>
        <v>#N/A</v>
      </c>
      <c r="C2209" s="198" t="e">
        <f t="shared" si="93"/>
        <v>#N/A</v>
      </c>
      <c r="D2209" s="526" t="e">
        <v>#N/A</v>
      </c>
      <c r="E2209" s="526" t="e">
        <v>#N/A</v>
      </c>
      <c r="F2209" s="526" t="e">
        <v>#N/A</v>
      </c>
      <c r="G2209" s="526" t="e">
        <v>#N/A</v>
      </c>
      <c r="H2209" s="412" t="e">
        <v>#N/A</v>
      </c>
      <c r="I2209" s="411" t="e">
        <v>#N/A</v>
      </c>
      <c r="J2209" s="411" t="e">
        <v>#N/A</v>
      </c>
      <c r="K2209" s="411" t="e">
        <v>#N/A</v>
      </c>
      <c r="L2209" s="526" t="e">
        <v>#N/A</v>
      </c>
    </row>
    <row r="2210" spans="1:12" ht="15" x14ac:dyDescent="0.25">
      <c r="A2210">
        <v>15713</v>
      </c>
      <c r="B2210" t="e">
        <f t="shared" si="92"/>
        <v>#N/A</v>
      </c>
      <c r="C2210" s="198" t="e">
        <f t="shared" si="93"/>
        <v>#N/A</v>
      </c>
      <c r="D2210" s="526" t="e">
        <v>#N/A</v>
      </c>
      <c r="E2210" s="526" t="e">
        <v>#N/A</v>
      </c>
      <c r="F2210" s="526" t="e">
        <v>#N/A</v>
      </c>
      <c r="G2210" s="526" t="e">
        <v>#N/A</v>
      </c>
      <c r="H2210" s="412" t="e">
        <v>#N/A</v>
      </c>
      <c r="I2210" s="411" t="e">
        <v>#N/A</v>
      </c>
      <c r="J2210" s="411" t="e">
        <v>#N/A</v>
      </c>
      <c r="K2210" s="411" t="e">
        <v>#N/A</v>
      </c>
      <c r="L2210" s="526" t="e">
        <v>#N/A</v>
      </c>
    </row>
    <row r="2211" spans="1:12" ht="15" x14ac:dyDescent="0.25">
      <c r="A2211">
        <v>15714</v>
      </c>
      <c r="B2211" t="e">
        <f t="shared" si="92"/>
        <v>#N/A</v>
      </c>
      <c r="C2211" s="198" t="e">
        <f t="shared" si="93"/>
        <v>#N/A</v>
      </c>
      <c r="D2211" s="526" t="e">
        <v>#N/A</v>
      </c>
      <c r="E2211" s="526" t="e">
        <v>#N/A</v>
      </c>
      <c r="F2211" s="526" t="e">
        <v>#N/A</v>
      </c>
      <c r="G2211" s="526" t="e">
        <v>#N/A</v>
      </c>
      <c r="H2211" s="412" t="e">
        <v>#N/A</v>
      </c>
      <c r="I2211" s="411" t="e">
        <v>#N/A</v>
      </c>
      <c r="J2211" s="411" t="e">
        <v>#N/A</v>
      </c>
      <c r="K2211" s="411" t="e">
        <v>#N/A</v>
      </c>
      <c r="L2211" s="526" t="e">
        <v>#N/A</v>
      </c>
    </row>
    <row r="2212" spans="1:12" ht="15" x14ac:dyDescent="0.25">
      <c r="A2212">
        <v>248238</v>
      </c>
      <c r="B2212" t="e">
        <f t="shared" ref="B2212:B2238" si="94">IF($A$2=1,D2212,IF($A$2=2,F2212,IF($A$2=3,G2212,IF($A$2=4,E2212,"zadat jazyk"))))</f>
        <v>#N/A</v>
      </c>
      <c r="C2212" s="198" t="e">
        <f t="shared" ref="C2212:C2238" si="95">IF($A$2=1,H2212,IF($A$2=2,I2212,IF($A$2=3,J2212,IF($A$2=4,K2212,"zadat jazyk"))))</f>
        <v>#N/A</v>
      </c>
      <c r="D2212" s="526" t="e">
        <v>#N/A</v>
      </c>
      <c r="E2212" s="526" t="e">
        <v>#N/A</v>
      </c>
      <c r="F2212" s="526" t="e">
        <v>#N/A</v>
      </c>
      <c r="G2212" s="526" t="e">
        <v>#N/A</v>
      </c>
      <c r="H2212" s="412" t="e">
        <v>#N/A</v>
      </c>
      <c r="I2212" s="411" t="e">
        <v>#N/A</v>
      </c>
      <c r="J2212" s="411" t="e">
        <v>#N/A</v>
      </c>
      <c r="K2212" s="411" t="e">
        <v>#N/A</v>
      </c>
      <c r="L2212" s="526" t="e">
        <v>#N/A</v>
      </c>
    </row>
    <row r="2213" spans="1:12" ht="15" x14ac:dyDescent="0.25">
      <c r="A2213">
        <v>248239</v>
      </c>
      <c r="B2213" t="e">
        <f t="shared" si="94"/>
        <v>#N/A</v>
      </c>
      <c r="C2213" s="198" t="e">
        <f t="shared" si="95"/>
        <v>#N/A</v>
      </c>
      <c r="D2213" s="526" t="e">
        <v>#N/A</v>
      </c>
      <c r="E2213" s="526" t="e">
        <v>#N/A</v>
      </c>
      <c r="F2213" s="526" t="e">
        <v>#N/A</v>
      </c>
      <c r="G2213" s="526" t="e">
        <v>#N/A</v>
      </c>
      <c r="H2213" s="412" t="e">
        <v>#N/A</v>
      </c>
      <c r="I2213" s="411" t="e">
        <v>#N/A</v>
      </c>
      <c r="J2213" s="411" t="e">
        <v>#N/A</v>
      </c>
      <c r="K2213" s="411" t="e">
        <v>#N/A</v>
      </c>
      <c r="L2213" s="526" t="e">
        <v>#N/A</v>
      </c>
    </row>
    <row r="2214" spans="1:12" ht="15" x14ac:dyDescent="0.25">
      <c r="A2214">
        <v>248241</v>
      </c>
      <c r="B2214" t="e">
        <f t="shared" si="94"/>
        <v>#N/A</v>
      </c>
      <c r="C2214" s="198" t="e">
        <f t="shared" si="95"/>
        <v>#N/A</v>
      </c>
      <c r="D2214" s="526" t="e">
        <v>#N/A</v>
      </c>
      <c r="E2214" s="526" t="e">
        <v>#N/A</v>
      </c>
      <c r="F2214" s="526" t="e">
        <v>#N/A</v>
      </c>
      <c r="G2214" s="526" t="e">
        <v>#N/A</v>
      </c>
      <c r="H2214" s="412" t="e">
        <v>#N/A</v>
      </c>
      <c r="I2214" s="411" t="e">
        <v>#N/A</v>
      </c>
      <c r="J2214" s="411" t="e">
        <v>#N/A</v>
      </c>
      <c r="K2214" s="411" t="e">
        <v>#N/A</v>
      </c>
      <c r="L2214" s="526" t="e">
        <v>#N/A</v>
      </c>
    </row>
    <row r="2215" spans="1:12" ht="15" x14ac:dyDescent="0.25">
      <c r="A2215">
        <v>248243</v>
      </c>
      <c r="B2215" t="e">
        <f t="shared" si="94"/>
        <v>#N/A</v>
      </c>
      <c r="C2215" s="198" t="e">
        <f t="shared" si="95"/>
        <v>#N/A</v>
      </c>
      <c r="D2215" s="526" t="e">
        <v>#N/A</v>
      </c>
      <c r="E2215" s="526" t="e">
        <v>#N/A</v>
      </c>
      <c r="F2215" s="526" t="e">
        <v>#N/A</v>
      </c>
      <c r="G2215" s="526" t="e">
        <v>#N/A</v>
      </c>
      <c r="H2215" s="412" t="e">
        <v>#N/A</v>
      </c>
      <c r="I2215" s="411" t="e">
        <v>#N/A</v>
      </c>
      <c r="J2215" s="411" t="e">
        <v>#N/A</v>
      </c>
      <c r="K2215" s="411" t="e">
        <v>#N/A</v>
      </c>
      <c r="L2215" s="526" t="e">
        <v>#N/A</v>
      </c>
    </row>
    <row r="2216" spans="1:12" ht="15" x14ac:dyDescent="0.25">
      <c r="A2216">
        <v>248242</v>
      </c>
      <c r="B2216" t="e">
        <f t="shared" si="94"/>
        <v>#N/A</v>
      </c>
      <c r="C2216" s="198" t="e">
        <f t="shared" si="95"/>
        <v>#N/A</v>
      </c>
      <c r="D2216" s="526" t="e">
        <v>#N/A</v>
      </c>
      <c r="E2216" s="526" t="e">
        <v>#N/A</v>
      </c>
      <c r="F2216" s="526" t="e">
        <v>#N/A</v>
      </c>
      <c r="G2216" s="526" t="e">
        <v>#N/A</v>
      </c>
      <c r="H2216" s="412" t="e">
        <v>#N/A</v>
      </c>
      <c r="I2216" s="411" t="e">
        <v>#N/A</v>
      </c>
      <c r="J2216" s="411" t="e">
        <v>#N/A</v>
      </c>
      <c r="K2216" s="411" t="e">
        <v>#N/A</v>
      </c>
      <c r="L2216" s="526" t="e">
        <v>#N/A</v>
      </c>
    </row>
    <row r="2217" spans="1:12" ht="15" x14ac:dyDescent="0.25">
      <c r="A2217">
        <v>248244</v>
      </c>
      <c r="B2217" t="e">
        <f t="shared" si="94"/>
        <v>#N/A</v>
      </c>
      <c r="C2217" s="198" t="e">
        <f t="shared" si="95"/>
        <v>#N/A</v>
      </c>
      <c r="D2217" s="526" t="e">
        <v>#N/A</v>
      </c>
      <c r="E2217" s="526" t="e">
        <v>#N/A</v>
      </c>
      <c r="F2217" s="526" t="e">
        <v>#N/A</v>
      </c>
      <c r="G2217" s="526" t="e">
        <v>#N/A</v>
      </c>
      <c r="H2217" s="412" t="e">
        <v>#N/A</v>
      </c>
      <c r="I2217" s="411" t="e">
        <v>#N/A</v>
      </c>
      <c r="J2217" s="411" t="e">
        <v>#N/A</v>
      </c>
      <c r="K2217" s="411" t="e">
        <v>#N/A</v>
      </c>
      <c r="L2217" s="526" t="e">
        <v>#N/A</v>
      </c>
    </row>
    <row r="2218" spans="1:12" ht="15" x14ac:dyDescent="0.25">
      <c r="A2218">
        <v>248249</v>
      </c>
      <c r="B2218" t="e">
        <f t="shared" si="94"/>
        <v>#N/A</v>
      </c>
      <c r="C2218" s="198" t="e">
        <f t="shared" si="95"/>
        <v>#N/A</v>
      </c>
      <c r="D2218" s="526" t="e">
        <v>#N/A</v>
      </c>
      <c r="E2218" s="526" t="e">
        <v>#N/A</v>
      </c>
      <c r="F2218" s="526" t="e">
        <v>#N/A</v>
      </c>
      <c r="G2218" s="526" t="e">
        <v>#N/A</v>
      </c>
      <c r="H2218" s="412" t="e">
        <v>#N/A</v>
      </c>
      <c r="I2218" s="411" t="e">
        <v>#N/A</v>
      </c>
      <c r="J2218" s="411" t="e">
        <v>#N/A</v>
      </c>
      <c r="K2218" s="411" t="e">
        <v>#N/A</v>
      </c>
      <c r="L2218" s="526" t="e">
        <v>#N/A</v>
      </c>
    </row>
    <row r="2219" spans="1:12" ht="15" x14ac:dyDescent="0.25">
      <c r="A2219">
        <v>248250</v>
      </c>
      <c r="B2219" t="e">
        <f t="shared" si="94"/>
        <v>#N/A</v>
      </c>
      <c r="C2219" s="198" t="e">
        <f t="shared" si="95"/>
        <v>#N/A</v>
      </c>
      <c r="D2219" s="526" t="e">
        <v>#N/A</v>
      </c>
      <c r="E2219" s="526" t="e">
        <v>#N/A</v>
      </c>
      <c r="F2219" s="526" t="e">
        <v>#N/A</v>
      </c>
      <c r="G2219" s="526" t="e">
        <v>#N/A</v>
      </c>
      <c r="H2219" s="412" t="e">
        <v>#N/A</v>
      </c>
      <c r="I2219" s="411" t="e">
        <v>#N/A</v>
      </c>
      <c r="J2219" s="411" t="e">
        <v>#N/A</v>
      </c>
      <c r="K2219" s="411" t="e">
        <v>#N/A</v>
      </c>
      <c r="L2219" s="526" t="e">
        <v>#N/A</v>
      </c>
    </row>
    <row r="2220" spans="1:12" ht="15" x14ac:dyDescent="0.25">
      <c r="A2220">
        <v>248251</v>
      </c>
      <c r="B2220" t="e">
        <f t="shared" si="94"/>
        <v>#N/A</v>
      </c>
      <c r="C2220" s="198" t="e">
        <f t="shared" si="95"/>
        <v>#N/A</v>
      </c>
      <c r="D2220" s="526" t="e">
        <v>#N/A</v>
      </c>
      <c r="E2220" s="526" t="e">
        <v>#N/A</v>
      </c>
      <c r="F2220" s="526" t="e">
        <v>#N/A</v>
      </c>
      <c r="G2220" s="526" t="e">
        <v>#N/A</v>
      </c>
      <c r="H2220" s="412" t="e">
        <v>#N/A</v>
      </c>
      <c r="I2220" s="411" t="e">
        <v>#N/A</v>
      </c>
      <c r="J2220" s="411" t="e">
        <v>#N/A</v>
      </c>
      <c r="K2220" s="411" t="e">
        <v>#N/A</v>
      </c>
      <c r="L2220" s="526" t="e">
        <v>#N/A</v>
      </c>
    </row>
    <row r="2221" spans="1:12" ht="15" x14ac:dyDescent="0.25">
      <c r="A2221">
        <v>248252</v>
      </c>
      <c r="B2221" t="e">
        <f t="shared" si="94"/>
        <v>#N/A</v>
      </c>
      <c r="C2221" s="198" t="e">
        <f t="shared" si="95"/>
        <v>#N/A</v>
      </c>
      <c r="D2221" s="526" t="e">
        <v>#N/A</v>
      </c>
      <c r="E2221" s="526" t="e">
        <v>#N/A</v>
      </c>
      <c r="F2221" s="526" t="e">
        <v>#N/A</v>
      </c>
      <c r="G2221" s="526" t="e">
        <v>#N/A</v>
      </c>
      <c r="H2221" s="412" t="e">
        <v>#N/A</v>
      </c>
      <c r="I2221" s="411" t="e">
        <v>#N/A</v>
      </c>
      <c r="J2221" s="411" t="e">
        <v>#N/A</v>
      </c>
      <c r="K2221" s="411" t="e">
        <v>#N/A</v>
      </c>
      <c r="L2221" s="526" t="e">
        <v>#N/A</v>
      </c>
    </row>
    <row r="2222" spans="1:12" ht="15" x14ac:dyDescent="0.25">
      <c r="A2222">
        <v>248253</v>
      </c>
      <c r="B2222" t="e">
        <f t="shared" si="94"/>
        <v>#N/A</v>
      </c>
      <c r="C2222" s="198" t="e">
        <f t="shared" si="95"/>
        <v>#N/A</v>
      </c>
      <c r="D2222" s="526" t="e">
        <v>#N/A</v>
      </c>
      <c r="E2222" s="526" t="e">
        <v>#N/A</v>
      </c>
      <c r="F2222" s="526" t="e">
        <v>#N/A</v>
      </c>
      <c r="G2222" s="526" t="e">
        <v>#N/A</v>
      </c>
      <c r="H2222" s="412" t="e">
        <v>#N/A</v>
      </c>
      <c r="I2222" s="411" t="e">
        <v>#N/A</v>
      </c>
      <c r="J2222" s="411" t="e">
        <v>#N/A</v>
      </c>
      <c r="K2222" s="411" t="e">
        <v>#N/A</v>
      </c>
      <c r="L2222" s="526" t="e">
        <v>#N/A</v>
      </c>
    </row>
    <row r="2223" spans="1:12" ht="15" x14ac:dyDescent="0.25">
      <c r="A2223">
        <v>248254</v>
      </c>
      <c r="B2223" t="e">
        <f t="shared" si="94"/>
        <v>#N/A</v>
      </c>
      <c r="C2223" s="198" t="e">
        <f t="shared" si="95"/>
        <v>#N/A</v>
      </c>
      <c r="D2223" s="526" t="e">
        <v>#N/A</v>
      </c>
      <c r="E2223" s="526" t="e">
        <v>#N/A</v>
      </c>
      <c r="F2223" s="526" t="e">
        <v>#N/A</v>
      </c>
      <c r="G2223" s="526" t="e">
        <v>#N/A</v>
      </c>
      <c r="H2223" s="412" t="e">
        <v>#N/A</v>
      </c>
      <c r="I2223" s="411" t="e">
        <v>#N/A</v>
      </c>
      <c r="J2223" s="411" t="e">
        <v>#N/A</v>
      </c>
      <c r="K2223" s="411" t="e">
        <v>#N/A</v>
      </c>
      <c r="L2223" s="526" t="e">
        <v>#N/A</v>
      </c>
    </row>
    <row r="2224" spans="1:12" ht="15" x14ac:dyDescent="0.25">
      <c r="A2224">
        <v>248258</v>
      </c>
      <c r="B2224" t="e">
        <f t="shared" si="94"/>
        <v>#N/A</v>
      </c>
      <c r="C2224" s="198" t="e">
        <f t="shared" si="95"/>
        <v>#N/A</v>
      </c>
      <c r="D2224" s="526" t="e">
        <v>#N/A</v>
      </c>
      <c r="E2224" s="526" t="e">
        <v>#N/A</v>
      </c>
      <c r="F2224" s="526" t="e">
        <v>#N/A</v>
      </c>
      <c r="G2224" s="526" t="e">
        <v>#N/A</v>
      </c>
      <c r="H2224" s="412" t="e">
        <v>#N/A</v>
      </c>
      <c r="I2224" s="411" t="e">
        <v>#N/A</v>
      </c>
      <c r="J2224" s="411" t="e">
        <v>#N/A</v>
      </c>
      <c r="K2224" s="411" t="e">
        <v>#N/A</v>
      </c>
      <c r="L2224" s="526" t="e">
        <v>#N/A</v>
      </c>
    </row>
    <row r="2225" spans="1:12" ht="15" x14ac:dyDescent="0.25">
      <c r="A2225">
        <v>248259</v>
      </c>
      <c r="B2225" t="e">
        <f t="shared" si="94"/>
        <v>#N/A</v>
      </c>
      <c r="C2225" s="198" t="e">
        <f t="shared" si="95"/>
        <v>#N/A</v>
      </c>
      <c r="D2225" s="526" t="e">
        <v>#N/A</v>
      </c>
      <c r="E2225" s="526" t="e">
        <v>#N/A</v>
      </c>
      <c r="F2225" s="526" t="e">
        <v>#N/A</v>
      </c>
      <c r="G2225" s="526" t="e">
        <v>#N/A</v>
      </c>
      <c r="H2225" s="412" t="e">
        <v>#N/A</v>
      </c>
      <c r="I2225" s="411" t="e">
        <v>#N/A</v>
      </c>
      <c r="J2225" s="411" t="e">
        <v>#N/A</v>
      </c>
      <c r="K2225" s="411" t="e">
        <v>#N/A</v>
      </c>
      <c r="L2225" s="526" t="e">
        <v>#N/A</v>
      </c>
    </row>
    <row r="2226" spans="1:12" ht="15" x14ac:dyDescent="0.25">
      <c r="A2226">
        <v>248260</v>
      </c>
      <c r="B2226" t="e">
        <f t="shared" si="94"/>
        <v>#N/A</v>
      </c>
      <c r="C2226" s="198" t="e">
        <f t="shared" si="95"/>
        <v>#N/A</v>
      </c>
      <c r="D2226" s="526" t="e">
        <v>#N/A</v>
      </c>
      <c r="E2226" s="526" t="e">
        <v>#N/A</v>
      </c>
      <c r="F2226" s="526" t="e">
        <v>#N/A</v>
      </c>
      <c r="G2226" s="526" t="e">
        <v>#N/A</v>
      </c>
      <c r="H2226" s="412" t="e">
        <v>#N/A</v>
      </c>
      <c r="I2226" s="411" t="e">
        <v>#N/A</v>
      </c>
      <c r="J2226" s="411" t="e">
        <v>#N/A</v>
      </c>
      <c r="K2226" s="411" t="e">
        <v>#N/A</v>
      </c>
      <c r="L2226" s="526" t="e">
        <v>#N/A</v>
      </c>
    </row>
    <row r="2227" spans="1:12" ht="15" x14ac:dyDescent="0.25">
      <c r="A2227">
        <v>248261</v>
      </c>
      <c r="B2227" t="e">
        <f t="shared" si="94"/>
        <v>#N/A</v>
      </c>
      <c r="C2227" s="198" t="e">
        <f t="shared" si="95"/>
        <v>#N/A</v>
      </c>
      <c r="D2227" s="526" t="e">
        <v>#N/A</v>
      </c>
      <c r="E2227" s="526" t="e">
        <v>#N/A</v>
      </c>
      <c r="F2227" s="526" t="e">
        <v>#N/A</v>
      </c>
      <c r="G2227" s="526" t="e">
        <v>#N/A</v>
      </c>
      <c r="H2227" s="412" t="e">
        <v>#N/A</v>
      </c>
      <c r="I2227" s="411" t="e">
        <v>#N/A</v>
      </c>
      <c r="J2227" s="411" t="e">
        <v>#N/A</v>
      </c>
      <c r="K2227" s="411" t="e">
        <v>#N/A</v>
      </c>
      <c r="L2227" s="526" t="e">
        <v>#N/A</v>
      </c>
    </row>
    <row r="2228" spans="1:12" ht="15" x14ac:dyDescent="0.25">
      <c r="A2228">
        <v>248262</v>
      </c>
      <c r="B2228" t="e">
        <f t="shared" si="94"/>
        <v>#N/A</v>
      </c>
      <c r="C2228" s="198" t="e">
        <f t="shared" si="95"/>
        <v>#N/A</v>
      </c>
      <c r="D2228" s="526" t="e">
        <v>#N/A</v>
      </c>
      <c r="E2228" s="526" t="e">
        <v>#N/A</v>
      </c>
      <c r="F2228" s="526" t="e">
        <v>#N/A</v>
      </c>
      <c r="G2228" s="526" t="e">
        <v>#N/A</v>
      </c>
      <c r="H2228" s="412" t="e">
        <v>#N/A</v>
      </c>
      <c r="I2228" s="411" t="e">
        <v>#N/A</v>
      </c>
      <c r="J2228" s="411" t="e">
        <v>#N/A</v>
      </c>
      <c r="K2228" s="411" t="e">
        <v>#N/A</v>
      </c>
      <c r="L2228" s="526" t="e">
        <v>#N/A</v>
      </c>
    </row>
    <row r="2229" spans="1:12" ht="15" x14ac:dyDescent="0.25">
      <c r="A2229">
        <v>248263</v>
      </c>
      <c r="B2229" t="e">
        <f t="shared" si="94"/>
        <v>#N/A</v>
      </c>
      <c r="C2229" s="198" t="e">
        <f t="shared" si="95"/>
        <v>#N/A</v>
      </c>
      <c r="D2229" s="526" t="e">
        <v>#N/A</v>
      </c>
      <c r="E2229" s="526" t="e">
        <v>#N/A</v>
      </c>
      <c r="F2229" s="526" t="e">
        <v>#N/A</v>
      </c>
      <c r="G2229" s="526" t="e">
        <v>#N/A</v>
      </c>
      <c r="H2229" s="412" t="e">
        <v>#N/A</v>
      </c>
      <c r="I2229" s="411" t="e">
        <v>#N/A</v>
      </c>
      <c r="J2229" s="411" t="e">
        <v>#N/A</v>
      </c>
      <c r="K2229" s="411" t="e">
        <v>#N/A</v>
      </c>
      <c r="L2229" s="526" t="e">
        <v>#N/A</v>
      </c>
    </row>
    <row r="2230" spans="1:12" ht="15" x14ac:dyDescent="0.25">
      <c r="A2230">
        <v>248264</v>
      </c>
      <c r="B2230" t="e">
        <f t="shared" si="94"/>
        <v>#N/A</v>
      </c>
      <c r="C2230" s="198" t="e">
        <f t="shared" si="95"/>
        <v>#N/A</v>
      </c>
      <c r="D2230" s="526" t="e">
        <v>#N/A</v>
      </c>
      <c r="E2230" s="526" t="e">
        <v>#N/A</v>
      </c>
      <c r="F2230" s="526" t="e">
        <v>#N/A</v>
      </c>
      <c r="G2230" s="526" t="e">
        <v>#N/A</v>
      </c>
      <c r="H2230" s="412" t="e">
        <v>#N/A</v>
      </c>
      <c r="I2230" s="411" t="e">
        <v>#N/A</v>
      </c>
      <c r="J2230" s="411" t="e">
        <v>#N/A</v>
      </c>
      <c r="K2230" s="411" t="e">
        <v>#N/A</v>
      </c>
      <c r="L2230" s="526" t="e">
        <v>#N/A</v>
      </c>
    </row>
    <row r="2231" spans="1:12" ht="15" x14ac:dyDescent="0.25">
      <c r="A2231">
        <v>248265</v>
      </c>
      <c r="B2231" t="e">
        <f t="shared" si="94"/>
        <v>#N/A</v>
      </c>
      <c r="C2231" s="198" t="e">
        <f t="shared" si="95"/>
        <v>#N/A</v>
      </c>
      <c r="D2231" s="526" t="e">
        <v>#N/A</v>
      </c>
      <c r="E2231" s="526" t="e">
        <v>#N/A</v>
      </c>
      <c r="F2231" s="526" t="e">
        <v>#N/A</v>
      </c>
      <c r="G2231" s="526" t="e">
        <v>#N/A</v>
      </c>
      <c r="H2231" s="412" t="e">
        <v>#N/A</v>
      </c>
      <c r="I2231" s="411" t="e">
        <v>#N/A</v>
      </c>
      <c r="J2231" s="411" t="e">
        <v>#N/A</v>
      </c>
      <c r="K2231" s="411" t="e">
        <v>#N/A</v>
      </c>
      <c r="L2231" s="526" t="e">
        <v>#N/A</v>
      </c>
    </row>
    <row r="2232" spans="1:12" ht="15" x14ac:dyDescent="0.25">
      <c r="A2232">
        <v>248266</v>
      </c>
      <c r="B2232" t="e">
        <f t="shared" si="94"/>
        <v>#N/A</v>
      </c>
      <c r="C2232" s="198" t="e">
        <f t="shared" si="95"/>
        <v>#N/A</v>
      </c>
      <c r="D2232" s="526" t="e">
        <v>#N/A</v>
      </c>
      <c r="E2232" s="526" t="e">
        <v>#N/A</v>
      </c>
      <c r="F2232" s="526" t="e">
        <v>#N/A</v>
      </c>
      <c r="G2232" s="526" t="e">
        <v>#N/A</v>
      </c>
      <c r="H2232" s="412" t="e">
        <v>#N/A</v>
      </c>
      <c r="I2232" s="411" t="e">
        <v>#N/A</v>
      </c>
      <c r="J2232" s="411" t="e">
        <v>#N/A</v>
      </c>
      <c r="K2232" s="411" t="e">
        <v>#N/A</v>
      </c>
      <c r="L2232" s="526" t="e">
        <v>#N/A</v>
      </c>
    </row>
    <row r="2233" spans="1:12" ht="15" x14ac:dyDescent="0.25">
      <c r="A2233">
        <v>248268</v>
      </c>
      <c r="B2233" t="e">
        <f t="shared" si="94"/>
        <v>#N/A</v>
      </c>
      <c r="C2233" s="198" t="e">
        <f t="shared" si="95"/>
        <v>#N/A</v>
      </c>
      <c r="D2233" s="526" t="e">
        <v>#N/A</v>
      </c>
      <c r="E2233" s="526" t="e">
        <v>#N/A</v>
      </c>
      <c r="F2233" s="526" t="e">
        <v>#N/A</v>
      </c>
      <c r="G2233" s="526" t="e">
        <v>#N/A</v>
      </c>
      <c r="H2233" s="412" t="e">
        <v>#N/A</v>
      </c>
      <c r="I2233" s="411" t="e">
        <v>#N/A</v>
      </c>
      <c r="J2233" s="411" t="e">
        <v>#N/A</v>
      </c>
      <c r="K2233" s="411" t="e">
        <v>#N/A</v>
      </c>
      <c r="L2233" s="526" t="e">
        <v>#N/A</v>
      </c>
    </row>
    <row r="2234" spans="1:12" ht="15" x14ac:dyDescent="0.25">
      <c r="A2234">
        <v>248270</v>
      </c>
      <c r="B2234" t="e">
        <f t="shared" si="94"/>
        <v>#N/A</v>
      </c>
      <c r="C2234" s="198" t="e">
        <f t="shared" si="95"/>
        <v>#N/A</v>
      </c>
      <c r="D2234" s="526" t="e">
        <v>#N/A</v>
      </c>
      <c r="E2234" s="526" t="e">
        <v>#N/A</v>
      </c>
      <c r="F2234" s="526" t="e">
        <v>#N/A</v>
      </c>
      <c r="G2234" s="526" t="e">
        <v>#N/A</v>
      </c>
      <c r="H2234" s="412" t="e">
        <v>#N/A</v>
      </c>
      <c r="I2234" s="411" t="e">
        <v>#N/A</v>
      </c>
      <c r="J2234" s="411" t="e">
        <v>#N/A</v>
      </c>
      <c r="K2234" s="411" t="e">
        <v>#N/A</v>
      </c>
      <c r="L2234" s="526" t="e">
        <v>#N/A</v>
      </c>
    </row>
    <row r="2235" spans="1:12" ht="15" x14ac:dyDescent="0.25">
      <c r="A2235">
        <v>249432</v>
      </c>
      <c r="B2235" t="e">
        <f t="shared" si="94"/>
        <v>#N/A</v>
      </c>
      <c r="C2235" s="198" t="e">
        <f t="shared" si="95"/>
        <v>#N/A</v>
      </c>
      <c r="D2235" s="526" t="e">
        <v>#N/A</v>
      </c>
      <c r="E2235" s="526" t="e">
        <v>#N/A</v>
      </c>
      <c r="F2235" s="526" t="e">
        <v>#N/A</v>
      </c>
      <c r="G2235" s="526" t="e">
        <v>#N/A</v>
      </c>
      <c r="H2235" s="412" t="e">
        <v>#N/A</v>
      </c>
      <c r="I2235" s="411" t="e">
        <v>#N/A</v>
      </c>
      <c r="J2235" s="411" t="e">
        <v>#N/A</v>
      </c>
      <c r="K2235" s="411" t="e">
        <v>#N/A</v>
      </c>
      <c r="L2235" s="526" t="e">
        <v>#N/A</v>
      </c>
    </row>
    <row r="2236" spans="1:12" ht="15" x14ac:dyDescent="0.25">
      <c r="A2236">
        <v>249446</v>
      </c>
      <c r="B2236" t="e">
        <f t="shared" si="94"/>
        <v>#N/A</v>
      </c>
      <c r="C2236" s="198" t="e">
        <f t="shared" si="95"/>
        <v>#N/A</v>
      </c>
      <c r="D2236" s="526" t="e">
        <v>#N/A</v>
      </c>
      <c r="E2236" s="526" t="e">
        <v>#N/A</v>
      </c>
      <c r="F2236" s="526" t="e">
        <v>#N/A</v>
      </c>
      <c r="G2236" s="526" t="e">
        <v>#N/A</v>
      </c>
      <c r="H2236" s="412" t="e">
        <v>#N/A</v>
      </c>
      <c r="I2236" s="411" t="e">
        <v>#N/A</v>
      </c>
      <c r="J2236" s="411" t="e">
        <v>#N/A</v>
      </c>
      <c r="K2236" s="411" t="e">
        <v>#N/A</v>
      </c>
      <c r="L2236" s="526" t="e">
        <v>#N/A</v>
      </c>
    </row>
    <row r="2237" spans="1:12" ht="15" x14ac:dyDescent="0.25">
      <c r="A2237">
        <v>249840</v>
      </c>
      <c r="B2237" t="e">
        <f t="shared" si="94"/>
        <v>#N/A</v>
      </c>
      <c r="C2237" s="198" t="e">
        <f t="shared" si="95"/>
        <v>#N/A</v>
      </c>
      <c r="D2237" s="526" t="e">
        <v>#N/A</v>
      </c>
      <c r="E2237" s="526" t="e">
        <v>#N/A</v>
      </c>
      <c r="F2237" s="526" t="e">
        <v>#N/A</v>
      </c>
      <c r="G2237" s="526" t="e">
        <v>#N/A</v>
      </c>
      <c r="H2237" s="412" t="e">
        <v>#N/A</v>
      </c>
      <c r="I2237" s="411" t="e">
        <v>#N/A</v>
      </c>
      <c r="J2237" s="411" t="e">
        <v>#N/A</v>
      </c>
      <c r="K2237" s="411" t="e">
        <v>#N/A</v>
      </c>
      <c r="L2237" s="526" t="e">
        <v>#N/A</v>
      </c>
    </row>
    <row r="2238" spans="1:12" ht="15" x14ac:dyDescent="0.25">
      <c r="A2238">
        <v>278305</v>
      </c>
      <c r="B2238" t="e">
        <f t="shared" si="94"/>
        <v>#N/A</v>
      </c>
      <c r="C2238" s="198" t="e">
        <f t="shared" si="95"/>
        <v>#N/A</v>
      </c>
      <c r="D2238" s="526" t="e">
        <v>#N/A</v>
      </c>
      <c r="E2238" s="526" t="e">
        <v>#N/A</v>
      </c>
      <c r="F2238" s="526" t="e">
        <v>#N/A</v>
      </c>
      <c r="G2238" s="526" t="e">
        <v>#N/A</v>
      </c>
      <c r="H2238" s="412" t="e">
        <v>#N/A</v>
      </c>
      <c r="I2238" s="411" t="e">
        <v>#N/A</v>
      </c>
      <c r="J2238" s="411" t="e">
        <v>#N/A</v>
      </c>
      <c r="K2238" s="411" t="e">
        <v>#N/A</v>
      </c>
      <c r="L2238" s="526" t="e">
        <v>#N/A</v>
      </c>
    </row>
    <row r="2239" spans="1:12" ht="15" x14ac:dyDescent="0.25">
      <c r="A2239">
        <v>279404</v>
      </c>
      <c r="B2239" t="e">
        <f t="shared" ref="B2239:B2278" si="96">IF($A$2=1,D2239,IF($A$2=2,F2239,IF($A$2=3,G2239,IF($A$2=4,E2239,"zadat jazyk"))))</f>
        <v>#N/A</v>
      </c>
      <c r="C2239" s="198" t="e">
        <f t="shared" ref="C2239:C2278" si="97">IF($A$2=1,H2239,IF($A$2=2,I2239,IF($A$2=3,J2239,IF($A$2=4,K2239,"zadat jazyk"))))</f>
        <v>#N/A</v>
      </c>
      <c r="D2239" s="526" t="e">
        <v>#N/A</v>
      </c>
      <c r="E2239" s="526" t="e">
        <v>#N/A</v>
      </c>
      <c r="F2239" s="526" t="e">
        <v>#N/A</v>
      </c>
      <c r="G2239" s="526" t="e">
        <v>#N/A</v>
      </c>
      <c r="H2239" s="412" t="e">
        <v>#N/A</v>
      </c>
      <c r="I2239" s="411" t="e">
        <v>#N/A</v>
      </c>
      <c r="J2239" s="411" t="e">
        <v>#N/A</v>
      </c>
      <c r="K2239" s="411" t="e">
        <v>#N/A</v>
      </c>
      <c r="L2239" s="526" t="e">
        <v>#N/A</v>
      </c>
    </row>
    <row r="2240" spans="1:12" ht="15" x14ac:dyDescent="0.25">
      <c r="A2240">
        <v>281867</v>
      </c>
      <c r="B2240" t="e">
        <f t="shared" si="96"/>
        <v>#N/A</v>
      </c>
      <c r="C2240" s="198" t="e">
        <f t="shared" si="97"/>
        <v>#N/A</v>
      </c>
      <c r="D2240" s="526" t="e">
        <v>#N/A</v>
      </c>
      <c r="E2240" s="526" t="e">
        <v>#N/A</v>
      </c>
      <c r="F2240" s="526" t="e">
        <v>#N/A</v>
      </c>
      <c r="G2240" s="526" t="e">
        <v>#N/A</v>
      </c>
      <c r="H2240" s="412" t="e">
        <v>#N/A</v>
      </c>
      <c r="I2240" s="411" t="e">
        <v>#N/A</v>
      </c>
      <c r="J2240" s="411" t="e">
        <v>#N/A</v>
      </c>
      <c r="K2240" s="411" t="e">
        <v>#N/A</v>
      </c>
      <c r="L2240" s="526" t="e">
        <v>#N/A</v>
      </c>
    </row>
    <row r="2241" spans="1:12" ht="15" x14ac:dyDescent="0.25">
      <c r="A2241">
        <v>281980</v>
      </c>
      <c r="B2241" t="e">
        <f t="shared" si="96"/>
        <v>#N/A</v>
      </c>
      <c r="C2241" s="198" t="e">
        <f t="shared" si="97"/>
        <v>#N/A</v>
      </c>
      <c r="D2241" s="526" t="e">
        <v>#N/A</v>
      </c>
      <c r="E2241" s="526" t="e">
        <v>#N/A</v>
      </c>
      <c r="F2241" s="526" t="e">
        <v>#N/A</v>
      </c>
      <c r="G2241" s="526" t="e">
        <v>#N/A</v>
      </c>
      <c r="H2241" s="412" t="e">
        <v>#N/A</v>
      </c>
      <c r="I2241" s="411" t="e">
        <v>#N/A</v>
      </c>
      <c r="J2241" s="411" t="e">
        <v>#N/A</v>
      </c>
      <c r="K2241" s="411" t="e">
        <v>#N/A</v>
      </c>
      <c r="L2241" s="526" t="e">
        <v>#N/A</v>
      </c>
    </row>
    <row r="2242" spans="1:12" ht="15" x14ac:dyDescent="0.25">
      <c r="A2242">
        <v>282183</v>
      </c>
      <c r="B2242" t="e">
        <f t="shared" si="96"/>
        <v>#N/A</v>
      </c>
      <c r="C2242" s="198" t="e">
        <f t="shared" si="97"/>
        <v>#N/A</v>
      </c>
      <c r="D2242" s="526" t="e">
        <v>#N/A</v>
      </c>
      <c r="E2242" s="526" t="e">
        <v>#N/A</v>
      </c>
      <c r="F2242" s="526" t="e">
        <v>#N/A</v>
      </c>
      <c r="G2242" s="526" t="e">
        <v>#N/A</v>
      </c>
      <c r="H2242" s="412" t="e">
        <v>#N/A</v>
      </c>
      <c r="I2242" s="411" t="e">
        <v>#N/A</v>
      </c>
      <c r="J2242" s="411" t="e">
        <v>#N/A</v>
      </c>
      <c r="K2242" s="411" t="e">
        <v>#N/A</v>
      </c>
      <c r="L2242" s="526" t="e">
        <v>#N/A</v>
      </c>
    </row>
    <row r="2243" spans="1:12" ht="15" x14ac:dyDescent="0.25">
      <c r="A2243">
        <v>282185</v>
      </c>
      <c r="B2243" t="e">
        <f t="shared" si="96"/>
        <v>#N/A</v>
      </c>
      <c r="C2243" s="198" t="e">
        <f t="shared" si="97"/>
        <v>#N/A</v>
      </c>
      <c r="D2243" s="526" t="e">
        <v>#N/A</v>
      </c>
      <c r="E2243" s="526" t="e">
        <v>#N/A</v>
      </c>
      <c r="F2243" s="526" t="e">
        <v>#N/A</v>
      </c>
      <c r="G2243" s="526" t="e">
        <v>#N/A</v>
      </c>
      <c r="H2243" s="412" t="e">
        <v>#N/A</v>
      </c>
      <c r="I2243" s="411" t="e">
        <v>#N/A</v>
      </c>
      <c r="J2243" s="411" t="e">
        <v>#N/A</v>
      </c>
      <c r="K2243" s="411" t="e">
        <v>#N/A</v>
      </c>
      <c r="L2243" s="526" t="e">
        <v>#N/A</v>
      </c>
    </row>
    <row r="2244" spans="1:12" ht="15" x14ac:dyDescent="0.25">
      <c r="A2244">
        <v>282188</v>
      </c>
      <c r="B2244" t="e">
        <f t="shared" si="96"/>
        <v>#N/A</v>
      </c>
      <c r="C2244" s="198" t="e">
        <f t="shared" si="97"/>
        <v>#N/A</v>
      </c>
      <c r="D2244" s="526" t="e">
        <v>#N/A</v>
      </c>
      <c r="E2244" s="526" t="e">
        <v>#N/A</v>
      </c>
      <c r="F2244" s="526" t="e">
        <v>#N/A</v>
      </c>
      <c r="G2244" s="526" t="e">
        <v>#N/A</v>
      </c>
      <c r="H2244" s="412" t="e">
        <v>#N/A</v>
      </c>
      <c r="I2244" s="411" t="e">
        <v>#N/A</v>
      </c>
      <c r="J2244" s="411" t="e">
        <v>#N/A</v>
      </c>
      <c r="K2244" s="411" t="e">
        <v>#N/A</v>
      </c>
      <c r="L2244" s="526" t="e">
        <v>#N/A</v>
      </c>
    </row>
    <row r="2245" spans="1:12" ht="15" x14ac:dyDescent="0.25">
      <c r="A2245">
        <v>282189</v>
      </c>
      <c r="B2245" t="e">
        <f t="shared" si="96"/>
        <v>#N/A</v>
      </c>
      <c r="C2245" s="198" t="e">
        <f t="shared" si="97"/>
        <v>#N/A</v>
      </c>
      <c r="D2245" s="526" t="e">
        <v>#N/A</v>
      </c>
      <c r="E2245" s="526" t="e">
        <v>#N/A</v>
      </c>
      <c r="F2245" s="526" t="e">
        <v>#N/A</v>
      </c>
      <c r="G2245" s="526" t="e">
        <v>#N/A</v>
      </c>
      <c r="H2245" s="412" t="e">
        <v>#N/A</v>
      </c>
      <c r="I2245" s="411" t="e">
        <v>#N/A</v>
      </c>
      <c r="J2245" s="411" t="e">
        <v>#N/A</v>
      </c>
      <c r="K2245" s="411" t="e">
        <v>#N/A</v>
      </c>
      <c r="L2245" s="526" t="e">
        <v>#N/A</v>
      </c>
    </row>
    <row r="2246" spans="1:12" ht="15" x14ac:dyDescent="0.25">
      <c r="A2246">
        <v>282191</v>
      </c>
      <c r="B2246" t="e">
        <f t="shared" si="96"/>
        <v>#N/A</v>
      </c>
      <c r="C2246" s="198" t="e">
        <f t="shared" si="97"/>
        <v>#N/A</v>
      </c>
      <c r="D2246" s="526" t="e">
        <v>#N/A</v>
      </c>
      <c r="E2246" s="526" t="e">
        <v>#N/A</v>
      </c>
      <c r="F2246" s="526" t="e">
        <v>#N/A</v>
      </c>
      <c r="G2246" s="526" t="e">
        <v>#N/A</v>
      </c>
      <c r="H2246" s="412" t="e">
        <v>#N/A</v>
      </c>
      <c r="I2246" s="411" t="e">
        <v>#N/A</v>
      </c>
      <c r="J2246" s="411" t="e">
        <v>#N/A</v>
      </c>
      <c r="K2246" s="411" t="e">
        <v>#N/A</v>
      </c>
      <c r="L2246" s="526" t="e">
        <v>#N/A</v>
      </c>
    </row>
    <row r="2247" spans="1:12" ht="15" x14ac:dyDescent="0.25">
      <c r="A2247">
        <v>259427</v>
      </c>
      <c r="B2247" t="e">
        <f t="shared" si="96"/>
        <v>#N/A</v>
      </c>
      <c r="C2247" s="198" t="e">
        <f t="shared" si="97"/>
        <v>#N/A</v>
      </c>
      <c r="D2247" s="526" t="e">
        <v>#N/A</v>
      </c>
      <c r="E2247" s="526" t="e">
        <v>#N/A</v>
      </c>
      <c r="F2247" s="526" t="e">
        <v>#N/A</v>
      </c>
      <c r="G2247" s="526" t="e">
        <v>#N/A</v>
      </c>
      <c r="H2247" s="412" t="e">
        <v>#N/A</v>
      </c>
      <c r="I2247" s="411" t="e">
        <v>#N/A</v>
      </c>
      <c r="J2247" s="411" t="e">
        <v>#N/A</v>
      </c>
      <c r="K2247" s="411" t="e">
        <v>#N/A</v>
      </c>
      <c r="L2247" s="526" t="e">
        <v>#N/A</v>
      </c>
    </row>
    <row r="2248" spans="1:12" ht="15" x14ac:dyDescent="0.25">
      <c r="A2248">
        <v>259428</v>
      </c>
      <c r="B2248" t="e">
        <f t="shared" si="96"/>
        <v>#N/A</v>
      </c>
      <c r="C2248" s="198" t="e">
        <f t="shared" si="97"/>
        <v>#N/A</v>
      </c>
      <c r="D2248" s="526" t="e">
        <v>#N/A</v>
      </c>
      <c r="E2248" s="526" t="e">
        <v>#N/A</v>
      </c>
      <c r="F2248" s="526" t="e">
        <v>#N/A</v>
      </c>
      <c r="G2248" s="526" t="e">
        <v>#N/A</v>
      </c>
      <c r="H2248" s="412" t="e">
        <v>#N/A</v>
      </c>
      <c r="I2248" s="411" t="e">
        <v>#N/A</v>
      </c>
      <c r="J2248" s="411" t="e">
        <v>#N/A</v>
      </c>
      <c r="K2248" s="411" t="e">
        <v>#N/A</v>
      </c>
      <c r="L2248" s="526" t="e">
        <v>#N/A</v>
      </c>
    </row>
    <row r="2249" spans="1:12" ht="15" x14ac:dyDescent="0.25">
      <c r="A2249">
        <v>259432</v>
      </c>
      <c r="B2249" t="e">
        <f t="shared" si="96"/>
        <v>#N/A</v>
      </c>
      <c r="C2249" s="198" t="e">
        <f t="shared" si="97"/>
        <v>#N/A</v>
      </c>
      <c r="D2249" s="526" t="e">
        <v>#N/A</v>
      </c>
      <c r="E2249" s="526" t="e">
        <v>#N/A</v>
      </c>
      <c r="F2249" s="526" t="e">
        <v>#N/A</v>
      </c>
      <c r="G2249" s="526" t="e">
        <v>#N/A</v>
      </c>
      <c r="H2249" s="412" t="e">
        <v>#N/A</v>
      </c>
      <c r="I2249" s="411" t="e">
        <v>#N/A</v>
      </c>
      <c r="J2249" s="411" t="e">
        <v>#N/A</v>
      </c>
      <c r="K2249" s="411" t="e">
        <v>#N/A</v>
      </c>
      <c r="L2249" s="526" t="e">
        <v>#N/A</v>
      </c>
    </row>
    <row r="2250" spans="1:12" ht="15" x14ac:dyDescent="0.25">
      <c r="A2250">
        <v>260284</v>
      </c>
      <c r="B2250" t="e">
        <f t="shared" si="96"/>
        <v>#N/A</v>
      </c>
      <c r="C2250" s="198" t="e">
        <f t="shared" si="97"/>
        <v>#N/A</v>
      </c>
      <c r="D2250" s="526" t="e">
        <v>#N/A</v>
      </c>
      <c r="E2250" s="526" t="e">
        <v>#N/A</v>
      </c>
      <c r="F2250" s="526" t="e">
        <v>#N/A</v>
      </c>
      <c r="G2250" s="526" t="e">
        <v>#N/A</v>
      </c>
      <c r="H2250" s="412" t="e">
        <v>#N/A</v>
      </c>
      <c r="I2250" s="411" t="e">
        <v>#N/A</v>
      </c>
      <c r="J2250" s="411" t="e">
        <v>#N/A</v>
      </c>
      <c r="K2250" s="411" t="e">
        <v>#N/A</v>
      </c>
      <c r="L2250" s="526" t="e">
        <v>#N/A</v>
      </c>
    </row>
    <row r="2251" spans="1:12" ht="15" x14ac:dyDescent="0.25">
      <c r="A2251">
        <v>260393</v>
      </c>
      <c r="B2251" t="e">
        <f t="shared" si="96"/>
        <v>#N/A</v>
      </c>
      <c r="C2251" s="198" t="e">
        <f t="shared" si="97"/>
        <v>#N/A</v>
      </c>
      <c r="D2251" s="526" t="e">
        <v>#N/A</v>
      </c>
      <c r="E2251" s="526" t="e">
        <v>#N/A</v>
      </c>
      <c r="F2251" s="526" t="e">
        <v>#N/A</v>
      </c>
      <c r="G2251" s="526" t="e">
        <v>#N/A</v>
      </c>
      <c r="H2251" s="412" t="e">
        <v>#N/A</v>
      </c>
      <c r="I2251" s="411" t="e">
        <v>#N/A</v>
      </c>
      <c r="J2251" s="411" t="e">
        <v>#N/A</v>
      </c>
      <c r="K2251" s="411" t="e">
        <v>#N/A</v>
      </c>
      <c r="L2251" s="526" t="e">
        <v>#N/A</v>
      </c>
    </row>
    <row r="2252" spans="1:12" ht="15" x14ac:dyDescent="0.25">
      <c r="A2252">
        <v>188667</v>
      </c>
      <c r="B2252" t="e">
        <f t="shared" si="96"/>
        <v>#N/A</v>
      </c>
      <c r="C2252" s="198" t="e">
        <f t="shared" si="97"/>
        <v>#N/A</v>
      </c>
      <c r="D2252" s="526" t="e">
        <v>#N/A</v>
      </c>
      <c r="E2252" s="526" t="e">
        <v>#N/A</v>
      </c>
      <c r="F2252" s="526" t="e">
        <v>#N/A</v>
      </c>
      <c r="G2252" s="526" t="e">
        <v>#N/A</v>
      </c>
      <c r="H2252" s="412" t="e">
        <v>#N/A</v>
      </c>
      <c r="I2252" s="411" t="e">
        <v>#N/A</v>
      </c>
      <c r="J2252" s="411" t="e">
        <v>#N/A</v>
      </c>
      <c r="K2252" s="411" t="e">
        <v>#N/A</v>
      </c>
      <c r="L2252" s="526" t="e">
        <v>#N/A</v>
      </c>
    </row>
    <row r="2253" spans="1:12" ht="15" x14ac:dyDescent="0.25">
      <c r="A2253">
        <v>189591</v>
      </c>
      <c r="B2253" t="str">
        <f t="shared" si="96"/>
        <v>SEVROLL 221-022 sada Apollo 2/756</v>
      </c>
      <c r="C2253" s="198">
        <f t="shared" si="97"/>
        <v>30.808779999999999</v>
      </c>
      <c r="D2253" s="526" t="s">
        <v>1720</v>
      </c>
      <c r="E2253" s="526" t="s">
        <v>2152</v>
      </c>
      <c r="F2253" s="526" t="s">
        <v>1720</v>
      </c>
      <c r="G2253" s="526" t="s">
        <v>2628</v>
      </c>
      <c r="H2253" s="412">
        <v>813.17370000000005</v>
      </c>
      <c r="I2253" s="411">
        <v>30.808779999999999</v>
      </c>
      <c r="J2253" s="411">
        <v>106.0055</v>
      </c>
      <c r="K2253" s="411">
        <v>11345.29616</v>
      </c>
      <c r="L2253" s="526" t="s">
        <v>554</v>
      </c>
    </row>
    <row r="2254" spans="1:12" ht="15" x14ac:dyDescent="0.25">
      <c r="A2254">
        <v>190488</v>
      </c>
      <c r="B2254" t="str">
        <f t="shared" si="96"/>
        <v>SEVROLL 10067-SV sada kovania ZSE-10 Plus</v>
      </c>
      <c r="C2254" s="198">
        <f t="shared" si="97"/>
        <v>66.184700000000007</v>
      </c>
      <c r="D2254" s="526" t="s">
        <v>1721</v>
      </c>
      <c r="E2254" s="526" t="s">
        <v>2153</v>
      </c>
      <c r="F2254" s="526" t="s">
        <v>6155</v>
      </c>
      <c r="G2254" s="526" t="s">
        <v>2629</v>
      </c>
      <c r="H2254" s="412">
        <v>1832.5898999999999</v>
      </c>
      <c r="I2254" s="411">
        <v>66.184700000000007</v>
      </c>
      <c r="J2254" s="411">
        <v>232.9272</v>
      </c>
      <c r="K2254" s="411">
        <v>25194.8151</v>
      </c>
      <c r="L2254" s="526" t="s">
        <v>554</v>
      </c>
    </row>
    <row r="2255" spans="1:12" ht="15" x14ac:dyDescent="0.25">
      <c r="A2255">
        <v>190831</v>
      </c>
      <c r="B2255" t="str">
        <f t="shared" si="96"/>
        <v>SEVROLL 10069-SV sada kovania ZSE-18</v>
      </c>
      <c r="C2255" s="198">
        <f t="shared" si="97"/>
        <v>44.490830000000003</v>
      </c>
      <c r="D2255" s="526" t="s">
        <v>1722</v>
      </c>
      <c r="E2255" s="526" t="s">
        <v>2154</v>
      </c>
      <c r="F2255" s="526" t="s">
        <v>6156</v>
      </c>
      <c r="G2255" s="526" t="s">
        <v>2630</v>
      </c>
      <c r="H2255" s="412">
        <v>1231.7290399999999</v>
      </c>
      <c r="I2255" s="411">
        <v>44.490830000000003</v>
      </c>
      <c r="J2255" s="411">
        <v>156.62100000000001</v>
      </c>
      <c r="K2255" s="411">
        <v>16936.514910000002</v>
      </c>
      <c r="L2255" s="526" t="s">
        <v>554</v>
      </c>
    </row>
    <row r="2256" spans="1:12" ht="15" x14ac:dyDescent="0.25">
      <c r="A2256">
        <v>190832</v>
      </c>
      <c r="B2256" t="str">
        <f t="shared" si="96"/>
        <v>SEVROLL 10068-SV sada kovania ZSE-18 Plus</v>
      </c>
      <c r="C2256" s="198">
        <f t="shared" si="97"/>
        <v>65.204179999999994</v>
      </c>
      <c r="D2256" s="526" t="s">
        <v>1723</v>
      </c>
      <c r="E2256" s="526" t="s">
        <v>2155</v>
      </c>
      <c r="F2256" s="526" t="s">
        <v>6157</v>
      </c>
      <c r="G2256" s="526" t="s">
        <v>2631</v>
      </c>
      <c r="H2256" s="412">
        <v>1805.4404199999999</v>
      </c>
      <c r="I2256" s="411">
        <v>65.204179999999994</v>
      </c>
      <c r="J2256" s="411">
        <v>229.43879999999999</v>
      </c>
      <c r="K2256" s="411">
        <v>24821.558730000001</v>
      </c>
      <c r="L2256" s="526" t="s">
        <v>554</v>
      </c>
    </row>
    <row r="2257" spans="1:12" ht="15" x14ac:dyDescent="0.25">
      <c r="A2257">
        <v>190841</v>
      </c>
      <c r="B2257" t="str">
        <f t="shared" si="96"/>
        <v>SEVROLL 10084-SV sada kovania ZSE-18 U Plus</v>
      </c>
      <c r="C2257" s="198">
        <f t="shared" si="97"/>
        <v>65.449309999999997</v>
      </c>
      <c r="D2257" s="526" t="s">
        <v>1724</v>
      </c>
      <c r="E2257" s="526" t="s">
        <v>2156</v>
      </c>
      <c r="F2257" s="526" t="s">
        <v>6158</v>
      </c>
      <c r="G2257" s="526" t="s">
        <v>2632</v>
      </c>
      <c r="H2257" s="412">
        <v>1812.58502</v>
      </c>
      <c r="I2257" s="411">
        <v>65.449309999999997</v>
      </c>
      <c r="J2257" s="411">
        <v>230.29560000000001</v>
      </c>
      <c r="K2257" s="411">
        <v>24914.87283</v>
      </c>
      <c r="L2257" s="526" t="s">
        <v>554</v>
      </c>
    </row>
    <row r="2258" spans="1:12" ht="15" x14ac:dyDescent="0.25">
      <c r="A2258">
        <v>191628</v>
      </c>
      <c r="B2258" t="e">
        <f t="shared" si="96"/>
        <v>#N/A</v>
      </c>
      <c r="C2258" s="198" t="e">
        <f t="shared" si="97"/>
        <v>#N/A</v>
      </c>
      <c r="D2258" s="526" t="e">
        <v>#N/A</v>
      </c>
      <c r="E2258" s="526" t="e">
        <v>#N/A</v>
      </c>
      <c r="F2258" s="526" t="e">
        <v>#N/A</v>
      </c>
      <c r="G2258" s="526" t="e">
        <v>#N/A</v>
      </c>
      <c r="H2258" s="412" t="e">
        <v>#N/A</v>
      </c>
      <c r="I2258" s="411" t="e">
        <v>#N/A</v>
      </c>
      <c r="J2258" s="411" t="e">
        <v>#N/A</v>
      </c>
      <c r="K2258" s="411" t="e">
        <v>#N/A</v>
      </c>
      <c r="L2258" s="526" t="e">
        <v>#N/A</v>
      </c>
    </row>
    <row r="2259" spans="1:12" ht="15" x14ac:dyDescent="0.25">
      <c r="A2259">
        <v>191629</v>
      </c>
      <c r="B2259" t="e">
        <f t="shared" si="96"/>
        <v>#N/A</v>
      </c>
      <c r="C2259" s="198" t="e">
        <f t="shared" si="97"/>
        <v>#N/A</v>
      </c>
      <c r="D2259" s="526" t="e">
        <v>#N/A</v>
      </c>
      <c r="E2259" s="526" t="e">
        <v>#N/A</v>
      </c>
      <c r="F2259" s="526" t="e">
        <v>#N/A</v>
      </c>
      <c r="G2259" s="526" t="e">
        <v>#N/A</v>
      </c>
      <c r="H2259" s="412" t="e">
        <v>#N/A</v>
      </c>
      <c r="I2259" s="411" t="e">
        <v>#N/A</v>
      </c>
      <c r="J2259" s="411" t="e">
        <v>#N/A</v>
      </c>
      <c r="K2259" s="411" t="e">
        <v>#N/A</v>
      </c>
      <c r="L2259" s="526" t="e">
        <v>#N/A</v>
      </c>
    </row>
    <row r="2260" spans="1:12" ht="15" x14ac:dyDescent="0.25">
      <c r="A2260">
        <v>191632</v>
      </c>
      <c r="B2260" t="e">
        <f t="shared" si="96"/>
        <v>#N/A</v>
      </c>
      <c r="C2260" s="198" t="e">
        <f t="shared" si="97"/>
        <v>#N/A</v>
      </c>
      <c r="D2260" s="526" t="e">
        <v>#N/A</v>
      </c>
      <c r="E2260" s="526" t="e">
        <v>#N/A</v>
      </c>
      <c r="F2260" s="526" t="e">
        <v>#N/A</v>
      </c>
      <c r="G2260" s="526" t="e">
        <v>#N/A</v>
      </c>
      <c r="H2260" s="412" t="e">
        <v>#N/A</v>
      </c>
      <c r="I2260" s="411" t="e">
        <v>#N/A</v>
      </c>
      <c r="J2260" s="411" t="e">
        <v>#N/A</v>
      </c>
      <c r="K2260" s="411" t="e">
        <v>#N/A</v>
      </c>
      <c r="L2260" s="526" t="e">
        <v>#N/A</v>
      </c>
    </row>
    <row r="2261" spans="1:12" ht="15" x14ac:dyDescent="0.25">
      <c r="A2261">
        <v>191633</v>
      </c>
      <c r="B2261" t="e">
        <f t="shared" si="96"/>
        <v>#N/A</v>
      </c>
      <c r="C2261" s="198" t="e">
        <f t="shared" si="97"/>
        <v>#N/A</v>
      </c>
      <c r="D2261" s="526" t="e">
        <v>#N/A</v>
      </c>
      <c r="E2261" s="526" t="e">
        <v>#N/A</v>
      </c>
      <c r="F2261" s="526" t="e">
        <v>#N/A</v>
      </c>
      <c r="G2261" s="526" t="e">
        <v>#N/A</v>
      </c>
      <c r="H2261" s="412" t="e">
        <v>#N/A</v>
      </c>
      <c r="I2261" s="411" t="e">
        <v>#N/A</v>
      </c>
      <c r="J2261" s="411" t="e">
        <v>#N/A</v>
      </c>
      <c r="K2261" s="411" t="e">
        <v>#N/A</v>
      </c>
      <c r="L2261" s="526" t="e">
        <v>#N/A</v>
      </c>
    </row>
    <row r="2262" spans="1:12" ht="15" x14ac:dyDescent="0.25">
      <c r="A2262">
        <v>191634</v>
      </c>
      <c r="B2262" t="e">
        <f t="shared" si="96"/>
        <v>#N/A</v>
      </c>
      <c r="C2262" s="198" t="e">
        <f t="shared" si="97"/>
        <v>#N/A</v>
      </c>
      <c r="D2262" s="526" t="e">
        <v>#N/A</v>
      </c>
      <c r="E2262" s="526" t="e">
        <v>#N/A</v>
      </c>
      <c r="F2262" s="526" t="e">
        <v>#N/A</v>
      </c>
      <c r="G2262" s="526" t="e">
        <v>#N/A</v>
      </c>
      <c r="H2262" s="412" t="e">
        <v>#N/A</v>
      </c>
      <c r="I2262" s="411" t="e">
        <v>#N/A</v>
      </c>
      <c r="J2262" s="411" t="e">
        <v>#N/A</v>
      </c>
      <c r="K2262" s="411" t="e">
        <v>#N/A</v>
      </c>
      <c r="L2262" s="526" t="e">
        <v>#N/A</v>
      </c>
    </row>
    <row r="2263" spans="1:12" ht="15" x14ac:dyDescent="0.25">
      <c r="A2263">
        <v>191637</v>
      </c>
      <c r="B2263" t="e">
        <f t="shared" si="96"/>
        <v>#N/A</v>
      </c>
      <c r="C2263" s="198" t="e">
        <f t="shared" si="97"/>
        <v>#N/A</v>
      </c>
      <c r="D2263" s="526" t="e">
        <v>#N/A</v>
      </c>
      <c r="E2263" s="526" t="e">
        <v>#N/A</v>
      </c>
      <c r="F2263" s="526" t="e">
        <v>#N/A</v>
      </c>
      <c r="G2263" s="526" t="e">
        <v>#N/A</v>
      </c>
      <c r="H2263" s="412" t="e">
        <v>#N/A</v>
      </c>
      <c r="I2263" s="411" t="e">
        <v>#N/A</v>
      </c>
      <c r="J2263" s="411" t="e">
        <v>#N/A</v>
      </c>
      <c r="K2263" s="411" t="e">
        <v>#N/A</v>
      </c>
      <c r="L2263" s="526" t="e">
        <v>#N/A</v>
      </c>
    </row>
    <row r="2264" spans="1:12" ht="15" x14ac:dyDescent="0.25">
      <c r="A2264">
        <v>192609</v>
      </c>
      <c r="B2264" t="e">
        <f t="shared" si="96"/>
        <v>#N/A</v>
      </c>
      <c r="C2264" s="198" t="e">
        <f t="shared" si="97"/>
        <v>#N/A</v>
      </c>
      <c r="D2264" s="526" t="e">
        <v>#N/A</v>
      </c>
      <c r="E2264" s="526" t="e">
        <v>#N/A</v>
      </c>
      <c r="F2264" s="526" t="e">
        <v>#N/A</v>
      </c>
      <c r="G2264" s="526" t="e">
        <v>#N/A</v>
      </c>
      <c r="H2264" s="412" t="e">
        <v>#N/A</v>
      </c>
      <c r="I2264" s="411" t="e">
        <v>#N/A</v>
      </c>
      <c r="J2264" s="411" t="e">
        <v>#N/A</v>
      </c>
      <c r="K2264" s="411" t="e">
        <v>#N/A</v>
      </c>
      <c r="L2264" s="526" t="e">
        <v>#N/A</v>
      </c>
    </row>
    <row r="2265" spans="1:12" ht="15" x14ac:dyDescent="0.25">
      <c r="A2265">
        <v>192611</v>
      </c>
      <c r="B2265" t="e">
        <f t="shared" si="96"/>
        <v>#N/A</v>
      </c>
      <c r="C2265" s="198" t="e">
        <f t="shared" si="97"/>
        <v>#N/A</v>
      </c>
      <c r="D2265" s="526" t="e">
        <v>#N/A</v>
      </c>
      <c r="E2265" s="526" t="e">
        <v>#N/A</v>
      </c>
      <c r="F2265" s="526" t="e">
        <v>#N/A</v>
      </c>
      <c r="G2265" s="526" t="e">
        <v>#N/A</v>
      </c>
      <c r="H2265" s="412" t="e">
        <v>#N/A</v>
      </c>
      <c r="I2265" s="411" t="e">
        <v>#N/A</v>
      </c>
      <c r="J2265" s="411" t="e">
        <v>#N/A</v>
      </c>
      <c r="K2265" s="411" t="e">
        <v>#N/A</v>
      </c>
      <c r="L2265" s="526" t="e">
        <v>#N/A</v>
      </c>
    </row>
    <row r="2266" spans="1:12" ht="15" x14ac:dyDescent="0.25">
      <c r="A2266">
        <v>466290</v>
      </c>
      <c r="B2266" t="e">
        <f t="shared" si="96"/>
        <v>#N/A</v>
      </c>
      <c r="C2266" s="198" t="e">
        <f t="shared" si="97"/>
        <v>#N/A</v>
      </c>
      <c r="D2266" s="526" t="e">
        <v>#N/A</v>
      </c>
      <c r="E2266" s="526" t="e">
        <v>#N/A</v>
      </c>
      <c r="F2266" s="526" t="e">
        <v>#N/A</v>
      </c>
      <c r="G2266" s="526" t="e">
        <v>#N/A</v>
      </c>
      <c r="H2266" s="412" t="e">
        <v>#N/A</v>
      </c>
      <c r="I2266" s="411" t="e">
        <v>#N/A</v>
      </c>
      <c r="J2266" s="411" t="e">
        <v>#N/A</v>
      </c>
      <c r="K2266" s="411" t="e">
        <v>#N/A</v>
      </c>
      <c r="L2266" s="526" t="e">
        <v>#N/A</v>
      </c>
    </row>
    <row r="2267" spans="1:12" ht="15" x14ac:dyDescent="0.25">
      <c r="A2267">
        <v>466291</v>
      </c>
      <c r="B2267" t="e">
        <f t="shared" si="96"/>
        <v>#N/A</v>
      </c>
      <c r="C2267" s="198" t="e">
        <f t="shared" si="97"/>
        <v>#N/A</v>
      </c>
      <c r="D2267" s="526" t="e">
        <v>#N/A</v>
      </c>
      <c r="E2267" s="526" t="e">
        <v>#N/A</v>
      </c>
      <c r="F2267" s="526" t="e">
        <v>#N/A</v>
      </c>
      <c r="G2267" s="526" t="e">
        <v>#N/A</v>
      </c>
      <c r="H2267" s="412" t="e">
        <v>#N/A</v>
      </c>
      <c r="I2267" s="411" t="e">
        <v>#N/A</v>
      </c>
      <c r="J2267" s="411" t="e">
        <v>#N/A</v>
      </c>
      <c r="K2267" s="411" t="e">
        <v>#N/A</v>
      </c>
      <c r="L2267" s="526" t="e">
        <v>#N/A</v>
      </c>
    </row>
    <row r="2268" spans="1:12" ht="15" x14ac:dyDescent="0.25">
      <c r="A2268">
        <v>466292</v>
      </c>
      <c r="B2268" t="e">
        <f t="shared" si="96"/>
        <v>#N/A</v>
      </c>
      <c r="C2268" s="198" t="e">
        <f t="shared" si="97"/>
        <v>#N/A</v>
      </c>
      <c r="D2268" s="526" t="e">
        <v>#N/A</v>
      </c>
      <c r="E2268" s="526" t="e">
        <v>#N/A</v>
      </c>
      <c r="F2268" s="526" t="e">
        <v>#N/A</v>
      </c>
      <c r="G2268" s="526" t="e">
        <v>#N/A</v>
      </c>
      <c r="H2268" s="412" t="e">
        <v>#N/A</v>
      </c>
      <c r="I2268" s="411" t="e">
        <v>#N/A</v>
      </c>
      <c r="J2268" s="411" t="e">
        <v>#N/A</v>
      </c>
      <c r="K2268" s="411" t="e">
        <v>#N/A</v>
      </c>
      <c r="L2268" s="526" t="e">
        <v>#N/A</v>
      </c>
    </row>
    <row r="2269" spans="1:12" ht="15" x14ac:dyDescent="0.25">
      <c r="A2269">
        <v>467244</v>
      </c>
      <c r="B2269" t="str">
        <f t="shared" si="96"/>
        <v>SEVROLL Alfa II úchytová lišta 100m oliva new (vzorka)</v>
      </c>
      <c r="C2269" s="198">
        <f t="shared" si="97"/>
        <v>0.23924000000000001</v>
      </c>
      <c r="D2269" s="526" t="s">
        <v>1725</v>
      </c>
      <c r="E2269" s="526" t="s">
        <v>2157</v>
      </c>
      <c r="F2269" s="526" t="s">
        <v>6159</v>
      </c>
      <c r="G2269" s="526" t="s">
        <v>2633</v>
      </c>
      <c r="H2269" s="412">
        <v>6.0572800000000004</v>
      </c>
      <c r="I2269" s="411">
        <v>0.23924000000000001</v>
      </c>
      <c r="J2269" s="411">
        <v>1.1655899999999999</v>
      </c>
      <c r="K2269" s="411">
        <v>103.53992</v>
      </c>
      <c r="L2269" s="526" t="s">
        <v>556</v>
      </c>
    </row>
    <row r="2270" spans="1:12" ht="15" x14ac:dyDescent="0.25">
      <c r="A2270">
        <v>467250</v>
      </c>
      <c r="B2270" t="e">
        <f t="shared" si="96"/>
        <v>#N/A</v>
      </c>
      <c r="C2270" s="198" t="e">
        <f t="shared" si="97"/>
        <v>#N/A</v>
      </c>
      <c r="D2270" s="526" t="e">
        <v>#N/A</v>
      </c>
      <c r="E2270" s="526" t="e">
        <v>#N/A</v>
      </c>
      <c r="F2270" s="526" t="e">
        <v>#N/A</v>
      </c>
      <c r="G2270" s="526" t="e">
        <v>#N/A</v>
      </c>
      <c r="H2270" s="412" t="e">
        <v>#N/A</v>
      </c>
      <c r="I2270" s="411" t="e">
        <v>#N/A</v>
      </c>
      <c r="J2270" s="411" t="e">
        <v>#N/A</v>
      </c>
      <c r="K2270" s="411" t="e">
        <v>#N/A</v>
      </c>
      <c r="L2270" s="526" t="e">
        <v>#N/A</v>
      </c>
    </row>
    <row r="2271" spans="1:12" ht="15" x14ac:dyDescent="0.25">
      <c r="A2271" t="s">
        <v>1295</v>
      </c>
      <c r="B2271" t="e">
        <f t="shared" si="96"/>
        <v>#N/A</v>
      </c>
      <c r="C2271" s="198" t="e">
        <f t="shared" si="97"/>
        <v>#N/A</v>
      </c>
      <c r="D2271" s="526" t="e">
        <v>#N/A</v>
      </c>
      <c r="E2271" s="526" t="e">
        <v>#N/A</v>
      </c>
      <c r="F2271" s="526" t="e">
        <v>#N/A</v>
      </c>
      <c r="G2271" s="526" t="e">
        <v>#N/A</v>
      </c>
      <c r="H2271" s="412" t="e">
        <v>#N/A</v>
      </c>
      <c r="I2271" s="411" t="e">
        <v>#N/A</v>
      </c>
      <c r="J2271" s="411" t="e">
        <v>#N/A</v>
      </c>
      <c r="K2271" s="411" t="e">
        <v>#N/A</v>
      </c>
      <c r="L2271" s="526" t="e">
        <v>#N/A</v>
      </c>
    </row>
    <row r="2272" spans="1:12" ht="15" x14ac:dyDescent="0.25">
      <c r="A2272" t="s">
        <v>1296</v>
      </c>
      <c r="B2272" t="e">
        <f t="shared" si="96"/>
        <v>#N/A</v>
      </c>
      <c r="C2272" s="198" t="e">
        <f t="shared" si="97"/>
        <v>#N/A</v>
      </c>
      <c r="D2272" s="526" t="e">
        <v>#N/A</v>
      </c>
      <c r="E2272" s="526" t="e">
        <v>#N/A</v>
      </c>
      <c r="F2272" s="526" t="e">
        <v>#N/A</v>
      </c>
      <c r="G2272" s="526" t="e">
        <v>#N/A</v>
      </c>
      <c r="H2272" s="412" t="e">
        <v>#N/A</v>
      </c>
      <c r="I2272" s="411" t="e">
        <v>#N/A</v>
      </c>
      <c r="J2272" s="411" t="e">
        <v>#N/A</v>
      </c>
      <c r="K2272" s="411" t="e">
        <v>#N/A</v>
      </c>
      <c r="L2272" s="526" t="e">
        <v>#N/A</v>
      </c>
    </row>
    <row r="2273" spans="1:12" ht="15" x14ac:dyDescent="0.25">
      <c r="A2273" t="s">
        <v>1297</v>
      </c>
      <c r="B2273" t="e">
        <f t="shared" si="96"/>
        <v>#N/A</v>
      </c>
      <c r="C2273" s="198" t="e">
        <f t="shared" si="97"/>
        <v>#N/A</v>
      </c>
      <c r="D2273" s="526" t="e">
        <v>#N/A</v>
      </c>
      <c r="E2273" s="526" t="e">
        <v>#N/A</v>
      </c>
      <c r="F2273" s="526" t="e">
        <v>#N/A</v>
      </c>
      <c r="G2273" s="526" t="e">
        <v>#N/A</v>
      </c>
      <c r="H2273" s="412" t="e">
        <v>#N/A</v>
      </c>
      <c r="I2273" s="411" t="e">
        <v>#N/A</v>
      </c>
      <c r="J2273" s="411" t="e">
        <v>#N/A</v>
      </c>
      <c r="K2273" s="411" t="e">
        <v>#N/A</v>
      </c>
      <c r="L2273" s="526" t="e">
        <v>#N/A</v>
      </c>
    </row>
    <row r="2274" spans="1:12" ht="15" x14ac:dyDescent="0.25">
      <c r="A2274" t="s">
        <v>1298</v>
      </c>
      <c r="B2274" t="e">
        <f t="shared" si="96"/>
        <v>#N/A</v>
      </c>
      <c r="C2274" s="198" t="e">
        <f t="shared" si="97"/>
        <v>#N/A</v>
      </c>
      <c r="D2274" s="526" t="e">
        <v>#N/A</v>
      </c>
      <c r="E2274" s="526" t="e">
        <v>#N/A</v>
      </c>
      <c r="F2274" s="526" t="e">
        <v>#N/A</v>
      </c>
      <c r="G2274" s="526" t="e">
        <v>#N/A</v>
      </c>
      <c r="H2274" s="412" t="e">
        <v>#N/A</v>
      </c>
      <c r="I2274" s="411" t="e">
        <v>#N/A</v>
      </c>
      <c r="J2274" s="411" t="e">
        <v>#N/A</v>
      </c>
      <c r="K2274" s="411" t="e">
        <v>#N/A</v>
      </c>
      <c r="L2274" s="526" t="e">
        <v>#N/A</v>
      </c>
    </row>
    <row r="2275" spans="1:12" ht="15" x14ac:dyDescent="0.25">
      <c r="A2275">
        <v>236320</v>
      </c>
      <c r="B2275" t="e">
        <f t="shared" si="96"/>
        <v>#N/A</v>
      </c>
      <c r="C2275" s="198" t="e">
        <f t="shared" si="97"/>
        <v>#N/A</v>
      </c>
      <c r="D2275" s="526" t="e">
        <v>#N/A</v>
      </c>
      <c r="E2275" s="526" t="e">
        <v>#N/A</v>
      </c>
      <c r="F2275" s="526" t="e">
        <v>#N/A</v>
      </c>
      <c r="G2275" s="526" t="e">
        <v>#N/A</v>
      </c>
      <c r="H2275" s="412" t="e">
        <v>#N/A</v>
      </c>
      <c r="I2275" s="411" t="e">
        <v>#N/A</v>
      </c>
      <c r="J2275" s="411" t="e">
        <v>#N/A</v>
      </c>
      <c r="K2275" s="411" t="e">
        <v>#N/A</v>
      </c>
      <c r="L2275" s="526" t="e">
        <v>#N/A</v>
      </c>
    </row>
    <row r="2276" spans="1:12" ht="15" x14ac:dyDescent="0.25">
      <c r="A2276">
        <v>236355</v>
      </c>
      <c r="B2276" t="e">
        <f t="shared" si="96"/>
        <v>#N/A</v>
      </c>
      <c r="C2276" s="198" t="e">
        <f t="shared" si="97"/>
        <v>#N/A</v>
      </c>
      <c r="D2276" s="526" t="e">
        <v>#N/A</v>
      </c>
      <c r="E2276" s="526" t="e">
        <v>#N/A</v>
      </c>
      <c r="F2276" s="526" t="e">
        <v>#N/A</v>
      </c>
      <c r="G2276" s="526" t="e">
        <v>#N/A</v>
      </c>
      <c r="H2276" s="412" t="e">
        <v>#N/A</v>
      </c>
      <c r="I2276" s="411" t="e">
        <v>#N/A</v>
      </c>
      <c r="J2276" s="411" t="e">
        <v>#N/A</v>
      </c>
      <c r="K2276" s="411" t="e">
        <v>#N/A</v>
      </c>
      <c r="L2276" s="526" t="e">
        <v>#N/A</v>
      </c>
    </row>
    <row r="2277" spans="1:12" ht="15" x14ac:dyDescent="0.25">
      <c r="A2277">
        <v>236753</v>
      </c>
      <c r="B2277" t="e">
        <f t="shared" si="96"/>
        <v>#N/A</v>
      </c>
      <c r="C2277" s="198" t="e">
        <f t="shared" si="97"/>
        <v>#N/A</v>
      </c>
      <c r="D2277" s="526" t="e">
        <v>#N/A</v>
      </c>
      <c r="E2277" s="526" t="e">
        <v>#N/A</v>
      </c>
      <c r="F2277" s="526" t="e">
        <v>#N/A</v>
      </c>
      <c r="G2277" s="526" t="e">
        <v>#N/A</v>
      </c>
      <c r="H2277" s="412" t="e">
        <v>#N/A</v>
      </c>
      <c r="I2277" s="411" t="e">
        <v>#N/A</v>
      </c>
      <c r="J2277" s="411" t="e">
        <v>#N/A</v>
      </c>
      <c r="K2277" s="411" t="e">
        <v>#N/A</v>
      </c>
      <c r="L2277" s="526" t="e">
        <v>#N/A</v>
      </c>
    </row>
    <row r="2278" spans="1:12" ht="15" x14ac:dyDescent="0.25">
      <c r="A2278">
        <v>236764</v>
      </c>
      <c r="B2278" t="e">
        <f t="shared" si="96"/>
        <v>#N/A</v>
      </c>
      <c r="C2278" s="198" t="e">
        <f t="shared" si="97"/>
        <v>#N/A</v>
      </c>
      <c r="D2278" s="526" t="e">
        <v>#N/A</v>
      </c>
      <c r="E2278" s="526" t="e">
        <v>#N/A</v>
      </c>
      <c r="F2278" s="526" t="e">
        <v>#N/A</v>
      </c>
      <c r="G2278" s="526" t="e">
        <v>#N/A</v>
      </c>
      <c r="H2278" s="412" t="e">
        <v>#N/A</v>
      </c>
      <c r="I2278" s="411" t="e">
        <v>#N/A</v>
      </c>
      <c r="J2278" s="411" t="e">
        <v>#N/A</v>
      </c>
      <c r="K2278" s="411" t="e">
        <v>#N/A</v>
      </c>
      <c r="L2278" s="526" t="e">
        <v>#N/A</v>
      </c>
    </row>
    <row r="2279" spans="1:12" ht="15" x14ac:dyDescent="0.25">
      <c r="A2279">
        <v>236765</v>
      </c>
      <c r="B2279" t="e">
        <f t="shared" ref="B2279:B2332" si="98">IF($A$2=1,D2279,IF($A$2=2,F2279,IF($A$2=3,G2279,IF($A$2=4,E2279,"zadat jazyk"))))</f>
        <v>#N/A</v>
      </c>
      <c r="C2279" s="198" t="e">
        <f t="shared" ref="C2279:C2332" si="99">IF($A$2=1,H2279,IF($A$2=2,I2279,IF($A$2=3,J2279,IF($A$2=4,K2279,"zadat jazyk"))))</f>
        <v>#N/A</v>
      </c>
      <c r="D2279" s="526" t="e">
        <v>#N/A</v>
      </c>
      <c r="E2279" s="526" t="e">
        <v>#N/A</v>
      </c>
      <c r="F2279" s="526" t="e">
        <v>#N/A</v>
      </c>
      <c r="G2279" s="526" t="e">
        <v>#N/A</v>
      </c>
      <c r="H2279" s="412" t="e">
        <v>#N/A</v>
      </c>
      <c r="I2279" s="411" t="e">
        <v>#N/A</v>
      </c>
      <c r="J2279" s="411" t="e">
        <v>#N/A</v>
      </c>
      <c r="K2279" s="411" t="e">
        <v>#N/A</v>
      </c>
      <c r="L2279" s="526" t="e">
        <v>#N/A</v>
      </c>
    </row>
    <row r="2280" spans="1:12" ht="15" x14ac:dyDescent="0.25">
      <c r="A2280">
        <v>236766</v>
      </c>
      <c r="B2280" t="e">
        <f t="shared" si="98"/>
        <v>#N/A</v>
      </c>
      <c r="C2280" s="198" t="e">
        <f t="shared" si="99"/>
        <v>#N/A</v>
      </c>
      <c r="D2280" s="526" t="e">
        <v>#N/A</v>
      </c>
      <c r="E2280" s="526" t="e">
        <v>#N/A</v>
      </c>
      <c r="F2280" s="526" t="e">
        <v>#N/A</v>
      </c>
      <c r="G2280" s="526" t="e">
        <v>#N/A</v>
      </c>
      <c r="H2280" s="412" t="e">
        <v>#N/A</v>
      </c>
      <c r="I2280" s="411" t="e">
        <v>#N/A</v>
      </c>
      <c r="J2280" s="411" t="e">
        <v>#N/A</v>
      </c>
      <c r="K2280" s="411" t="e">
        <v>#N/A</v>
      </c>
      <c r="L2280" s="526" t="e">
        <v>#N/A</v>
      </c>
    </row>
    <row r="2281" spans="1:12" ht="15" x14ac:dyDescent="0.25">
      <c r="A2281">
        <v>236771</v>
      </c>
      <c r="B2281" t="e">
        <f t="shared" si="98"/>
        <v>#N/A</v>
      </c>
      <c r="C2281" s="198" t="e">
        <f t="shared" si="99"/>
        <v>#N/A</v>
      </c>
      <c r="D2281" s="526" t="e">
        <v>#N/A</v>
      </c>
      <c r="E2281" s="526" t="e">
        <v>#N/A</v>
      </c>
      <c r="F2281" s="526" t="e">
        <v>#N/A</v>
      </c>
      <c r="G2281" s="526" t="e">
        <v>#N/A</v>
      </c>
      <c r="H2281" s="412" t="e">
        <v>#N/A</v>
      </c>
      <c r="I2281" s="411" t="e">
        <v>#N/A</v>
      </c>
      <c r="J2281" s="411" t="e">
        <v>#N/A</v>
      </c>
      <c r="K2281" s="411" t="e">
        <v>#N/A</v>
      </c>
      <c r="L2281" s="526" t="e">
        <v>#N/A</v>
      </c>
    </row>
    <row r="2282" spans="1:12" ht="15" x14ac:dyDescent="0.25">
      <c r="A2282">
        <v>236772</v>
      </c>
      <c r="B2282" t="e">
        <f t="shared" si="98"/>
        <v>#N/A</v>
      </c>
      <c r="C2282" s="198" t="e">
        <f t="shared" si="99"/>
        <v>#N/A</v>
      </c>
      <c r="D2282" s="526" t="e">
        <v>#N/A</v>
      </c>
      <c r="E2282" s="526" t="e">
        <v>#N/A</v>
      </c>
      <c r="F2282" s="526" t="e">
        <v>#N/A</v>
      </c>
      <c r="G2282" s="526" t="e">
        <v>#N/A</v>
      </c>
      <c r="H2282" s="412" t="e">
        <v>#N/A</v>
      </c>
      <c r="I2282" s="411" t="e">
        <v>#N/A</v>
      </c>
      <c r="J2282" s="411" t="e">
        <v>#N/A</v>
      </c>
      <c r="K2282" s="411" t="e">
        <v>#N/A</v>
      </c>
      <c r="L2282" s="526" t="e">
        <v>#N/A</v>
      </c>
    </row>
    <row r="2283" spans="1:12" ht="15" x14ac:dyDescent="0.25">
      <c r="A2283">
        <v>237690</v>
      </c>
      <c r="B2283" t="e">
        <f t="shared" si="98"/>
        <v>#N/A</v>
      </c>
      <c r="C2283" s="198" t="e">
        <f t="shared" si="99"/>
        <v>#N/A</v>
      </c>
      <c r="D2283" s="526" t="e">
        <v>#N/A</v>
      </c>
      <c r="E2283" s="526" t="e">
        <v>#N/A</v>
      </c>
      <c r="F2283" s="526" t="e">
        <v>#N/A</v>
      </c>
      <c r="G2283" s="526" t="e">
        <v>#N/A</v>
      </c>
      <c r="H2283" s="412" t="e">
        <v>#N/A</v>
      </c>
      <c r="I2283" s="411" t="e">
        <v>#N/A</v>
      </c>
      <c r="J2283" s="411" t="e">
        <v>#N/A</v>
      </c>
      <c r="K2283" s="411" t="e">
        <v>#N/A</v>
      </c>
      <c r="L2283" s="526" t="e">
        <v>#N/A</v>
      </c>
    </row>
    <row r="2284" spans="1:12" ht="15" x14ac:dyDescent="0.25">
      <c r="A2284">
        <v>465329</v>
      </c>
      <c r="B2284" t="e">
        <f t="shared" si="98"/>
        <v>#N/A</v>
      </c>
      <c r="C2284" s="198" t="e">
        <f t="shared" si="99"/>
        <v>#N/A</v>
      </c>
      <c r="D2284" s="526" t="e">
        <v>#N/A</v>
      </c>
      <c r="E2284" s="526" t="e">
        <v>#N/A</v>
      </c>
      <c r="F2284" s="526" t="e">
        <v>#N/A</v>
      </c>
      <c r="G2284" s="526" t="e">
        <v>#N/A</v>
      </c>
      <c r="H2284" s="412" t="e">
        <v>#N/A</v>
      </c>
      <c r="I2284" s="411" t="e">
        <v>#N/A</v>
      </c>
      <c r="J2284" s="411" t="e">
        <v>#N/A</v>
      </c>
      <c r="K2284" s="411" t="e">
        <v>#N/A</v>
      </c>
      <c r="L2284" s="526" t="e">
        <v>#N/A</v>
      </c>
    </row>
    <row r="2285" spans="1:12" ht="15" x14ac:dyDescent="0.25">
      <c r="A2285">
        <v>465330</v>
      </c>
      <c r="B2285" t="e">
        <f t="shared" si="98"/>
        <v>#N/A</v>
      </c>
      <c r="C2285" s="198" t="e">
        <f t="shared" si="99"/>
        <v>#N/A</v>
      </c>
      <c r="D2285" s="526" t="e">
        <v>#N/A</v>
      </c>
      <c r="E2285" s="526" t="e">
        <v>#N/A</v>
      </c>
      <c r="F2285" s="526" t="e">
        <v>#N/A</v>
      </c>
      <c r="G2285" s="526" t="e">
        <v>#N/A</v>
      </c>
      <c r="H2285" s="412" t="e">
        <v>#N/A</v>
      </c>
      <c r="I2285" s="411" t="e">
        <v>#N/A</v>
      </c>
      <c r="J2285" s="411" t="e">
        <v>#N/A</v>
      </c>
      <c r="K2285" s="411" t="e">
        <v>#N/A</v>
      </c>
      <c r="L2285" s="526" t="e">
        <v>#N/A</v>
      </c>
    </row>
    <row r="2286" spans="1:12" ht="15" x14ac:dyDescent="0.25">
      <c r="A2286">
        <v>465331</v>
      </c>
      <c r="B2286" t="e">
        <f t="shared" si="98"/>
        <v>#N/A</v>
      </c>
      <c r="C2286" s="198" t="e">
        <f t="shared" si="99"/>
        <v>#N/A</v>
      </c>
      <c r="D2286" s="526" t="e">
        <v>#N/A</v>
      </c>
      <c r="E2286" s="526" t="e">
        <v>#N/A</v>
      </c>
      <c r="F2286" s="526" t="e">
        <v>#N/A</v>
      </c>
      <c r="G2286" s="526" t="e">
        <v>#N/A</v>
      </c>
      <c r="H2286" s="412" t="e">
        <v>#N/A</v>
      </c>
      <c r="I2286" s="411" t="e">
        <v>#N/A</v>
      </c>
      <c r="J2286" s="411" t="e">
        <v>#N/A</v>
      </c>
      <c r="K2286" s="411" t="e">
        <v>#N/A</v>
      </c>
      <c r="L2286" s="526" t="e">
        <v>#N/A</v>
      </c>
    </row>
    <row r="2287" spans="1:12" ht="15" x14ac:dyDescent="0.25">
      <c r="A2287">
        <v>465332</v>
      </c>
      <c r="B2287" t="e">
        <f t="shared" si="98"/>
        <v>#N/A</v>
      </c>
      <c r="C2287" s="198" t="e">
        <f t="shared" si="99"/>
        <v>#N/A</v>
      </c>
      <c r="D2287" s="526" t="e">
        <v>#N/A</v>
      </c>
      <c r="E2287" s="526" t="e">
        <v>#N/A</v>
      </c>
      <c r="F2287" s="526" t="e">
        <v>#N/A</v>
      </c>
      <c r="G2287" s="526" t="e">
        <v>#N/A</v>
      </c>
      <c r="H2287" s="412" t="e">
        <v>#N/A</v>
      </c>
      <c r="I2287" s="411" t="e">
        <v>#N/A</v>
      </c>
      <c r="J2287" s="411" t="e">
        <v>#N/A</v>
      </c>
      <c r="K2287" s="411" t="e">
        <v>#N/A</v>
      </c>
      <c r="L2287" s="526" t="e">
        <v>#N/A</v>
      </c>
    </row>
    <row r="2288" spans="1:12" ht="15" x14ac:dyDescent="0.25">
      <c r="A2288">
        <v>465333</v>
      </c>
      <c r="B2288" t="e">
        <f t="shared" si="98"/>
        <v>#N/A</v>
      </c>
      <c r="C2288" s="198" t="e">
        <f t="shared" si="99"/>
        <v>#N/A</v>
      </c>
      <c r="D2288" s="526" t="e">
        <v>#N/A</v>
      </c>
      <c r="E2288" s="526" t="e">
        <v>#N/A</v>
      </c>
      <c r="F2288" s="526" t="e">
        <v>#N/A</v>
      </c>
      <c r="G2288" s="526" t="e">
        <v>#N/A</v>
      </c>
      <c r="H2288" s="412" t="e">
        <v>#N/A</v>
      </c>
      <c r="I2288" s="411" t="e">
        <v>#N/A</v>
      </c>
      <c r="J2288" s="411" t="e">
        <v>#N/A</v>
      </c>
      <c r="K2288" s="411" t="e">
        <v>#N/A</v>
      </c>
      <c r="L2288" s="526" t="e">
        <v>#N/A</v>
      </c>
    </row>
    <row r="2289" spans="1:12" ht="15" x14ac:dyDescent="0.25">
      <c r="A2289">
        <v>465334</v>
      </c>
      <c r="B2289" t="e">
        <f t="shared" si="98"/>
        <v>#N/A</v>
      </c>
      <c r="C2289" s="198" t="e">
        <f t="shared" si="99"/>
        <v>#N/A</v>
      </c>
      <c r="D2289" s="526" t="e">
        <v>#N/A</v>
      </c>
      <c r="E2289" s="526" t="e">
        <v>#N/A</v>
      </c>
      <c r="F2289" s="526" t="e">
        <v>#N/A</v>
      </c>
      <c r="G2289" s="526" t="e">
        <v>#N/A</v>
      </c>
      <c r="H2289" s="412" t="e">
        <v>#N/A</v>
      </c>
      <c r="I2289" s="411" t="e">
        <v>#N/A</v>
      </c>
      <c r="J2289" s="411" t="e">
        <v>#N/A</v>
      </c>
      <c r="K2289" s="411" t="e">
        <v>#N/A</v>
      </c>
      <c r="L2289" s="526" t="e">
        <v>#N/A</v>
      </c>
    </row>
    <row r="2290" spans="1:12" ht="15" x14ac:dyDescent="0.25">
      <c r="A2290">
        <v>465335</v>
      </c>
      <c r="B2290" t="e">
        <f t="shared" si="98"/>
        <v>#N/A</v>
      </c>
      <c r="C2290" s="198" t="e">
        <f t="shared" si="99"/>
        <v>#N/A</v>
      </c>
      <c r="D2290" s="526" t="e">
        <v>#N/A</v>
      </c>
      <c r="E2290" s="526" t="e">
        <v>#N/A</v>
      </c>
      <c r="F2290" s="526" t="e">
        <v>#N/A</v>
      </c>
      <c r="G2290" s="526" t="e">
        <v>#N/A</v>
      </c>
      <c r="H2290" s="412" t="e">
        <v>#N/A</v>
      </c>
      <c r="I2290" s="411" t="e">
        <v>#N/A</v>
      </c>
      <c r="J2290" s="411" t="e">
        <v>#N/A</v>
      </c>
      <c r="K2290" s="411" t="e">
        <v>#N/A</v>
      </c>
      <c r="L2290" s="526" t="e">
        <v>#N/A</v>
      </c>
    </row>
    <row r="2291" spans="1:12" ht="15" x14ac:dyDescent="0.25">
      <c r="A2291">
        <v>465336</v>
      </c>
      <c r="B2291" t="e">
        <f t="shared" si="98"/>
        <v>#N/A</v>
      </c>
      <c r="C2291" s="198" t="e">
        <f t="shared" si="99"/>
        <v>#N/A</v>
      </c>
      <c r="D2291" s="526" t="e">
        <v>#N/A</v>
      </c>
      <c r="E2291" s="526" t="e">
        <v>#N/A</v>
      </c>
      <c r="F2291" s="526" t="e">
        <v>#N/A</v>
      </c>
      <c r="G2291" s="526" t="e">
        <v>#N/A</v>
      </c>
      <c r="H2291" s="412" t="e">
        <v>#N/A</v>
      </c>
      <c r="I2291" s="411" t="e">
        <v>#N/A</v>
      </c>
      <c r="J2291" s="411" t="e">
        <v>#N/A</v>
      </c>
      <c r="K2291" s="411" t="e">
        <v>#N/A</v>
      </c>
      <c r="L2291" s="526" t="e">
        <v>#N/A</v>
      </c>
    </row>
    <row r="2292" spans="1:12" ht="15" x14ac:dyDescent="0.25">
      <c r="A2292">
        <v>465337</v>
      </c>
      <c r="B2292" t="e">
        <f t="shared" si="98"/>
        <v>#N/A</v>
      </c>
      <c r="C2292" s="198" t="e">
        <f t="shared" si="99"/>
        <v>#N/A</v>
      </c>
      <c r="D2292" s="526" t="e">
        <v>#N/A</v>
      </c>
      <c r="E2292" s="526" t="e">
        <v>#N/A</v>
      </c>
      <c r="F2292" s="526" t="e">
        <v>#N/A</v>
      </c>
      <c r="G2292" s="526" t="e">
        <v>#N/A</v>
      </c>
      <c r="H2292" s="412" t="e">
        <v>#N/A</v>
      </c>
      <c r="I2292" s="411" t="e">
        <v>#N/A</v>
      </c>
      <c r="J2292" s="411" t="e">
        <v>#N/A</v>
      </c>
      <c r="K2292" s="411" t="e">
        <v>#N/A</v>
      </c>
      <c r="L2292" s="526" t="e">
        <v>#N/A</v>
      </c>
    </row>
    <row r="2293" spans="1:12" ht="15" x14ac:dyDescent="0.25">
      <c r="A2293">
        <v>465338</v>
      </c>
      <c r="B2293" t="e">
        <f t="shared" si="98"/>
        <v>#N/A</v>
      </c>
      <c r="C2293" s="198" t="e">
        <f t="shared" si="99"/>
        <v>#N/A</v>
      </c>
      <c r="D2293" s="526" t="e">
        <v>#N/A</v>
      </c>
      <c r="E2293" s="526" t="e">
        <v>#N/A</v>
      </c>
      <c r="F2293" s="526" t="e">
        <v>#N/A</v>
      </c>
      <c r="G2293" s="526" t="e">
        <v>#N/A</v>
      </c>
      <c r="H2293" s="412" t="e">
        <v>#N/A</v>
      </c>
      <c r="I2293" s="411" t="e">
        <v>#N/A</v>
      </c>
      <c r="J2293" s="411" t="e">
        <v>#N/A</v>
      </c>
      <c r="K2293" s="411" t="e">
        <v>#N/A</v>
      </c>
      <c r="L2293" s="526" t="e">
        <v>#N/A</v>
      </c>
    </row>
    <row r="2294" spans="1:12" ht="15" x14ac:dyDescent="0.25">
      <c r="A2294">
        <v>465339</v>
      </c>
      <c r="B2294" t="e">
        <f t="shared" si="98"/>
        <v>#N/A</v>
      </c>
      <c r="C2294" s="198" t="e">
        <f t="shared" si="99"/>
        <v>#N/A</v>
      </c>
      <c r="D2294" s="526" t="e">
        <v>#N/A</v>
      </c>
      <c r="E2294" s="526" t="e">
        <v>#N/A</v>
      </c>
      <c r="F2294" s="526" t="e">
        <v>#N/A</v>
      </c>
      <c r="G2294" s="526" t="e">
        <v>#N/A</v>
      </c>
      <c r="H2294" s="412" t="e">
        <v>#N/A</v>
      </c>
      <c r="I2294" s="411" t="e">
        <v>#N/A</v>
      </c>
      <c r="J2294" s="411" t="e">
        <v>#N/A</v>
      </c>
      <c r="K2294" s="411" t="e">
        <v>#N/A</v>
      </c>
      <c r="L2294" s="526" t="e">
        <v>#N/A</v>
      </c>
    </row>
    <row r="2295" spans="1:12" ht="15" x14ac:dyDescent="0.25">
      <c r="A2295">
        <v>465340</v>
      </c>
      <c r="B2295" t="e">
        <f t="shared" si="98"/>
        <v>#N/A</v>
      </c>
      <c r="C2295" s="198" t="e">
        <f t="shared" si="99"/>
        <v>#N/A</v>
      </c>
      <c r="D2295" s="526" t="e">
        <v>#N/A</v>
      </c>
      <c r="E2295" s="526" t="e">
        <v>#N/A</v>
      </c>
      <c r="F2295" s="526" t="e">
        <v>#N/A</v>
      </c>
      <c r="G2295" s="526" t="e">
        <v>#N/A</v>
      </c>
      <c r="H2295" s="412" t="e">
        <v>#N/A</v>
      </c>
      <c r="I2295" s="411" t="e">
        <v>#N/A</v>
      </c>
      <c r="J2295" s="411" t="e">
        <v>#N/A</v>
      </c>
      <c r="K2295" s="411" t="e">
        <v>#N/A</v>
      </c>
      <c r="L2295" s="526" t="e">
        <v>#N/A</v>
      </c>
    </row>
    <row r="2296" spans="1:12" ht="15" x14ac:dyDescent="0.25">
      <c r="A2296">
        <v>465341</v>
      </c>
      <c r="B2296" t="e">
        <f t="shared" si="98"/>
        <v>#N/A</v>
      </c>
      <c r="C2296" s="198" t="e">
        <f t="shared" si="99"/>
        <v>#N/A</v>
      </c>
      <c r="D2296" s="526" t="e">
        <v>#N/A</v>
      </c>
      <c r="E2296" s="526" t="e">
        <v>#N/A</v>
      </c>
      <c r="F2296" s="526" t="e">
        <v>#N/A</v>
      </c>
      <c r="G2296" s="526" t="e">
        <v>#N/A</v>
      </c>
      <c r="H2296" s="412" t="e">
        <v>#N/A</v>
      </c>
      <c r="I2296" s="411" t="e">
        <v>#N/A</v>
      </c>
      <c r="J2296" s="411" t="e">
        <v>#N/A</v>
      </c>
      <c r="K2296" s="411" t="e">
        <v>#N/A</v>
      </c>
      <c r="L2296" s="526" t="e">
        <v>#N/A</v>
      </c>
    </row>
    <row r="2297" spans="1:12" ht="15" x14ac:dyDescent="0.25">
      <c r="A2297">
        <v>465342</v>
      </c>
      <c r="B2297" t="e">
        <f t="shared" si="98"/>
        <v>#N/A</v>
      </c>
      <c r="C2297" s="198" t="e">
        <f t="shared" si="99"/>
        <v>#N/A</v>
      </c>
      <c r="D2297" s="526" t="e">
        <v>#N/A</v>
      </c>
      <c r="E2297" s="526" t="e">
        <v>#N/A</v>
      </c>
      <c r="F2297" s="526" t="e">
        <v>#N/A</v>
      </c>
      <c r="G2297" s="526" t="e">
        <v>#N/A</v>
      </c>
      <c r="H2297" s="412" t="e">
        <v>#N/A</v>
      </c>
      <c r="I2297" s="411" t="e">
        <v>#N/A</v>
      </c>
      <c r="J2297" s="411" t="e">
        <v>#N/A</v>
      </c>
      <c r="K2297" s="411" t="e">
        <v>#N/A</v>
      </c>
      <c r="L2297" s="526" t="e">
        <v>#N/A</v>
      </c>
    </row>
    <row r="2298" spans="1:12" ht="15" x14ac:dyDescent="0.25">
      <c r="A2298">
        <v>465343</v>
      </c>
      <c r="B2298" t="e">
        <f t="shared" si="98"/>
        <v>#N/A</v>
      </c>
      <c r="C2298" s="198" t="e">
        <f t="shared" si="99"/>
        <v>#N/A</v>
      </c>
      <c r="D2298" s="526" t="e">
        <v>#N/A</v>
      </c>
      <c r="E2298" s="526" t="e">
        <v>#N/A</v>
      </c>
      <c r="F2298" s="526" t="e">
        <v>#N/A</v>
      </c>
      <c r="G2298" s="526" t="e">
        <v>#N/A</v>
      </c>
      <c r="H2298" s="412" t="e">
        <v>#N/A</v>
      </c>
      <c r="I2298" s="411" t="e">
        <v>#N/A</v>
      </c>
      <c r="J2298" s="411" t="e">
        <v>#N/A</v>
      </c>
      <c r="K2298" s="411" t="e">
        <v>#N/A</v>
      </c>
      <c r="L2298" s="526" t="e">
        <v>#N/A</v>
      </c>
    </row>
    <row r="2299" spans="1:12" ht="15" x14ac:dyDescent="0.25">
      <c r="A2299">
        <v>465344</v>
      </c>
      <c r="B2299" t="e">
        <f t="shared" si="98"/>
        <v>#N/A</v>
      </c>
      <c r="C2299" s="198" t="e">
        <f t="shared" si="99"/>
        <v>#N/A</v>
      </c>
      <c r="D2299" s="526" t="e">
        <v>#N/A</v>
      </c>
      <c r="E2299" s="526" t="e">
        <v>#N/A</v>
      </c>
      <c r="F2299" s="526" t="e">
        <v>#N/A</v>
      </c>
      <c r="G2299" s="526" t="e">
        <v>#N/A</v>
      </c>
      <c r="H2299" s="412" t="e">
        <v>#N/A</v>
      </c>
      <c r="I2299" s="411" t="e">
        <v>#N/A</v>
      </c>
      <c r="J2299" s="411" t="e">
        <v>#N/A</v>
      </c>
      <c r="K2299" s="411" t="e">
        <v>#N/A</v>
      </c>
      <c r="L2299" s="526" t="e">
        <v>#N/A</v>
      </c>
    </row>
    <row r="2300" spans="1:12" ht="15" x14ac:dyDescent="0.25">
      <c r="A2300">
        <v>465345</v>
      </c>
      <c r="B2300" t="e">
        <f t="shared" si="98"/>
        <v>#N/A</v>
      </c>
      <c r="C2300" s="198" t="e">
        <f t="shared" si="99"/>
        <v>#N/A</v>
      </c>
      <c r="D2300" s="526" t="e">
        <v>#N/A</v>
      </c>
      <c r="E2300" s="526" t="e">
        <v>#N/A</v>
      </c>
      <c r="F2300" s="526" t="e">
        <v>#N/A</v>
      </c>
      <c r="G2300" s="526" t="e">
        <v>#N/A</v>
      </c>
      <c r="H2300" s="412" t="e">
        <v>#N/A</v>
      </c>
      <c r="I2300" s="411" t="e">
        <v>#N/A</v>
      </c>
      <c r="J2300" s="411" t="e">
        <v>#N/A</v>
      </c>
      <c r="K2300" s="411" t="e">
        <v>#N/A</v>
      </c>
      <c r="L2300" s="526" t="e">
        <v>#N/A</v>
      </c>
    </row>
    <row r="2301" spans="1:12" ht="15" x14ac:dyDescent="0.25">
      <c r="A2301">
        <v>465346</v>
      </c>
      <c r="B2301" t="e">
        <f t="shared" si="98"/>
        <v>#N/A</v>
      </c>
      <c r="C2301" s="198" t="e">
        <f t="shared" si="99"/>
        <v>#N/A</v>
      </c>
      <c r="D2301" s="526" t="e">
        <v>#N/A</v>
      </c>
      <c r="E2301" s="526" t="e">
        <v>#N/A</v>
      </c>
      <c r="F2301" s="526" t="e">
        <v>#N/A</v>
      </c>
      <c r="G2301" s="526" t="e">
        <v>#N/A</v>
      </c>
      <c r="H2301" s="412" t="e">
        <v>#N/A</v>
      </c>
      <c r="I2301" s="411" t="e">
        <v>#N/A</v>
      </c>
      <c r="J2301" s="411" t="e">
        <v>#N/A</v>
      </c>
      <c r="K2301" s="411" t="e">
        <v>#N/A</v>
      </c>
      <c r="L2301" s="526" t="e">
        <v>#N/A</v>
      </c>
    </row>
    <row r="2302" spans="1:12" ht="15" x14ac:dyDescent="0.25">
      <c r="A2302">
        <v>465347</v>
      </c>
      <c r="B2302" t="e">
        <f t="shared" si="98"/>
        <v>#N/A</v>
      </c>
      <c r="C2302" s="198" t="e">
        <f t="shared" si="99"/>
        <v>#N/A</v>
      </c>
      <c r="D2302" s="526" t="e">
        <v>#N/A</v>
      </c>
      <c r="E2302" s="526" t="e">
        <v>#N/A</v>
      </c>
      <c r="F2302" s="526" t="e">
        <v>#N/A</v>
      </c>
      <c r="G2302" s="526" t="e">
        <v>#N/A</v>
      </c>
      <c r="H2302" s="412" t="e">
        <v>#N/A</v>
      </c>
      <c r="I2302" s="411" t="e">
        <v>#N/A</v>
      </c>
      <c r="J2302" s="411" t="e">
        <v>#N/A</v>
      </c>
      <c r="K2302" s="411" t="e">
        <v>#N/A</v>
      </c>
      <c r="L2302" s="526" t="e">
        <v>#N/A</v>
      </c>
    </row>
    <row r="2303" spans="1:12" ht="15" x14ac:dyDescent="0.25">
      <c r="A2303">
        <v>465348</v>
      </c>
      <c r="B2303" t="e">
        <f t="shared" si="98"/>
        <v>#N/A</v>
      </c>
      <c r="C2303" s="198" t="e">
        <f t="shared" si="99"/>
        <v>#N/A</v>
      </c>
      <c r="D2303" s="526" t="e">
        <v>#N/A</v>
      </c>
      <c r="E2303" s="526" t="e">
        <v>#N/A</v>
      </c>
      <c r="F2303" s="526" t="e">
        <v>#N/A</v>
      </c>
      <c r="G2303" s="526" t="e">
        <v>#N/A</v>
      </c>
      <c r="H2303" s="412" t="e">
        <v>#N/A</v>
      </c>
      <c r="I2303" s="411" t="e">
        <v>#N/A</v>
      </c>
      <c r="J2303" s="411" t="e">
        <v>#N/A</v>
      </c>
      <c r="K2303" s="411" t="e">
        <v>#N/A</v>
      </c>
      <c r="L2303" s="526" t="e">
        <v>#N/A</v>
      </c>
    </row>
    <row r="2304" spans="1:12" ht="15" x14ac:dyDescent="0.25">
      <c r="A2304">
        <v>465349</v>
      </c>
      <c r="B2304" t="e">
        <f t="shared" si="98"/>
        <v>#N/A</v>
      </c>
      <c r="C2304" s="198" t="e">
        <f t="shared" si="99"/>
        <v>#N/A</v>
      </c>
      <c r="D2304" s="526" t="e">
        <v>#N/A</v>
      </c>
      <c r="E2304" s="526" t="e">
        <v>#N/A</v>
      </c>
      <c r="F2304" s="526" t="e">
        <v>#N/A</v>
      </c>
      <c r="G2304" s="526" t="e">
        <v>#N/A</v>
      </c>
      <c r="H2304" s="412" t="e">
        <v>#N/A</v>
      </c>
      <c r="I2304" s="411" t="e">
        <v>#N/A</v>
      </c>
      <c r="J2304" s="411" t="e">
        <v>#N/A</v>
      </c>
      <c r="K2304" s="411" t="e">
        <v>#N/A</v>
      </c>
      <c r="L2304" s="526" t="e">
        <v>#N/A</v>
      </c>
    </row>
    <row r="2305" spans="1:12" ht="15" x14ac:dyDescent="0.25">
      <c r="A2305">
        <v>465350</v>
      </c>
      <c r="B2305" t="e">
        <f t="shared" si="98"/>
        <v>#N/A</v>
      </c>
      <c r="C2305" s="198" t="e">
        <f t="shared" si="99"/>
        <v>#N/A</v>
      </c>
      <c r="D2305" s="526" t="e">
        <v>#N/A</v>
      </c>
      <c r="E2305" s="526" t="e">
        <v>#N/A</v>
      </c>
      <c r="F2305" s="526" t="e">
        <v>#N/A</v>
      </c>
      <c r="G2305" s="526" t="e">
        <v>#N/A</v>
      </c>
      <c r="H2305" s="412" t="e">
        <v>#N/A</v>
      </c>
      <c r="I2305" s="411" t="e">
        <v>#N/A</v>
      </c>
      <c r="J2305" s="411" t="e">
        <v>#N/A</v>
      </c>
      <c r="K2305" s="411" t="e">
        <v>#N/A</v>
      </c>
      <c r="L2305" s="526" t="e">
        <v>#N/A</v>
      </c>
    </row>
    <row r="2306" spans="1:12" ht="15" x14ac:dyDescent="0.25">
      <c r="A2306">
        <v>465351</v>
      </c>
      <c r="B2306" t="e">
        <f t="shared" si="98"/>
        <v>#N/A</v>
      </c>
      <c r="C2306" s="198" t="e">
        <f t="shared" si="99"/>
        <v>#N/A</v>
      </c>
      <c r="D2306" s="526" t="e">
        <v>#N/A</v>
      </c>
      <c r="E2306" s="526" t="e">
        <v>#N/A</v>
      </c>
      <c r="F2306" s="526" t="e">
        <v>#N/A</v>
      </c>
      <c r="G2306" s="526" t="e">
        <v>#N/A</v>
      </c>
      <c r="H2306" s="412" t="e">
        <v>#N/A</v>
      </c>
      <c r="I2306" s="411" t="e">
        <v>#N/A</v>
      </c>
      <c r="J2306" s="411" t="e">
        <v>#N/A</v>
      </c>
      <c r="K2306" s="411" t="e">
        <v>#N/A</v>
      </c>
      <c r="L2306" s="526" t="e">
        <v>#N/A</v>
      </c>
    </row>
    <row r="2307" spans="1:12" ht="15" x14ac:dyDescent="0.25">
      <c r="A2307">
        <v>465352</v>
      </c>
      <c r="B2307" t="e">
        <f t="shared" si="98"/>
        <v>#N/A</v>
      </c>
      <c r="C2307" s="198" t="e">
        <f t="shared" si="99"/>
        <v>#N/A</v>
      </c>
      <c r="D2307" s="526" t="e">
        <v>#N/A</v>
      </c>
      <c r="E2307" s="526" t="e">
        <v>#N/A</v>
      </c>
      <c r="F2307" s="526" t="e">
        <v>#N/A</v>
      </c>
      <c r="G2307" s="526" t="e">
        <v>#N/A</v>
      </c>
      <c r="H2307" s="412" t="e">
        <v>#N/A</v>
      </c>
      <c r="I2307" s="411" t="e">
        <v>#N/A</v>
      </c>
      <c r="J2307" s="411" t="e">
        <v>#N/A</v>
      </c>
      <c r="K2307" s="411" t="e">
        <v>#N/A</v>
      </c>
      <c r="L2307" s="526" t="e">
        <v>#N/A</v>
      </c>
    </row>
    <row r="2308" spans="1:12" ht="15" x14ac:dyDescent="0.25">
      <c r="A2308">
        <v>465353</v>
      </c>
      <c r="B2308" t="e">
        <f t="shared" si="98"/>
        <v>#N/A</v>
      </c>
      <c r="C2308" s="198" t="e">
        <f t="shared" si="99"/>
        <v>#N/A</v>
      </c>
      <c r="D2308" s="526" t="e">
        <v>#N/A</v>
      </c>
      <c r="E2308" s="526" t="e">
        <v>#N/A</v>
      </c>
      <c r="F2308" s="526" t="e">
        <v>#N/A</v>
      </c>
      <c r="G2308" s="526" t="e">
        <v>#N/A</v>
      </c>
      <c r="H2308" s="412" t="e">
        <v>#N/A</v>
      </c>
      <c r="I2308" s="411" t="e">
        <v>#N/A</v>
      </c>
      <c r="J2308" s="411" t="e">
        <v>#N/A</v>
      </c>
      <c r="K2308" s="411" t="e">
        <v>#N/A</v>
      </c>
      <c r="L2308" s="526" t="e">
        <v>#N/A</v>
      </c>
    </row>
    <row r="2309" spans="1:12" ht="15" x14ac:dyDescent="0.25">
      <c r="A2309">
        <v>465354</v>
      </c>
      <c r="B2309" t="e">
        <f t="shared" si="98"/>
        <v>#N/A</v>
      </c>
      <c r="C2309" s="198" t="e">
        <f t="shared" si="99"/>
        <v>#N/A</v>
      </c>
      <c r="D2309" s="526" t="e">
        <v>#N/A</v>
      </c>
      <c r="E2309" s="526" t="e">
        <v>#N/A</v>
      </c>
      <c r="F2309" s="526" t="e">
        <v>#N/A</v>
      </c>
      <c r="G2309" s="526" t="e">
        <v>#N/A</v>
      </c>
      <c r="H2309" s="412" t="e">
        <v>#N/A</v>
      </c>
      <c r="I2309" s="411" t="e">
        <v>#N/A</v>
      </c>
      <c r="J2309" s="411" t="e">
        <v>#N/A</v>
      </c>
      <c r="K2309" s="411" t="e">
        <v>#N/A</v>
      </c>
      <c r="L2309" s="526" t="e">
        <v>#N/A</v>
      </c>
    </row>
    <row r="2310" spans="1:12" ht="15" x14ac:dyDescent="0.25">
      <c r="A2310">
        <v>465355</v>
      </c>
      <c r="B2310" t="e">
        <f t="shared" si="98"/>
        <v>#N/A</v>
      </c>
      <c r="C2310" s="198" t="e">
        <f t="shared" si="99"/>
        <v>#N/A</v>
      </c>
      <c r="D2310" s="526" t="e">
        <v>#N/A</v>
      </c>
      <c r="E2310" s="526" t="e">
        <v>#N/A</v>
      </c>
      <c r="F2310" s="526" t="e">
        <v>#N/A</v>
      </c>
      <c r="G2310" s="526" t="e">
        <v>#N/A</v>
      </c>
      <c r="H2310" s="412" t="e">
        <v>#N/A</v>
      </c>
      <c r="I2310" s="411" t="e">
        <v>#N/A</v>
      </c>
      <c r="J2310" s="411" t="e">
        <v>#N/A</v>
      </c>
      <c r="K2310" s="411" t="e">
        <v>#N/A</v>
      </c>
      <c r="L2310" s="526" t="e">
        <v>#N/A</v>
      </c>
    </row>
    <row r="2311" spans="1:12" ht="15" x14ac:dyDescent="0.25">
      <c r="A2311">
        <v>465356</v>
      </c>
      <c r="B2311" t="e">
        <f t="shared" si="98"/>
        <v>#N/A</v>
      </c>
      <c r="C2311" s="198" t="e">
        <f t="shared" si="99"/>
        <v>#N/A</v>
      </c>
      <c r="D2311" s="526" t="e">
        <v>#N/A</v>
      </c>
      <c r="E2311" s="526" t="e">
        <v>#N/A</v>
      </c>
      <c r="F2311" s="526" t="e">
        <v>#N/A</v>
      </c>
      <c r="G2311" s="526" t="e">
        <v>#N/A</v>
      </c>
      <c r="H2311" s="412" t="e">
        <v>#N/A</v>
      </c>
      <c r="I2311" s="411" t="e">
        <v>#N/A</v>
      </c>
      <c r="J2311" s="411" t="e">
        <v>#N/A</v>
      </c>
      <c r="K2311" s="411" t="e">
        <v>#N/A</v>
      </c>
      <c r="L2311" s="526" t="e">
        <v>#N/A</v>
      </c>
    </row>
    <row r="2312" spans="1:12" ht="15" x14ac:dyDescent="0.25">
      <c r="A2312">
        <v>465357</v>
      </c>
      <c r="B2312" t="e">
        <f t="shared" si="98"/>
        <v>#N/A</v>
      </c>
      <c r="C2312" s="198" t="e">
        <f t="shared" si="99"/>
        <v>#N/A</v>
      </c>
      <c r="D2312" s="526" t="e">
        <v>#N/A</v>
      </c>
      <c r="E2312" s="526" t="e">
        <v>#N/A</v>
      </c>
      <c r="F2312" s="526" t="e">
        <v>#N/A</v>
      </c>
      <c r="G2312" s="526" t="e">
        <v>#N/A</v>
      </c>
      <c r="H2312" s="412" t="e">
        <v>#N/A</v>
      </c>
      <c r="I2312" s="411" t="e">
        <v>#N/A</v>
      </c>
      <c r="J2312" s="411" t="e">
        <v>#N/A</v>
      </c>
      <c r="K2312" s="411" t="e">
        <v>#N/A</v>
      </c>
      <c r="L2312" s="526" t="e">
        <v>#N/A</v>
      </c>
    </row>
    <row r="2313" spans="1:12" ht="15" x14ac:dyDescent="0.25">
      <c r="A2313">
        <v>465358</v>
      </c>
      <c r="B2313" t="e">
        <f t="shared" si="98"/>
        <v>#N/A</v>
      </c>
      <c r="C2313" s="198" t="e">
        <f t="shared" si="99"/>
        <v>#N/A</v>
      </c>
      <c r="D2313" s="526" t="e">
        <v>#N/A</v>
      </c>
      <c r="E2313" s="526" t="e">
        <v>#N/A</v>
      </c>
      <c r="F2313" s="526" t="e">
        <v>#N/A</v>
      </c>
      <c r="G2313" s="526" t="e">
        <v>#N/A</v>
      </c>
      <c r="H2313" s="412" t="e">
        <v>#N/A</v>
      </c>
      <c r="I2313" s="411" t="e">
        <v>#N/A</v>
      </c>
      <c r="J2313" s="411" t="e">
        <v>#N/A</v>
      </c>
      <c r="K2313" s="411" t="e">
        <v>#N/A</v>
      </c>
      <c r="L2313" s="526" t="e">
        <v>#N/A</v>
      </c>
    </row>
    <row r="2314" spans="1:12" ht="15" x14ac:dyDescent="0.25">
      <c r="A2314">
        <v>465359</v>
      </c>
      <c r="B2314" t="e">
        <f t="shared" si="98"/>
        <v>#N/A</v>
      </c>
      <c r="C2314" s="198" t="e">
        <f t="shared" si="99"/>
        <v>#N/A</v>
      </c>
      <c r="D2314" s="526" t="e">
        <v>#N/A</v>
      </c>
      <c r="E2314" s="526" t="e">
        <v>#N/A</v>
      </c>
      <c r="F2314" s="526" t="e">
        <v>#N/A</v>
      </c>
      <c r="G2314" s="526" t="e">
        <v>#N/A</v>
      </c>
      <c r="H2314" s="412" t="e">
        <v>#N/A</v>
      </c>
      <c r="I2314" s="411" t="e">
        <v>#N/A</v>
      </c>
      <c r="J2314" s="411" t="e">
        <v>#N/A</v>
      </c>
      <c r="K2314" s="411" t="e">
        <v>#N/A</v>
      </c>
      <c r="L2314" s="526" t="e">
        <v>#N/A</v>
      </c>
    </row>
    <row r="2315" spans="1:12" ht="15" x14ac:dyDescent="0.25">
      <c r="A2315">
        <v>465360</v>
      </c>
      <c r="B2315" t="e">
        <f t="shared" si="98"/>
        <v>#N/A</v>
      </c>
      <c r="C2315" s="198" t="e">
        <f t="shared" si="99"/>
        <v>#N/A</v>
      </c>
      <c r="D2315" s="526" t="e">
        <v>#N/A</v>
      </c>
      <c r="E2315" s="526" t="e">
        <v>#N/A</v>
      </c>
      <c r="F2315" s="526" t="e">
        <v>#N/A</v>
      </c>
      <c r="G2315" s="526" t="e">
        <v>#N/A</v>
      </c>
      <c r="H2315" s="412" t="e">
        <v>#N/A</v>
      </c>
      <c r="I2315" s="411" t="e">
        <v>#N/A</v>
      </c>
      <c r="J2315" s="411" t="e">
        <v>#N/A</v>
      </c>
      <c r="K2315" s="411" t="e">
        <v>#N/A</v>
      </c>
      <c r="L2315" s="526" t="e">
        <v>#N/A</v>
      </c>
    </row>
    <row r="2316" spans="1:12" ht="15" x14ac:dyDescent="0.25">
      <c r="A2316">
        <v>465361</v>
      </c>
      <c r="B2316" t="e">
        <f t="shared" si="98"/>
        <v>#N/A</v>
      </c>
      <c r="C2316" s="198" t="e">
        <f t="shared" si="99"/>
        <v>#N/A</v>
      </c>
      <c r="D2316" s="526" t="e">
        <v>#N/A</v>
      </c>
      <c r="E2316" s="526" t="e">
        <v>#N/A</v>
      </c>
      <c r="F2316" s="526" t="e">
        <v>#N/A</v>
      </c>
      <c r="G2316" s="526" t="e">
        <v>#N/A</v>
      </c>
      <c r="H2316" s="412" t="e">
        <v>#N/A</v>
      </c>
      <c r="I2316" s="411" t="e">
        <v>#N/A</v>
      </c>
      <c r="J2316" s="411" t="e">
        <v>#N/A</v>
      </c>
      <c r="K2316" s="411" t="e">
        <v>#N/A</v>
      </c>
      <c r="L2316" s="526" t="e">
        <v>#N/A</v>
      </c>
    </row>
    <row r="2317" spans="1:12" ht="15" x14ac:dyDescent="0.25">
      <c r="A2317">
        <v>465362</v>
      </c>
      <c r="B2317" t="e">
        <f t="shared" si="98"/>
        <v>#N/A</v>
      </c>
      <c r="C2317" s="198" t="e">
        <f t="shared" si="99"/>
        <v>#N/A</v>
      </c>
      <c r="D2317" s="526" t="e">
        <v>#N/A</v>
      </c>
      <c r="E2317" s="526" t="e">
        <v>#N/A</v>
      </c>
      <c r="F2317" s="526" t="e">
        <v>#N/A</v>
      </c>
      <c r="G2317" s="526" t="e">
        <v>#N/A</v>
      </c>
      <c r="H2317" s="412" t="e">
        <v>#N/A</v>
      </c>
      <c r="I2317" s="411" t="e">
        <v>#N/A</v>
      </c>
      <c r="J2317" s="411" t="e">
        <v>#N/A</v>
      </c>
      <c r="K2317" s="411" t="e">
        <v>#N/A</v>
      </c>
      <c r="L2317" s="526" t="e">
        <v>#N/A</v>
      </c>
    </row>
    <row r="2318" spans="1:12" ht="15" x14ac:dyDescent="0.25">
      <c r="A2318">
        <v>465363</v>
      </c>
      <c r="B2318" t="e">
        <f t="shared" si="98"/>
        <v>#N/A</v>
      </c>
      <c r="C2318" s="198" t="e">
        <f t="shared" si="99"/>
        <v>#N/A</v>
      </c>
      <c r="D2318" s="526" t="e">
        <v>#N/A</v>
      </c>
      <c r="E2318" s="526" t="e">
        <v>#N/A</v>
      </c>
      <c r="F2318" s="526" t="e">
        <v>#N/A</v>
      </c>
      <c r="G2318" s="526" t="e">
        <v>#N/A</v>
      </c>
      <c r="H2318" s="412" t="e">
        <v>#N/A</v>
      </c>
      <c r="I2318" s="411" t="e">
        <v>#N/A</v>
      </c>
      <c r="J2318" s="411" t="e">
        <v>#N/A</v>
      </c>
      <c r="K2318" s="411" t="e">
        <v>#N/A</v>
      </c>
      <c r="L2318" s="526" t="e">
        <v>#N/A</v>
      </c>
    </row>
    <row r="2319" spans="1:12" ht="15" x14ac:dyDescent="0.25">
      <c r="A2319">
        <v>465364</v>
      </c>
      <c r="B2319" t="e">
        <f t="shared" si="98"/>
        <v>#N/A</v>
      </c>
      <c r="C2319" s="198" t="e">
        <f t="shared" si="99"/>
        <v>#N/A</v>
      </c>
      <c r="D2319" s="526" t="e">
        <v>#N/A</v>
      </c>
      <c r="E2319" s="526" t="e">
        <v>#N/A</v>
      </c>
      <c r="F2319" s="526" t="e">
        <v>#N/A</v>
      </c>
      <c r="G2319" s="526" t="e">
        <v>#N/A</v>
      </c>
      <c r="H2319" s="412" t="e">
        <v>#N/A</v>
      </c>
      <c r="I2319" s="411" t="e">
        <v>#N/A</v>
      </c>
      <c r="J2319" s="411" t="e">
        <v>#N/A</v>
      </c>
      <c r="K2319" s="411" t="e">
        <v>#N/A</v>
      </c>
      <c r="L2319" s="526" t="e">
        <v>#N/A</v>
      </c>
    </row>
    <row r="2320" spans="1:12" ht="15" x14ac:dyDescent="0.25">
      <c r="A2320">
        <v>465365</v>
      </c>
      <c r="B2320" t="e">
        <f t="shared" si="98"/>
        <v>#N/A</v>
      </c>
      <c r="C2320" s="198" t="e">
        <f t="shared" si="99"/>
        <v>#N/A</v>
      </c>
      <c r="D2320" s="526" t="e">
        <v>#N/A</v>
      </c>
      <c r="E2320" s="526" t="e">
        <v>#N/A</v>
      </c>
      <c r="F2320" s="526" t="e">
        <v>#N/A</v>
      </c>
      <c r="G2320" s="526" t="e">
        <v>#N/A</v>
      </c>
      <c r="H2320" s="412" t="e">
        <v>#N/A</v>
      </c>
      <c r="I2320" s="411" t="e">
        <v>#N/A</v>
      </c>
      <c r="J2320" s="411" t="e">
        <v>#N/A</v>
      </c>
      <c r="K2320" s="411" t="e">
        <v>#N/A</v>
      </c>
      <c r="L2320" s="526" t="e">
        <v>#N/A</v>
      </c>
    </row>
    <row r="2321" spans="1:12" ht="15" x14ac:dyDescent="0.25">
      <c r="A2321">
        <v>465366</v>
      </c>
      <c r="B2321" t="e">
        <f t="shared" si="98"/>
        <v>#N/A</v>
      </c>
      <c r="C2321" s="198" t="e">
        <f t="shared" si="99"/>
        <v>#N/A</v>
      </c>
      <c r="D2321" s="526" t="e">
        <v>#N/A</v>
      </c>
      <c r="E2321" s="526" t="e">
        <v>#N/A</v>
      </c>
      <c r="F2321" s="526" t="e">
        <v>#N/A</v>
      </c>
      <c r="G2321" s="526" t="e">
        <v>#N/A</v>
      </c>
      <c r="H2321" s="412" t="e">
        <v>#N/A</v>
      </c>
      <c r="I2321" s="411" t="e">
        <v>#N/A</v>
      </c>
      <c r="J2321" s="411" t="e">
        <v>#N/A</v>
      </c>
      <c r="K2321" s="411" t="e">
        <v>#N/A</v>
      </c>
      <c r="L2321" s="526" t="e">
        <v>#N/A</v>
      </c>
    </row>
    <row r="2322" spans="1:12" ht="15" x14ac:dyDescent="0.25">
      <c r="A2322">
        <v>465367</v>
      </c>
      <c r="B2322" t="e">
        <f t="shared" si="98"/>
        <v>#N/A</v>
      </c>
      <c r="C2322" s="198" t="e">
        <f t="shared" si="99"/>
        <v>#N/A</v>
      </c>
      <c r="D2322" s="526" t="e">
        <v>#N/A</v>
      </c>
      <c r="E2322" s="526" t="e">
        <v>#N/A</v>
      </c>
      <c r="F2322" s="526" t="e">
        <v>#N/A</v>
      </c>
      <c r="G2322" s="526" t="e">
        <v>#N/A</v>
      </c>
      <c r="H2322" s="412" t="e">
        <v>#N/A</v>
      </c>
      <c r="I2322" s="411" t="e">
        <v>#N/A</v>
      </c>
      <c r="J2322" s="411" t="e">
        <v>#N/A</v>
      </c>
      <c r="K2322" s="411" t="e">
        <v>#N/A</v>
      </c>
      <c r="L2322" s="526" t="e">
        <v>#N/A</v>
      </c>
    </row>
    <row r="2323" spans="1:12" ht="15" x14ac:dyDescent="0.25">
      <c r="A2323">
        <v>465368</v>
      </c>
      <c r="B2323" t="e">
        <f t="shared" si="98"/>
        <v>#N/A</v>
      </c>
      <c r="C2323" s="198" t="e">
        <f t="shared" si="99"/>
        <v>#N/A</v>
      </c>
      <c r="D2323" s="526" t="e">
        <v>#N/A</v>
      </c>
      <c r="E2323" s="526" t="e">
        <v>#N/A</v>
      </c>
      <c r="F2323" s="526" t="e">
        <v>#N/A</v>
      </c>
      <c r="G2323" s="526" t="e">
        <v>#N/A</v>
      </c>
      <c r="H2323" s="412" t="e">
        <v>#N/A</v>
      </c>
      <c r="I2323" s="411" t="e">
        <v>#N/A</v>
      </c>
      <c r="J2323" s="411" t="e">
        <v>#N/A</v>
      </c>
      <c r="K2323" s="411" t="e">
        <v>#N/A</v>
      </c>
      <c r="L2323" s="526" t="e">
        <v>#N/A</v>
      </c>
    </row>
    <row r="2324" spans="1:12" ht="15" x14ac:dyDescent="0.25">
      <c r="A2324">
        <v>465369</v>
      </c>
      <c r="B2324" t="e">
        <f t="shared" si="98"/>
        <v>#N/A</v>
      </c>
      <c r="C2324" s="198" t="e">
        <f t="shared" si="99"/>
        <v>#N/A</v>
      </c>
      <c r="D2324" s="526" t="e">
        <v>#N/A</v>
      </c>
      <c r="E2324" s="526" t="e">
        <v>#N/A</v>
      </c>
      <c r="F2324" s="526" t="e">
        <v>#N/A</v>
      </c>
      <c r="G2324" s="526" t="e">
        <v>#N/A</v>
      </c>
      <c r="H2324" s="412" t="e">
        <v>#N/A</v>
      </c>
      <c r="I2324" s="411" t="e">
        <v>#N/A</v>
      </c>
      <c r="J2324" s="411" t="e">
        <v>#N/A</v>
      </c>
      <c r="K2324" s="411" t="e">
        <v>#N/A</v>
      </c>
      <c r="L2324" s="526" t="e">
        <v>#N/A</v>
      </c>
    </row>
    <row r="2325" spans="1:12" ht="15" x14ac:dyDescent="0.25">
      <c r="A2325">
        <v>465370</v>
      </c>
      <c r="B2325" t="e">
        <f t="shared" si="98"/>
        <v>#N/A</v>
      </c>
      <c r="C2325" s="198" t="e">
        <f t="shared" si="99"/>
        <v>#N/A</v>
      </c>
      <c r="D2325" s="526" t="e">
        <v>#N/A</v>
      </c>
      <c r="E2325" s="526" t="e">
        <v>#N/A</v>
      </c>
      <c r="F2325" s="526" t="e">
        <v>#N/A</v>
      </c>
      <c r="G2325" s="526" t="e">
        <v>#N/A</v>
      </c>
      <c r="H2325" s="412" t="e">
        <v>#N/A</v>
      </c>
      <c r="I2325" s="411" t="e">
        <v>#N/A</v>
      </c>
      <c r="J2325" s="411" t="e">
        <v>#N/A</v>
      </c>
      <c r="K2325" s="411" t="e">
        <v>#N/A</v>
      </c>
      <c r="L2325" s="526" t="e">
        <v>#N/A</v>
      </c>
    </row>
    <row r="2326" spans="1:12" ht="15" x14ac:dyDescent="0.25">
      <c r="A2326">
        <v>465371</v>
      </c>
      <c r="B2326" t="e">
        <f t="shared" si="98"/>
        <v>#N/A</v>
      </c>
      <c r="C2326" s="198" t="e">
        <f t="shared" si="99"/>
        <v>#N/A</v>
      </c>
      <c r="D2326" s="526" t="e">
        <v>#N/A</v>
      </c>
      <c r="E2326" s="526" t="e">
        <v>#N/A</v>
      </c>
      <c r="F2326" s="526" t="e">
        <v>#N/A</v>
      </c>
      <c r="G2326" s="526" t="e">
        <v>#N/A</v>
      </c>
      <c r="H2326" s="412" t="e">
        <v>#N/A</v>
      </c>
      <c r="I2326" s="411" t="e">
        <v>#N/A</v>
      </c>
      <c r="J2326" s="411" t="e">
        <v>#N/A</v>
      </c>
      <c r="K2326" s="411" t="e">
        <v>#N/A</v>
      </c>
      <c r="L2326" s="526" t="e">
        <v>#N/A</v>
      </c>
    </row>
    <row r="2327" spans="1:12" ht="15" x14ac:dyDescent="0.25">
      <c r="A2327">
        <v>465372</v>
      </c>
      <c r="B2327" t="e">
        <f t="shared" si="98"/>
        <v>#N/A</v>
      </c>
      <c r="C2327" s="198" t="e">
        <f t="shared" si="99"/>
        <v>#N/A</v>
      </c>
      <c r="D2327" s="526" t="e">
        <v>#N/A</v>
      </c>
      <c r="E2327" s="526" t="e">
        <v>#N/A</v>
      </c>
      <c r="F2327" s="526" t="e">
        <v>#N/A</v>
      </c>
      <c r="G2327" s="526" t="e">
        <v>#N/A</v>
      </c>
      <c r="H2327" s="412" t="e">
        <v>#N/A</v>
      </c>
      <c r="I2327" s="411" t="e">
        <v>#N/A</v>
      </c>
      <c r="J2327" s="411" t="e">
        <v>#N/A</v>
      </c>
      <c r="K2327" s="411" t="e">
        <v>#N/A</v>
      </c>
      <c r="L2327" s="526" t="e">
        <v>#N/A</v>
      </c>
    </row>
    <row r="2328" spans="1:12" ht="15" x14ac:dyDescent="0.25">
      <c r="A2328">
        <v>465373</v>
      </c>
      <c r="B2328" t="e">
        <f t="shared" si="98"/>
        <v>#N/A</v>
      </c>
      <c r="C2328" s="198" t="e">
        <f t="shared" si="99"/>
        <v>#N/A</v>
      </c>
      <c r="D2328" s="526" t="e">
        <v>#N/A</v>
      </c>
      <c r="E2328" s="526" t="e">
        <v>#N/A</v>
      </c>
      <c r="F2328" s="526" t="e">
        <v>#N/A</v>
      </c>
      <c r="G2328" s="526" t="e">
        <v>#N/A</v>
      </c>
      <c r="H2328" s="412" t="e">
        <v>#N/A</v>
      </c>
      <c r="I2328" s="411" t="e">
        <v>#N/A</v>
      </c>
      <c r="J2328" s="411" t="e">
        <v>#N/A</v>
      </c>
      <c r="K2328" s="411" t="e">
        <v>#N/A</v>
      </c>
      <c r="L2328" s="526" t="e">
        <v>#N/A</v>
      </c>
    </row>
    <row r="2329" spans="1:12" ht="15" x14ac:dyDescent="0.25">
      <c r="A2329">
        <v>465374</v>
      </c>
      <c r="B2329" t="e">
        <f t="shared" si="98"/>
        <v>#N/A</v>
      </c>
      <c r="C2329" s="198" t="e">
        <f t="shared" si="99"/>
        <v>#N/A</v>
      </c>
      <c r="D2329" s="526" t="e">
        <v>#N/A</v>
      </c>
      <c r="E2329" s="526" t="e">
        <v>#N/A</v>
      </c>
      <c r="F2329" s="526" t="e">
        <v>#N/A</v>
      </c>
      <c r="G2329" s="526" t="e">
        <v>#N/A</v>
      </c>
      <c r="H2329" s="412" t="e">
        <v>#N/A</v>
      </c>
      <c r="I2329" s="411" t="e">
        <v>#N/A</v>
      </c>
      <c r="J2329" s="411" t="e">
        <v>#N/A</v>
      </c>
      <c r="K2329" s="411" t="e">
        <v>#N/A</v>
      </c>
      <c r="L2329" s="526" t="e">
        <v>#N/A</v>
      </c>
    </row>
    <row r="2330" spans="1:12" ht="15" x14ac:dyDescent="0.25">
      <c r="A2330">
        <v>465375</v>
      </c>
      <c r="B2330" t="e">
        <f t="shared" si="98"/>
        <v>#N/A</v>
      </c>
      <c r="C2330" s="198" t="e">
        <f t="shared" si="99"/>
        <v>#N/A</v>
      </c>
      <c r="D2330" s="526" t="e">
        <v>#N/A</v>
      </c>
      <c r="E2330" s="526" t="e">
        <v>#N/A</v>
      </c>
      <c r="F2330" s="526" t="e">
        <v>#N/A</v>
      </c>
      <c r="G2330" s="526" t="e">
        <v>#N/A</v>
      </c>
      <c r="H2330" s="412" t="e">
        <v>#N/A</v>
      </c>
      <c r="I2330" s="411" t="e">
        <v>#N/A</v>
      </c>
      <c r="J2330" s="411" t="e">
        <v>#N/A</v>
      </c>
      <c r="K2330" s="411" t="e">
        <v>#N/A</v>
      </c>
      <c r="L2330" s="526" t="e">
        <v>#N/A</v>
      </c>
    </row>
    <row r="2331" spans="1:12" ht="15" x14ac:dyDescent="0.25">
      <c r="A2331">
        <v>465376</v>
      </c>
      <c r="B2331" t="e">
        <f t="shared" si="98"/>
        <v>#N/A</v>
      </c>
      <c r="C2331" s="198" t="e">
        <f t="shared" si="99"/>
        <v>#N/A</v>
      </c>
      <c r="D2331" s="526" t="e">
        <v>#N/A</v>
      </c>
      <c r="E2331" s="526" t="e">
        <v>#N/A</v>
      </c>
      <c r="F2331" s="526" t="e">
        <v>#N/A</v>
      </c>
      <c r="G2331" s="526" t="e">
        <v>#N/A</v>
      </c>
      <c r="H2331" s="412" t="e">
        <v>#N/A</v>
      </c>
      <c r="I2331" s="411" t="e">
        <v>#N/A</v>
      </c>
      <c r="J2331" s="411" t="e">
        <v>#N/A</v>
      </c>
      <c r="K2331" s="411" t="e">
        <v>#N/A</v>
      </c>
      <c r="L2331" s="526" t="e">
        <v>#N/A</v>
      </c>
    </row>
    <row r="2332" spans="1:12" ht="15" x14ac:dyDescent="0.25">
      <c r="A2332">
        <v>465377</v>
      </c>
      <c r="B2332" t="e">
        <f t="shared" si="98"/>
        <v>#N/A</v>
      </c>
      <c r="C2332" s="198" t="e">
        <f t="shared" si="99"/>
        <v>#N/A</v>
      </c>
      <c r="D2332" s="526" t="e">
        <v>#N/A</v>
      </c>
      <c r="E2332" s="526" t="e">
        <v>#N/A</v>
      </c>
      <c r="F2332" s="526" t="e">
        <v>#N/A</v>
      </c>
      <c r="G2332" s="526" t="e">
        <v>#N/A</v>
      </c>
      <c r="H2332" s="412" t="e">
        <v>#N/A</v>
      </c>
      <c r="I2332" s="411" t="e">
        <v>#N/A</v>
      </c>
      <c r="J2332" s="411" t="e">
        <v>#N/A</v>
      </c>
      <c r="K2332" s="411" t="e">
        <v>#N/A</v>
      </c>
      <c r="L2332" s="526" t="e">
        <v>#N/A</v>
      </c>
    </row>
    <row r="2333" spans="1:12" ht="15" x14ac:dyDescent="0.25">
      <c r="A2333">
        <v>465378</v>
      </c>
      <c r="B2333" t="e">
        <f t="shared" ref="B2333:B2363" si="100">IF($A$2=1,D2333,IF($A$2=2,F2333,IF($A$2=3,G2333,IF($A$2=4,E2333,"zadat jazyk"))))</f>
        <v>#N/A</v>
      </c>
      <c r="C2333" s="198" t="e">
        <f t="shared" ref="C2333:C2363" si="101">IF($A$2=1,H2333,IF($A$2=2,I2333,IF($A$2=3,J2333,IF($A$2=4,K2333,"zadat jazyk"))))</f>
        <v>#N/A</v>
      </c>
      <c r="D2333" s="526" t="e">
        <v>#N/A</v>
      </c>
      <c r="E2333" s="526" t="e">
        <v>#N/A</v>
      </c>
      <c r="F2333" s="526" t="e">
        <v>#N/A</v>
      </c>
      <c r="G2333" s="526" t="e">
        <v>#N/A</v>
      </c>
      <c r="H2333" s="412" t="e">
        <v>#N/A</v>
      </c>
      <c r="I2333" s="411" t="e">
        <v>#N/A</v>
      </c>
      <c r="J2333" s="411" t="e">
        <v>#N/A</v>
      </c>
      <c r="K2333" s="411" t="e">
        <v>#N/A</v>
      </c>
      <c r="L2333" s="526" t="e">
        <v>#N/A</v>
      </c>
    </row>
    <row r="2334" spans="1:12" ht="15" x14ac:dyDescent="0.25">
      <c r="A2334">
        <v>465379</v>
      </c>
      <c r="B2334" t="e">
        <f t="shared" si="100"/>
        <v>#N/A</v>
      </c>
      <c r="C2334" s="198" t="e">
        <f t="shared" si="101"/>
        <v>#N/A</v>
      </c>
      <c r="D2334" s="526" t="e">
        <v>#N/A</v>
      </c>
      <c r="E2334" s="526" t="e">
        <v>#N/A</v>
      </c>
      <c r="F2334" s="526" t="e">
        <v>#N/A</v>
      </c>
      <c r="G2334" s="526" t="e">
        <v>#N/A</v>
      </c>
      <c r="H2334" s="412" t="e">
        <v>#N/A</v>
      </c>
      <c r="I2334" s="411" t="e">
        <v>#N/A</v>
      </c>
      <c r="J2334" s="411" t="e">
        <v>#N/A</v>
      </c>
      <c r="K2334" s="411" t="e">
        <v>#N/A</v>
      </c>
      <c r="L2334" s="526" t="e">
        <v>#N/A</v>
      </c>
    </row>
    <row r="2335" spans="1:12" ht="15" x14ac:dyDescent="0.25">
      <c r="A2335">
        <v>465380</v>
      </c>
      <c r="B2335" t="e">
        <f t="shared" si="100"/>
        <v>#N/A</v>
      </c>
      <c r="C2335" s="198" t="e">
        <f t="shared" si="101"/>
        <v>#N/A</v>
      </c>
      <c r="D2335" s="526" t="e">
        <v>#N/A</v>
      </c>
      <c r="E2335" s="526" t="e">
        <v>#N/A</v>
      </c>
      <c r="F2335" s="526" t="e">
        <v>#N/A</v>
      </c>
      <c r="G2335" s="526" t="e">
        <v>#N/A</v>
      </c>
      <c r="H2335" s="412" t="e">
        <v>#N/A</v>
      </c>
      <c r="I2335" s="411" t="e">
        <v>#N/A</v>
      </c>
      <c r="J2335" s="411" t="e">
        <v>#N/A</v>
      </c>
      <c r="K2335" s="411" t="e">
        <v>#N/A</v>
      </c>
      <c r="L2335" s="526" t="e">
        <v>#N/A</v>
      </c>
    </row>
    <row r="2336" spans="1:12" ht="15" x14ac:dyDescent="0.25">
      <c r="A2336">
        <v>465381</v>
      </c>
      <c r="B2336" t="e">
        <f t="shared" si="100"/>
        <v>#N/A</v>
      </c>
      <c r="C2336" s="198" t="e">
        <f t="shared" si="101"/>
        <v>#N/A</v>
      </c>
      <c r="D2336" s="526" t="e">
        <v>#N/A</v>
      </c>
      <c r="E2336" s="526" t="e">
        <v>#N/A</v>
      </c>
      <c r="F2336" s="526" t="e">
        <v>#N/A</v>
      </c>
      <c r="G2336" s="526" t="e">
        <v>#N/A</v>
      </c>
      <c r="H2336" s="412" t="e">
        <v>#N/A</v>
      </c>
      <c r="I2336" s="411" t="e">
        <v>#N/A</v>
      </c>
      <c r="J2336" s="411" t="e">
        <v>#N/A</v>
      </c>
      <c r="K2336" s="411" t="e">
        <v>#N/A</v>
      </c>
      <c r="L2336" s="526" t="e">
        <v>#N/A</v>
      </c>
    </row>
    <row r="2337" spans="1:12" ht="15" x14ac:dyDescent="0.25">
      <c r="A2337">
        <v>465382</v>
      </c>
      <c r="B2337" t="e">
        <f t="shared" si="100"/>
        <v>#N/A</v>
      </c>
      <c r="C2337" s="198" t="e">
        <f t="shared" si="101"/>
        <v>#N/A</v>
      </c>
      <c r="D2337" s="526" t="e">
        <v>#N/A</v>
      </c>
      <c r="E2337" s="526" t="e">
        <v>#N/A</v>
      </c>
      <c r="F2337" s="526" t="e">
        <v>#N/A</v>
      </c>
      <c r="G2337" s="526" t="e">
        <v>#N/A</v>
      </c>
      <c r="H2337" s="412" t="e">
        <v>#N/A</v>
      </c>
      <c r="I2337" s="411" t="e">
        <v>#N/A</v>
      </c>
      <c r="J2337" s="411" t="e">
        <v>#N/A</v>
      </c>
      <c r="K2337" s="411" t="e">
        <v>#N/A</v>
      </c>
      <c r="L2337" s="526" t="e">
        <v>#N/A</v>
      </c>
    </row>
    <row r="2338" spans="1:12" ht="15" x14ac:dyDescent="0.25">
      <c r="A2338">
        <v>465383</v>
      </c>
      <c r="B2338" t="e">
        <f t="shared" si="100"/>
        <v>#N/A</v>
      </c>
      <c r="C2338" s="198" t="e">
        <f t="shared" si="101"/>
        <v>#N/A</v>
      </c>
      <c r="D2338" s="526" t="e">
        <v>#N/A</v>
      </c>
      <c r="E2338" s="526" t="e">
        <v>#N/A</v>
      </c>
      <c r="F2338" s="526" t="e">
        <v>#N/A</v>
      </c>
      <c r="G2338" s="526" t="e">
        <v>#N/A</v>
      </c>
      <c r="H2338" s="412" t="e">
        <v>#N/A</v>
      </c>
      <c r="I2338" s="411" t="e">
        <v>#N/A</v>
      </c>
      <c r="J2338" s="411" t="e">
        <v>#N/A</v>
      </c>
      <c r="K2338" s="411" t="e">
        <v>#N/A</v>
      </c>
      <c r="L2338" s="526" t="e">
        <v>#N/A</v>
      </c>
    </row>
    <row r="2339" spans="1:12" ht="15" x14ac:dyDescent="0.25">
      <c r="A2339">
        <v>465384</v>
      </c>
      <c r="B2339" t="e">
        <f t="shared" si="100"/>
        <v>#N/A</v>
      </c>
      <c r="C2339" s="198" t="e">
        <f t="shared" si="101"/>
        <v>#N/A</v>
      </c>
      <c r="D2339" s="526" t="e">
        <v>#N/A</v>
      </c>
      <c r="E2339" s="526" t="e">
        <v>#N/A</v>
      </c>
      <c r="F2339" s="526" t="e">
        <v>#N/A</v>
      </c>
      <c r="G2339" s="526" t="e">
        <v>#N/A</v>
      </c>
      <c r="H2339" s="412" t="e">
        <v>#N/A</v>
      </c>
      <c r="I2339" s="411" t="e">
        <v>#N/A</v>
      </c>
      <c r="J2339" s="411" t="e">
        <v>#N/A</v>
      </c>
      <c r="K2339" s="411" t="e">
        <v>#N/A</v>
      </c>
      <c r="L2339" s="526" t="e">
        <v>#N/A</v>
      </c>
    </row>
    <row r="2340" spans="1:12" ht="15" x14ac:dyDescent="0.25">
      <c r="A2340">
        <v>465385</v>
      </c>
      <c r="B2340" t="e">
        <f t="shared" si="100"/>
        <v>#N/A</v>
      </c>
      <c r="C2340" s="198" t="e">
        <f t="shared" si="101"/>
        <v>#N/A</v>
      </c>
      <c r="D2340" s="526" t="e">
        <v>#N/A</v>
      </c>
      <c r="E2340" s="526" t="e">
        <v>#N/A</v>
      </c>
      <c r="F2340" s="526" t="e">
        <v>#N/A</v>
      </c>
      <c r="G2340" s="526" t="e">
        <v>#N/A</v>
      </c>
      <c r="H2340" s="412" t="e">
        <v>#N/A</v>
      </c>
      <c r="I2340" s="411" t="e">
        <v>#N/A</v>
      </c>
      <c r="J2340" s="411" t="e">
        <v>#N/A</v>
      </c>
      <c r="K2340" s="411" t="e">
        <v>#N/A</v>
      </c>
      <c r="L2340" s="526" t="e">
        <v>#N/A</v>
      </c>
    </row>
    <row r="2341" spans="1:12" ht="15" x14ac:dyDescent="0.25">
      <c r="A2341">
        <v>465386</v>
      </c>
      <c r="B2341" t="e">
        <f t="shared" si="100"/>
        <v>#N/A</v>
      </c>
      <c r="C2341" s="198" t="e">
        <f t="shared" si="101"/>
        <v>#N/A</v>
      </c>
      <c r="D2341" s="526" t="e">
        <v>#N/A</v>
      </c>
      <c r="E2341" s="526" t="e">
        <v>#N/A</v>
      </c>
      <c r="F2341" s="526" t="e">
        <v>#N/A</v>
      </c>
      <c r="G2341" s="526" t="e">
        <v>#N/A</v>
      </c>
      <c r="H2341" s="412" t="e">
        <v>#N/A</v>
      </c>
      <c r="I2341" s="411" t="e">
        <v>#N/A</v>
      </c>
      <c r="J2341" s="411" t="e">
        <v>#N/A</v>
      </c>
      <c r="K2341" s="411" t="e">
        <v>#N/A</v>
      </c>
      <c r="L2341" s="526" t="e">
        <v>#N/A</v>
      </c>
    </row>
    <row r="2342" spans="1:12" ht="15" x14ac:dyDescent="0.25">
      <c r="A2342">
        <v>465387</v>
      </c>
      <c r="B2342" t="e">
        <f t="shared" si="100"/>
        <v>#N/A</v>
      </c>
      <c r="C2342" s="198" t="e">
        <f t="shared" si="101"/>
        <v>#N/A</v>
      </c>
      <c r="D2342" s="526" t="e">
        <v>#N/A</v>
      </c>
      <c r="E2342" s="526" t="e">
        <v>#N/A</v>
      </c>
      <c r="F2342" s="526" t="e">
        <v>#N/A</v>
      </c>
      <c r="G2342" s="526" t="e">
        <v>#N/A</v>
      </c>
      <c r="H2342" s="412" t="e">
        <v>#N/A</v>
      </c>
      <c r="I2342" s="411" t="e">
        <v>#N/A</v>
      </c>
      <c r="J2342" s="411" t="e">
        <v>#N/A</v>
      </c>
      <c r="K2342" s="411" t="e">
        <v>#N/A</v>
      </c>
      <c r="L2342" s="526" t="e">
        <v>#N/A</v>
      </c>
    </row>
    <row r="2343" spans="1:12" ht="15" x14ac:dyDescent="0.25">
      <c r="A2343">
        <v>465388</v>
      </c>
      <c r="B2343" t="e">
        <f t="shared" si="100"/>
        <v>#N/A</v>
      </c>
      <c r="C2343" s="198" t="e">
        <f t="shared" si="101"/>
        <v>#N/A</v>
      </c>
      <c r="D2343" s="526" t="e">
        <v>#N/A</v>
      </c>
      <c r="E2343" s="526" t="e">
        <v>#N/A</v>
      </c>
      <c r="F2343" s="526" t="e">
        <v>#N/A</v>
      </c>
      <c r="G2343" s="526" t="e">
        <v>#N/A</v>
      </c>
      <c r="H2343" s="412" t="e">
        <v>#N/A</v>
      </c>
      <c r="I2343" s="411" t="e">
        <v>#N/A</v>
      </c>
      <c r="J2343" s="411" t="e">
        <v>#N/A</v>
      </c>
      <c r="K2343" s="411" t="e">
        <v>#N/A</v>
      </c>
      <c r="L2343" s="526" t="e">
        <v>#N/A</v>
      </c>
    </row>
    <row r="2344" spans="1:12" ht="15" x14ac:dyDescent="0.25">
      <c r="A2344">
        <v>465389</v>
      </c>
      <c r="B2344" t="e">
        <f t="shared" si="100"/>
        <v>#N/A</v>
      </c>
      <c r="C2344" s="198" t="e">
        <f t="shared" si="101"/>
        <v>#N/A</v>
      </c>
      <c r="D2344" s="526" t="e">
        <v>#N/A</v>
      </c>
      <c r="E2344" s="526" t="e">
        <v>#N/A</v>
      </c>
      <c r="F2344" s="526" t="e">
        <v>#N/A</v>
      </c>
      <c r="G2344" s="526" t="e">
        <v>#N/A</v>
      </c>
      <c r="H2344" s="412" t="e">
        <v>#N/A</v>
      </c>
      <c r="I2344" s="411" t="e">
        <v>#N/A</v>
      </c>
      <c r="J2344" s="411" t="e">
        <v>#N/A</v>
      </c>
      <c r="K2344" s="411" t="e">
        <v>#N/A</v>
      </c>
      <c r="L2344" s="526" t="e">
        <v>#N/A</v>
      </c>
    </row>
    <row r="2345" spans="1:12" ht="15" x14ac:dyDescent="0.25">
      <c r="A2345">
        <v>465390</v>
      </c>
      <c r="B2345" t="e">
        <f t="shared" si="100"/>
        <v>#N/A</v>
      </c>
      <c r="C2345" s="198" t="e">
        <f t="shared" si="101"/>
        <v>#N/A</v>
      </c>
      <c r="D2345" s="526" t="e">
        <v>#N/A</v>
      </c>
      <c r="E2345" s="526" t="e">
        <v>#N/A</v>
      </c>
      <c r="F2345" s="526" t="e">
        <v>#N/A</v>
      </c>
      <c r="G2345" s="526" t="e">
        <v>#N/A</v>
      </c>
      <c r="H2345" s="412" t="e">
        <v>#N/A</v>
      </c>
      <c r="I2345" s="411" t="e">
        <v>#N/A</v>
      </c>
      <c r="J2345" s="411" t="e">
        <v>#N/A</v>
      </c>
      <c r="K2345" s="411" t="e">
        <v>#N/A</v>
      </c>
      <c r="L2345" s="526" t="e">
        <v>#N/A</v>
      </c>
    </row>
    <row r="2346" spans="1:12" ht="15" x14ac:dyDescent="0.25">
      <c r="A2346">
        <v>465391</v>
      </c>
      <c r="B2346" t="e">
        <f t="shared" si="100"/>
        <v>#N/A</v>
      </c>
      <c r="C2346" s="198" t="e">
        <f t="shared" si="101"/>
        <v>#N/A</v>
      </c>
      <c r="D2346" s="526" t="e">
        <v>#N/A</v>
      </c>
      <c r="E2346" s="526" t="e">
        <v>#N/A</v>
      </c>
      <c r="F2346" s="526" t="e">
        <v>#N/A</v>
      </c>
      <c r="G2346" s="526" t="e">
        <v>#N/A</v>
      </c>
      <c r="H2346" s="412" t="e">
        <v>#N/A</v>
      </c>
      <c r="I2346" s="411" t="e">
        <v>#N/A</v>
      </c>
      <c r="J2346" s="411" t="e">
        <v>#N/A</v>
      </c>
      <c r="K2346" s="411" t="e">
        <v>#N/A</v>
      </c>
      <c r="L2346" s="526" t="e">
        <v>#N/A</v>
      </c>
    </row>
    <row r="2347" spans="1:12" ht="15" x14ac:dyDescent="0.25">
      <c r="A2347">
        <v>465392</v>
      </c>
      <c r="B2347" t="e">
        <f t="shared" si="100"/>
        <v>#N/A</v>
      </c>
      <c r="C2347" s="198" t="e">
        <f t="shared" si="101"/>
        <v>#N/A</v>
      </c>
      <c r="D2347" s="526" t="e">
        <v>#N/A</v>
      </c>
      <c r="E2347" s="526" t="e">
        <v>#N/A</v>
      </c>
      <c r="F2347" s="526" t="e">
        <v>#N/A</v>
      </c>
      <c r="G2347" s="526" t="e">
        <v>#N/A</v>
      </c>
      <c r="H2347" s="412" t="e">
        <v>#N/A</v>
      </c>
      <c r="I2347" s="411" t="e">
        <v>#N/A</v>
      </c>
      <c r="J2347" s="411" t="e">
        <v>#N/A</v>
      </c>
      <c r="K2347" s="411" t="e">
        <v>#N/A</v>
      </c>
      <c r="L2347" s="526" t="e">
        <v>#N/A</v>
      </c>
    </row>
    <row r="2348" spans="1:12" ht="15" x14ac:dyDescent="0.25">
      <c r="A2348">
        <v>465393</v>
      </c>
      <c r="B2348" t="e">
        <f t="shared" si="100"/>
        <v>#N/A</v>
      </c>
      <c r="C2348" s="198" t="e">
        <f t="shared" si="101"/>
        <v>#N/A</v>
      </c>
      <c r="D2348" s="526" t="e">
        <v>#N/A</v>
      </c>
      <c r="E2348" s="526" t="e">
        <v>#N/A</v>
      </c>
      <c r="F2348" s="526" t="e">
        <v>#N/A</v>
      </c>
      <c r="G2348" s="526" t="e">
        <v>#N/A</v>
      </c>
      <c r="H2348" s="412" t="e">
        <v>#N/A</v>
      </c>
      <c r="I2348" s="411" t="e">
        <v>#N/A</v>
      </c>
      <c r="J2348" s="411" t="e">
        <v>#N/A</v>
      </c>
      <c r="K2348" s="411" t="e">
        <v>#N/A</v>
      </c>
      <c r="L2348" s="526" t="e">
        <v>#N/A</v>
      </c>
    </row>
    <row r="2349" spans="1:12" ht="15" x14ac:dyDescent="0.25">
      <c r="A2349">
        <v>465394</v>
      </c>
      <c r="B2349" t="e">
        <f t="shared" si="100"/>
        <v>#N/A</v>
      </c>
      <c r="C2349" s="198" t="e">
        <f t="shared" si="101"/>
        <v>#N/A</v>
      </c>
      <c r="D2349" s="526" t="e">
        <v>#N/A</v>
      </c>
      <c r="E2349" s="526" t="e">
        <v>#N/A</v>
      </c>
      <c r="F2349" s="526" t="e">
        <v>#N/A</v>
      </c>
      <c r="G2349" s="526" t="e">
        <v>#N/A</v>
      </c>
      <c r="H2349" s="412" t="e">
        <v>#N/A</v>
      </c>
      <c r="I2349" s="411" t="e">
        <v>#N/A</v>
      </c>
      <c r="J2349" s="411" t="e">
        <v>#N/A</v>
      </c>
      <c r="K2349" s="411" t="e">
        <v>#N/A</v>
      </c>
      <c r="L2349" s="526" t="e">
        <v>#N/A</v>
      </c>
    </row>
    <row r="2350" spans="1:12" ht="15" x14ac:dyDescent="0.25">
      <c r="A2350">
        <v>465395</v>
      </c>
      <c r="B2350" t="e">
        <f t="shared" si="100"/>
        <v>#N/A</v>
      </c>
      <c r="C2350" s="198" t="e">
        <f t="shared" si="101"/>
        <v>#N/A</v>
      </c>
      <c r="D2350" s="526" t="e">
        <v>#N/A</v>
      </c>
      <c r="E2350" s="526" t="e">
        <v>#N/A</v>
      </c>
      <c r="F2350" s="526" t="e">
        <v>#N/A</v>
      </c>
      <c r="G2350" s="526" t="e">
        <v>#N/A</v>
      </c>
      <c r="H2350" s="412" t="e">
        <v>#N/A</v>
      </c>
      <c r="I2350" s="411" t="e">
        <v>#N/A</v>
      </c>
      <c r="J2350" s="411" t="e">
        <v>#N/A</v>
      </c>
      <c r="K2350" s="411" t="e">
        <v>#N/A</v>
      </c>
      <c r="L2350" s="526" t="e">
        <v>#N/A</v>
      </c>
    </row>
    <row r="2351" spans="1:12" ht="15" x14ac:dyDescent="0.25">
      <c r="A2351">
        <v>465397</v>
      </c>
      <c r="B2351" t="e">
        <f t="shared" si="100"/>
        <v>#N/A</v>
      </c>
      <c r="C2351" s="198" t="e">
        <f t="shared" si="101"/>
        <v>#N/A</v>
      </c>
      <c r="D2351" s="526" t="e">
        <v>#N/A</v>
      </c>
      <c r="E2351" s="526" t="e">
        <v>#N/A</v>
      </c>
      <c r="F2351" s="526" t="e">
        <v>#N/A</v>
      </c>
      <c r="G2351" s="526" t="e">
        <v>#N/A</v>
      </c>
      <c r="H2351" s="412" t="e">
        <v>#N/A</v>
      </c>
      <c r="I2351" s="411" t="e">
        <v>#N/A</v>
      </c>
      <c r="J2351" s="411" t="e">
        <v>#N/A</v>
      </c>
      <c r="K2351" s="411" t="e">
        <v>#N/A</v>
      </c>
      <c r="L2351" s="526" t="e">
        <v>#N/A</v>
      </c>
    </row>
    <row r="2352" spans="1:12" ht="15" x14ac:dyDescent="0.25">
      <c r="A2352">
        <v>465398</v>
      </c>
      <c r="B2352" t="e">
        <f t="shared" si="100"/>
        <v>#N/A</v>
      </c>
      <c r="C2352" s="198" t="e">
        <f t="shared" si="101"/>
        <v>#N/A</v>
      </c>
      <c r="D2352" s="526" t="e">
        <v>#N/A</v>
      </c>
      <c r="E2352" s="526" t="e">
        <v>#N/A</v>
      </c>
      <c r="F2352" s="526" t="e">
        <v>#N/A</v>
      </c>
      <c r="G2352" s="526" t="e">
        <v>#N/A</v>
      </c>
      <c r="H2352" s="412" t="e">
        <v>#N/A</v>
      </c>
      <c r="I2352" s="411" t="e">
        <v>#N/A</v>
      </c>
      <c r="J2352" s="411" t="e">
        <v>#N/A</v>
      </c>
      <c r="K2352" s="411" t="e">
        <v>#N/A</v>
      </c>
      <c r="L2352" s="526" t="e">
        <v>#N/A</v>
      </c>
    </row>
    <row r="2353" spans="1:12" ht="15" x14ac:dyDescent="0.25">
      <c r="A2353">
        <v>210565</v>
      </c>
      <c r="B2353" t="e">
        <f t="shared" si="100"/>
        <v>#N/A</v>
      </c>
      <c r="C2353" s="198" t="e">
        <f t="shared" si="101"/>
        <v>#N/A</v>
      </c>
      <c r="D2353" s="526" t="e">
        <v>#N/A</v>
      </c>
      <c r="E2353" s="526" t="e">
        <v>#N/A</v>
      </c>
      <c r="F2353" s="526" t="e">
        <v>#N/A</v>
      </c>
      <c r="G2353" s="526" t="e">
        <v>#N/A</v>
      </c>
      <c r="H2353" s="412" t="e">
        <v>#N/A</v>
      </c>
      <c r="I2353" s="411" t="e">
        <v>#N/A</v>
      </c>
      <c r="J2353" s="411" t="e">
        <v>#N/A</v>
      </c>
      <c r="K2353" s="411" t="e">
        <v>#N/A</v>
      </c>
      <c r="L2353" s="526" t="e">
        <v>#N/A</v>
      </c>
    </row>
    <row r="2354" spans="1:12" ht="15" x14ac:dyDescent="0.25">
      <c r="A2354">
        <v>210594</v>
      </c>
      <c r="B2354" t="e">
        <f t="shared" si="100"/>
        <v>#N/A</v>
      </c>
      <c r="C2354" s="198" t="e">
        <f t="shared" si="101"/>
        <v>#N/A</v>
      </c>
      <c r="D2354" s="526" t="e">
        <v>#N/A</v>
      </c>
      <c r="E2354" s="526" t="e">
        <v>#N/A</v>
      </c>
      <c r="F2354" s="526" t="e">
        <v>#N/A</v>
      </c>
      <c r="G2354" s="526" t="e">
        <v>#N/A</v>
      </c>
      <c r="H2354" s="412" t="e">
        <v>#N/A</v>
      </c>
      <c r="I2354" s="411" t="e">
        <v>#N/A</v>
      </c>
      <c r="J2354" s="411" t="e">
        <v>#N/A</v>
      </c>
      <c r="K2354" s="411" t="e">
        <v>#N/A</v>
      </c>
      <c r="L2354" s="526" t="e">
        <v>#N/A</v>
      </c>
    </row>
    <row r="2355" spans="1:12" ht="15" x14ac:dyDescent="0.25">
      <c r="A2355">
        <v>210595</v>
      </c>
      <c r="B2355" t="e">
        <f t="shared" si="100"/>
        <v>#N/A</v>
      </c>
      <c r="C2355" s="198" t="e">
        <f t="shared" si="101"/>
        <v>#N/A</v>
      </c>
      <c r="D2355" s="526" t="e">
        <v>#N/A</v>
      </c>
      <c r="E2355" s="526" t="e">
        <v>#N/A</v>
      </c>
      <c r="F2355" s="526" t="e">
        <v>#N/A</v>
      </c>
      <c r="G2355" s="526" t="e">
        <v>#N/A</v>
      </c>
      <c r="H2355" s="412" t="e">
        <v>#N/A</v>
      </c>
      <c r="I2355" s="411" t="e">
        <v>#N/A</v>
      </c>
      <c r="J2355" s="411" t="e">
        <v>#N/A</v>
      </c>
      <c r="K2355" s="411" t="e">
        <v>#N/A</v>
      </c>
      <c r="L2355" s="526" t="e">
        <v>#N/A</v>
      </c>
    </row>
    <row r="2356" spans="1:12" ht="15" x14ac:dyDescent="0.25">
      <c r="A2356">
        <v>89036</v>
      </c>
      <c r="B2356" t="str">
        <f t="shared" si="100"/>
        <v>SEVROLL ZR10 sada pre rozbalovacie dvere</v>
      </c>
      <c r="C2356" s="198">
        <f t="shared" si="101"/>
        <v>20.63982</v>
      </c>
      <c r="D2356" s="526" t="s">
        <v>1726</v>
      </c>
      <c r="E2356" s="526" t="s">
        <v>2158</v>
      </c>
      <c r="F2356" s="526" t="s">
        <v>2328</v>
      </c>
      <c r="G2356" s="526" t="s">
        <v>2634</v>
      </c>
      <c r="H2356" s="412">
        <v>571.56799999999998</v>
      </c>
      <c r="I2356" s="411">
        <v>20.63982</v>
      </c>
      <c r="J2356" s="411">
        <v>72.572999999999993</v>
      </c>
      <c r="K2356" s="411">
        <v>7857.0497500000001</v>
      </c>
      <c r="L2356" s="526" t="s">
        <v>554</v>
      </c>
    </row>
    <row r="2357" spans="1:12" ht="15" x14ac:dyDescent="0.25">
      <c r="A2357">
        <v>86277</v>
      </c>
      <c r="B2357" t="e">
        <f t="shared" si="100"/>
        <v>#N/A</v>
      </c>
      <c r="C2357" s="198" t="e">
        <f t="shared" si="101"/>
        <v>#N/A</v>
      </c>
      <c r="D2357" s="526" t="e">
        <v>#N/A</v>
      </c>
      <c r="E2357" s="526" t="e">
        <v>#N/A</v>
      </c>
      <c r="F2357" s="526" t="e">
        <v>#N/A</v>
      </c>
      <c r="G2357" s="526" t="e">
        <v>#N/A</v>
      </c>
      <c r="H2357" s="412" t="e">
        <v>#N/A</v>
      </c>
      <c r="I2357" s="411" t="e">
        <v>#N/A</v>
      </c>
      <c r="J2357" s="411" t="e">
        <v>#N/A</v>
      </c>
      <c r="K2357" s="411" t="e">
        <v>#N/A</v>
      </c>
      <c r="L2357" s="526" t="e">
        <v>#N/A</v>
      </c>
    </row>
    <row r="2358" spans="1:12" ht="15" x14ac:dyDescent="0.25">
      <c r="A2358">
        <v>86280</v>
      </c>
      <c r="B2358" t="e">
        <f t="shared" si="100"/>
        <v>#N/A</v>
      </c>
      <c r="C2358" s="198" t="e">
        <f t="shared" si="101"/>
        <v>#N/A</v>
      </c>
      <c r="D2358" s="526" t="e">
        <v>#N/A</v>
      </c>
      <c r="E2358" s="526" t="e">
        <v>#N/A</v>
      </c>
      <c r="F2358" s="526" t="e">
        <v>#N/A</v>
      </c>
      <c r="G2358" s="526" t="e">
        <v>#N/A</v>
      </c>
      <c r="H2358" s="412" t="e">
        <v>#N/A</v>
      </c>
      <c r="I2358" s="411" t="e">
        <v>#N/A</v>
      </c>
      <c r="J2358" s="411" t="e">
        <v>#N/A</v>
      </c>
      <c r="K2358" s="411" t="e">
        <v>#N/A</v>
      </c>
      <c r="L2358" s="526" t="e">
        <v>#N/A</v>
      </c>
    </row>
    <row r="2359" spans="1:12" ht="15" x14ac:dyDescent="0.25">
      <c r="A2359">
        <v>86281</v>
      </c>
      <c r="B2359" t="e">
        <f t="shared" si="100"/>
        <v>#N/A</v>
      </c>
      <c r="C2359" s="198" t="e">
        <f t="shared" si="101"/>
        <v>#N/A</v>
      </c>
      <c r="D2359" s="526" t="e">
        <v>#N/A</v>
      </c>
      <c r="E2359" s="526" t="e">
        <v>#N/A</v>
      </c>
      <c r="F2359" s="526" t="e">
        <v>#N/A</v>
      </c>
      <c r="G2359" s="526" t="e">
        <v>#N/A</v>
      </c>
      <c r="H2359" s="412" t="e">
        <v>#N/A</v>
      </c>
      <c r="I2359" s="411" t="e">
        <v>#N/A</v>
      </c>
      <c r="J2359" s="411" t="e">
        <v>#N/A</v>
      </c>
      <c r="K2359" s="411" t="e">
        <v>#N/A</v>
      </c>
      <c r="L2359" s="526" t="e">
        <v>#N/A</v>
      </c>
    </row>
    <row r="2360" spans="1:12" ht="15" x14ac:dyDescent="0.25">
      <c r="A2360">
        <v>86284</v>
      </c>
      <c r="B2360" t="e">
        <f t="shared" si="100"/>
        <v>#N/A</v>
      </c>
      <c r="C2360" s="198" t="e">
        <f t="shared" si="101"/>
        <v>#N/A</v>
      </c>
      <c r="D2360" s="526" t="e">
        <v>#N/A</v>
      </c>
      <c r="E2360" s="526" t="e">
        <v>#N/A</v>
      </c>
      <c r="F2360" s="526" t="e">
        <v>#N/A</v>
      </c>
      <c r="G2360" s="526" t="e">
        <v>#N/A</v>
      </c>
      <c r="H2360" s="412" t="e">
        <v>#N/A</v>
      </c>
      <c r="I2360" s="411" t="e">
        <v>#N/A</v>
      </c>
      <c r="J2360" s="411" t="e">
        <v>#N/A</v>
      </c>
      <c r="K2360" s="411" t="e">
        <v>#N/A</v>
      </c>
      <c r="L2360" s="526" t="e">
        <v>#N/A</v>
      </c>
    </row>
    <row r="2361" spans="1:12" ht="15" x14ac:dyDescent="0.25">
      <c r="A2361">
        <v>86285</v>
      </c>
      <c r="B2361" t="e">
        <f t="shared" si="100"/>
        <v>#N/A</v>
      </c>
      <c r="C2361" s="198" t="e">
        <f t="shared" si="101"/>
        <v>#N/A</v>
      </c>
      <c r="D2361" s="526" t="e">
        <v>#N/A</v>
      </c>
      <c r="E2361" s="526" t="e">
        <v>#N/A</v>
      </c>
      <c r="F2361" s="526" t="e">
        <v>#N/A</v>
      </c>
      <c r="G2361" s="526" t="e">
        <v>#N/A</v>
      </c>
      <c r="H2361" s="412" t="e">
        <v>#N/A</v>
      </c>
      <c r="I2361" s="411" t="e">
        <v>#N/A</v>
      </c>
      <c r="J2361" s="411" t="e">
        <v>#N/A</v>
      </c>
      <c r="K2361" s="411" t="e">
        <v>#N/A</v>
      </c>
      <c r="L2361" s="526" t="e">
        <v>#N/A</v>
      </c>
    </row>
    <row r="2362" spans="1:12" ht="15" x14ac:dyDescent="0.25">
      <c r="A2362">
        <v>86288</v>
      </c>
      <c r="B2362" t="e">
        <f t="shared" si="100"/>
        <v>#N/A</v>
      </c>
      <c r="C2362" s="198" t="e">
        <f t="shared" si="101"/>
        <v>#N/A</v>
      </c>
      <c r="D2362" s="526" t="e">
        <v>#N/A</v>
      </c>
      <c r="E2362" s="526" t="e">
        <v>#N/A</v>
      </c>
      <c r="F2362" s="526" t="e">
        <v>#N/A</v>
      </c>
      <c r="G2362" s="526" t="e">
        <v>#N/A</v>
      </c>
      <c r="H2362" s="412" t="e">
        <v>#N/A</v>
      </c>
      <c r="I2362" s="411" t="e">
        <v>#N/A</v>
      </c>
      <c r="J2362" s="411" t="e">
        <v>#N/A</v>
      </c>
      <c r="K2362" s="411" t="e">
        <v>#N/A</v>
      </c>
      <c r="L2362" s="526" t="e">
        <v>#N/A</v>
      </c>
    </row>
    <row r="2363" spans="1:12" ht="15" x14ac:dyDescent="0.25">
      <c r="A2363">
        <v>86276</v>
      </c>
      <c r="B2363" t="e">
        <f t="shared" si="100"/>
        <v>#N/A</v>
      </c>
      <c r="C2363" s="198" t="e">
        <f t="shared" si="101"/>
        <v>#N/A</v>
      </c>
      <c r="D2363" s="526" t="e">
        <v>#N/A</v>
      </c>
      <c r="E2363" s="526" t="e">
        <v>#N/A</v>
      </c>
      <c r="F2363" s="526" t="e">
        <v>#N/A</v>
      </c>
      <c r="G2363" s="526" t="e">
        <v>#N/A</v>
      </c>
      <c r="H2363" s="412" t="e">
        <v>#N/A</v>
      </c>
      <c r="I2363" s="411" t="e">
        <v>#N/A</v>
      </c>
      <c r="J2363" s="411" t="e">
        <v>#N/A</v>
      </c>
      <c r="K2363" s="411" t="e">
        <v>#N/A</v>
      </c>
      <c r="L2363" s="526" t="e">
        <v>#N/A</v>
      </c>
    </row>
    <row r="2364" spans="1:12" ht="15" x14ac:dyDescent="0.25">
      <c r="A2364">
        <v>86289</v>
      </c>
      <c r="B2364" t="e">
        <f t="shared" ref="B2364:B2390" si="102">IF($A$2=1,D2364,IF($A$2=2,F2364,IF($A$2=3,G2364,IF($A$2=4,E2364,"zadat jazyk"))))</f>
        <v>#N/A</v>
      </c>
      <c r="C2364" s="198" t="e">
        <f t="shared" ref="C2364:C2390" si="103">IF($A$2=1,H2364,IF($A$2=2,I2364,IF($A$2=3,J2364,IF($A$2=4,K2364,"zadat jazyk"))))</f>
        <v>#N/A</v>
      </c>
      <c r="D2364" s="526" t="e">
        <v>#N/A</v>
      </c>
      <c r="E2364" s="526" t="e">
        <v>#N/A</v>
      </c>
      <c r="F2364" s="526" t="e">
        <v>#N/A</v>
      </c>
      <c r="G2364" s="526" t="e">
        <v>#N/A</v>
      </c>
      <c r="H2364" s="412" t="e">
        <v>#N/A</v>
      </c>
      <c r="I2364" s="411" t="e">
        <v>#N/A</v>
      </c>
      <c r="J2364" s="411" t="e">
        <v>#N/A</v>
      </c>
      <c r="K2364" s="411" t="e">
        <v>#N/A</v>
      </c>
      <c r="L2364" s="526" t="e">
        <v>#N/A</v>
      </c>
    </row>
    <row r="2365" spans="1:12" ht="15" x14ac:dyDescent="0.25">
      <c r="A2365">
        <v>86290</v>
      </c>
      <c r="B2365" t="e">
        <f t="shared" si="102"/>
        <v>#N/A</v>
      </c>
      <c r="C2365" s="198" t="e">
        <f t="shared" si="103"/>
        <v>#N/A</v>
      </c>
      <c r="D2365" s="526" t="e">
        <v>#N/A</v>
      </c>
      <c r="E2365" s="526" t="e">
        <v>#N/A</v>
      </c>
      <c r="F2365" s="526" t="e">
        <v>#N/A</v>
      </c>
      <c r="G2365" s="526" t="e">
        <v>#N/A</v>
      </c>
      <c r="H2365" s="412" t="e">
        <v>#N/A</v>
      </c>
      <c r="I2365" s="411" t="e">
        <v>#N/A</v>
      </c>
      <c r="J2365" s="411" t="e">
        <v>#N/A</v>
      </c>
      <c r="K2365" s="411" t="e">
        <v>#N/A</v>
      </c>
      <c r="L2365" s="526" t="e">
        <v>#N/A</v>
      </c>
    </row>
    <row r="2366" spans="1:12" ht="15" x14ac:dyDescent="0.25">
      <c r="A2366">
        <v>86291</v>
      </c>
      <c r="B2366" t="e">
        <f t="shared" si="102"/>
        <v>#N/A</v>
      </c>
      <c r="C2366" s="198" t="e">
        <f t="shared" si="103"/>
        <v>#N/A</v>
      </c>
      <c r="D2366" s="526" t="e">
        <v>#N/A</v>
      </c>
      <c r="E2366" s="526" t="e">
        <v>#N/A</v>
      </c>
      <c r="F2366" s="526" t="e">
        <v>#N/A</v>
      </c>
      <c r="G2366" s="526" t="e">
        <v>#N/A</v>
      </c>
      <c r="H2366" s="412" t="e">
        <v>#N/A</v>
      </c>
      <c r="I2366" s="411" t="e">
        <v>#N/A</v>
      </c>
      <c r="J2366" s="411" t="e">
        <v>#N/A</v>
      </c>
      <c r="K2366" s="411" t="e">
        <v>#N/A</v>
      </c>
      <c r="L2366" s="526" t="e">
        <v>#N/A</v>
      </c>
    </row>
    <row r="2367" spans="1:12" ht="15" x14ac:dyDescent="0.25">
      <c r="A2367">
        <v>86292</v>
      </c>
      <c r="B2367" t="e">
        <f t="shared" si="102"/>
        <v>#N/A</v>
      </c>
      <c r="C2367" s="198" t="e">
        <f t="shared" si="103"/>
        <v>#N/A</v>
      </c>
      <c r="D2367" s="526" t="e">
        <v>#N/A</v>
      </c>
      <c r="E2367" s="526" t="e">
        <v>#N/A</v>
      </c>
      <c r="F2367" s="526" t="e">
        <v>#N/A</v>
      </c>
      <c r="G2367" s="526" t="e">
        <v>#N/A</v>
      </c>
      <c r="H2367" s="412" t="e">
        <v>#N/A</v>
      </c>
      <c r="I2367" s="411" t="e">
        <v>#N/A</v>
      </c>
      <c r="J2367" s="411" t="e">
        <v>#N/A</v>
      </c>
      <c r="K2367" s="411" t="e">
        <v>#N/A</v>
      </c>
      <c r="L2367" s="526" t="e">
        <v>#N/A</v>
      </c>
    </row>
    <row r="2368" spans="1:12" ht="15" x14ac:dyDescent="0.25">
      <c r="A2368">
        <v>86299</v>
      </c>
      <c r="B2368" t="e">
        <f t="shared" si="102"/>
        <v>#N/A</v>
      </c>
      <c r="C2368" s="198" t="e">
        <f t="shared" si="103"/>
        <v>#N/A</v>
      </c>
      <c r="D2368" s="526" t="e">
        <v>#N/A</v>
      </c>
      <c r="E2368" s="526" t="e">
        <v>#N/A</v>
      </c>
      <c r="F2368" s="526" t="e">
        <v>#N/A</v>
      </c>
      <c r="G2368" s="526" t="e">
        <v>#N/A</v>
      </c>
      <c r="H2368" s="412" t="e">
        <v>#N/A</v>
      </c>
      <c r="I2368" s="411" t="e">
        <v>#N/A</v>
      </c>
      <c r="J2368" s="411" t="e">
        <v>#N/A</v>
      </c>
      <c r="K2368" s="411" t="e">
        <v>#N/A</v>
      </c>
      <c r="L2368" s="526" t="e">
        <v>#N/A</v>
      </c>
    </row>
    <row r="2369" spans="1:12" ht="15" x14ac:dyDescent="0.25">
      <c r="A2369">
        <v>181372</v>
      </c>
      <c r="B2369" t="e">
        <f t="shared" si="102"/>
        <v>#N/A</v>
      </c>
      <c r="C2369" s="198" t="e">
        <f t="shared" si="103"/>
        <v>#N/A</v>
      </c>
      <c r="D2369" s="526" t="e">
        <v>#N/A</v>
      </c>
      <c r="E2369" s="526" t="e">
        <v>#N/A</v>
      </c>
      <c r="F2369" s="526" t="e">
        <v>#N/A</v>
      </c>
      <c r="G2369" s="526" t="e">
        <v>#N/A</v>
      </c>
      <c r="H2369" s="412" t="e">
        <v>#N/A</v>
      </c>
      <c r="I2369" s="411" t="e">
        <v>#N/A</v>
      </c>
      <c r="J2369" s="411" t="e">
        <v>#N/A</v>
      </c>
      <c r="K2369" s="411" t="e">
        <v>#N/A</v>
      </c>
      <c r="L2369" s="526" t="e">
        <v>#N/A</v>
      </c>
    </row>
    <row r="2370" spans="1:12" ht="15" x14ac:dyDescent="0.25">
      <c r="A2370">
        <v>181374</v>
      </c>
      <c r="B2370" t="e">
        <f t="shared" si="102"/>
        <v>#N/A</v>
      </c>
      <c r="C2370" s="198" t="e">
        <f t="shared" si="103"/>
        <v>#N/A</v>
      </c>
      <c r="D2370" s="526" t="e">
        <v>#N/A</v>
      </c>
      <c r="E2370" s="526" t="e">
        <v>#N/A</v>
      </c>
      <c r="F2370" s="526" t="e">
        <v>#N/A</v>
      </c>
      <c r="G2370" s="526" t="e">
        <v>#N/A</v>
      </c>
      <c r="H2370" s="412" t="e">
        <v>#N/A</v>
      </c>
      <c r="I2370" s="411" t="e">
        <v>#N/A</v>
      </c>
      <c r="J2370" s="411" t="e">
        <v>#N/A</v>
      </c>
      <c r="K2370" s="411" t="e">
        <v>#N/A</v>
      </c>
      <c r="L2370" s="526" t="e">
        <v>#N/A</v>
      </c>
    </row>
    <row r="2371" spans="1:12" ht="15" x14ac:dyDescent="0.25">
      <c r="A2371">
        <v>183483</v>
      </c>
      <c r="B2371" t="e">
        <f t="shared" si="102"/>
        <v>#N/A</v>
      </c>
      <c r="C2371" s="198" t="e">
        <f t="shared" si="103"/>
        <v>#N/A</v>
      </c>
      <c r="D2371" s="526" t="e">
        <v>#N/A</v>
      </c>
      <c r="E2371" s="526" t="e">
        <v>#N/A</v>
      </c>
      <c r="F2371" s="526" t="e">
        <v>#N/A</v>
      </c>
      <c r="G2371" s="526" t="e">
        <v>#N/A</v>
      </c>
      <c r="H2371" s="412" t="e">
        <v>#N/A</v>
      </c>
      <c r="I2371" s="411" t="e">
        <v>#N/A</v>
      </c>
      <c r="J2371" s="411" t="e">
        <v>#N/A</v>
      </c>
      <c r="K2371" s="411" t="e">
        <v>#N/A</v>
      </c>
      <c r="L2371" s="526" t="e">
        <v>#N/A</v>
      </c>
    </row>
    <row r="2372" spans="1:12" ht="15" x14ac:dyDescent="0.25">
      <c r="A2372">
        <v>183533</v>
      </c>
      <c r="B2372" t="e">
        <f t="shared" si="102"/>
        <v>#N/A</v>
      </c>
      <c r="C2372" s="198" t="e">
        <f t="shared" si="103"/>
        <v>#N/A</v>
      </c>
      <c r="D2372" s="526" t="e">
        <v>#N/A</v>
      </c>
      <c r="E2372" s="526" t="e">
        <v>#N/A</v>
      </c>
      <c r="F2372" s="526" t="e">
        <v>#N/A</v>
      </c>
      <c r="G2372" s="526" t="e">
        <v>#N/A</v>
      </c>
      <c r="H2372" s="412" t="e">
        <v>#N/A</v>
      </c>
      <c r="I2372" s="411" t="e">
        <v>#N/A</v>
      </c>
      <c r="J2372" s="411" t="e">
        <v>#N/A</v>
      </c>
      <c r="K2372" s="411" t="e">
        <v>#N/A</v>
      </c>
      <c r="L2372" s="526" t="e">
        <v>#N/A</v>
      </c>
    </row>
    <row r="2373" spans="1:12" ht="15" x14ac:dyDescent="0.25">
      <c r="A2373">
        <v>183643</v>
      </c>
      <c r="B2373" t="e">
        <f t="shared" si="102"/>
        <v>#N/A</v>
      </c>
      <c r="C2373" s="198" t="e">
        <f t="shared" si="103"/>
        <v>#N/A</v>
      </c>
      <c r="D2373" s="526" t="e">
        <v>#N/A</v>
      </c>
      <c r="E2373" s="526" t="e">
        <v>#N/A</v>
      </c>
      <c r="F2373" s="526" t="e">
        <v>#N/A</v>
      </c>
      <c r="G2373" s="526" t="e">
        <v>#N/A</v>
      </c>
      <c r="H2373" s="412" t="e">
        <v>#N/A</v>
      </c>
      <c r="I2373" s="411" t="e">
        <v>#N/A</v>
      </c>
      <c r="J2373" s="411" t="e">
        <v>#N/A</v>
      </c>
      <c r="K2373" s="411" t="e">
        <v>#N/A</v>
      </c>
      <c r="L2373" s="526" t="e">
        <v>#N/A</v>
      </c>
    </row>
    <row r="2374" spans="1:12" ht="15" x14ac:dyDescent="0.25">
      <c r="A2374">
        <v>183720</v>
      </c>
      <c r="B2374" t="e">
        <f t="shared" si="102"/>
        <v>#N/A</v>
      </c>
      <c r="C2374" s="198" t="e">
        <f t="shared" si="103"/>
        <v>#N/A</v>
      </c>
      <c r="D2374" s="526" t="e">
        <v>#N/A</v>
      </c>
      <c r="E2374" s="526" t="e">
        <v>#N/A</v>
      </c>
      <c r="F2374" s="526" t="e">
        <v>#N/A</v>
      </c>
      <c r="G2374" s="526" t="e">
        <v>#N/A</v>
      </c>
      <c r="H2374" s="412" t="e">
        <v>#N/A</v>
      </c>
      <c r="I2374" s="411" t="e">
        <v>#N/A</v>
      </c>
      <c r="J2374" s="411" t="e">
        <v>#N/A</v>
      </c>
      <c r="K2374" s="411" t="e">
        <v>#N/A</v>
      </c>
      <c r="L2374" s="526" t="e">
        <v>#N/A</v>
      </c>
    </row>
    <row r="2375" spans="1:12" ht="15" x14ac:dyDescent="0.25">
      <c r="A2375">
        <v>231537</v>
      </c>
      <c r="B2375" t="e">
        <f t="shared" si="102"/>
        <v>#N/A</v>
      </c>
      <c r="C2375" s="198" t="e">
        <f t="shared" si="103"/>
        <v>#N/A</v>
      </c>
      <c r="D2375" s="526" t="e">
        <v>#N/A</v>
      </c>
      <c r="E2375" s="526" t="e">
        <v>#N/A</v>
      </c>
      <c r="F2375" s="526" t="e">
        <v>#N/A</v>
      </c>
      <c r="G2375" s="526" t="e">
        <v>#N/A</v>
      </c>
      <c r="H2375" s="412" t="e">
        <v>#N/A</v>
      </c>
      <c r="I2375" s="411" t="e">
        <v>#N/A</v>
      </c>
      <c r="J2375" s="411" t="e">
        <v>#N/A</v>
      </c>
      <c r="K2375" s="411" t="e">
        <v>#N/A</v>
      </c>
      <c r="L2375" s="526" t="e">
        <v>#N/A</v>
      </c>
    </row>
    <row r="2376" spans="1:12" ht="15" x14ac:dyDescent="0.25">
      <c r="A2376">
        <v>231606</v>
      </c>
      <c r="B2376" t="e">
        <f t="shared" si="102"/>
        <v>#N/A</v>
      </c>
      <c r="C2376" s="198" t="e">
        <f t="shared" si="103"/>
        <v>#N/A</v>
      </c>
      <c r="D2376" s="526" t="e">
        <v>#N/A</v>
      </c>
      <c r="E2376" s="526" t="e">
        <v>#N/A</v>
      </c>
      <c r="F2376" s="526" t="e">
        <v>#N/A</v>
      </c>
      <c r="G2376" s="526" t="e">
        <v>#N/A</v>
      </c>
      <c r="H2376" s="412" t="e">
        <v>#N/A</v>
      </c>
      <c r="I2376" s="411" t="e">
        <v>#N/A</v>
      </c>
      <c r="J2376" s="411" t="e">
        <v>#N/A</v>
      </c>
      <c r="K2376" s="411" t="e">
        <v>#N/A</v>
      </c>
      <c r="L2376" s="526" t="e">
        <v>#N/A</v>
      </c>
    </row>
    <row r="2377" spans="1:12" ht="15" x14ac:dyDescent="0.25">
      <c r="A2377">
        <v>231735</v>
      </c>
      <c r="B2377" t="e">
        <f t="shared" si="102"/>
        <v>#N/A</v>
      </c>
      <c r="C2377" s="198" t="e">
        <f t="shared" si="103"/>
        <v>#N/A</v>
      </c>
      <c r="D2377" s="526" t="e">
        <v>#N/A</v>
      </c>
      <c r="E2377" s="526" t="e">
        <v>#N/A</v>
      </c>
      <c r="F2377" s="526" t="e">
        <v>#N/A</v>
      </c>
      <c r="G2377" s="526" t="e">
        <v>#N/A</v>
      </c>
      <c r="H2377" s="412" t="e">
        <v>#N/A</v>
      </c>
      <c r="I2377" s="411" t="e">
        <v>#N/A</v>
      </c>
      <c r="J2377" s="411" t="e">
        <v>#N/A</v>
      </c>
      <c r="K2377" s="411" t="e">
        <v>#N/A</v>
      </c>
      <c r="L2377" s="526" t="e">
        <v>#N/A</v>
      </c>
    </row>
    <row r="2378" spans="1:12" ht="15" x14ac:dyDescent="0.25">
      <c r="A2378">
        <v>231738</v>
      </c>
      <c r="B2378" t="e">
        <f t="shared" si="102"/>
        <v>#N/A</v>
      </c>
      <c r="C2378" s="198" t="e">
        <f t="shared" si="103"/>
        <v>#N/A</v>
      </c>
      <c r="D2378" s="526" t="e">
        <v>#N/A</v>
      </c>
      <c r="E2378" s="526" t="e">
        <v>#N/A</v>
      </c>
      <c r="F2378" s="526" t="e">
        <v>#N/A</v>
      </c>
      <c r="G2378" s="526" t="e">
        <v>#N/A</v>
      </c>
      <c r="H2378" s="412" t="e">
        <v>#N/A</v>
      </c>
      <c r="I2378" s="411" t="e">
        <v>#N/A</v>
      </c>
      <c r="J2378" s="411" t="e">
        <v>#N/A</v>
      </c>
      <c r="K2378" s="411" t="e">
        <v>#N/A</v>
      </c>
      <c r="L2378" s="526" t="e">
        <v>#N/A</v>
      </c>
    </row>
    <row r="2379" spans="1:12" ht="15" x14ac:dyDescent="0.25">
      <c r="A2379">
        <v>230010</v>
      </c>
      <c r="B2379" t="e">
        <f t="shared" si="102"/>
        <v>#N/A</v>
      </c>
      <c r="C2379" s="198" t="e">
        <f t="shared" si="103"/>
        <v>#N/A</v>
      </c>
      <c r="D2379" s="526" t="e">
        <v>#N/A</v>
      </c>
      <c r="E2379" s="526" t="e">
        <v>#N/A</v>
      </c>
      <c r="F2379" s="526" t="e">
        <v>#N/A</v>
      </c>
      <c r="G2379" s="526" t="e">
        <v>#N/A</v>
      </c>
      <c r="H2379" s="412" t="e">
        <v>#N/A</v>
      </c>
      <c r="I2379" s="411" t="e">
        <v>#N/A</v>
      </c>
      <c r="J2379" s="411" t="e">
        <v>#N/A</v>
      </c>
      <c r="K2379" s="411" t="e">
        <v>#N/A</v>
      </c>
      <c r="L2379" s="526" t="e">
        <v>#N/A</v>
      </c>
    </row>
    <row r="2380" spans="1:12" ht="15" x14ac:dyDescent="0.25">
      <c r="A2380">
        <v>230011</v>
      </c>
      <c r="B2380" t="e">
        <f t="shared" si="102"/>
        <v>#N/A</v>
      </c>
      <c r="C2380" s="198" t="e">
        <f t="shared" si="103"/>
        <v>#N/A</v>
      </c>
      <c r="D2380" s="526" t="e">
        <v>#N/A</v>
      </c>
      <c r="E2380" s="526" t="e">
        <v>#N/A</v>
      </c>
      <c r="F2380" s="526" t="e">
        <v>#N/A</v>
      </c>
      <c r="G2380" s="526" t="e">
        <v>#N/A</v>
      </c>
      <c r="H2380" s="412" t="e">
        <v>#N/A</v>
      </c>
      <c r="I2380" s="411" t="e">
        <v>#N/A</v>
      </c>
      <c r="J2380" s="411" t="e">
        <v>#N/A</v>
      </c>
      <c r="K2380" s="411" t="e">
        <v>#N/A</v>
      </c>
      <c r="L2380" s="526" t="e">
        <v>#N/A</v>
      </c>
    </row>
    <row r="2381" spans="1:12" ht="15" x14ac:dyDescent="0.25">
      <c r="A2381">
        <v>230013</v>
      </c>
      <c r="B2381" t="e">
        <f t="shared" si="102"/>
        <v>#N/A</v>
      </c>
      <c r="C2381" s="198" t="e">
        <f t="shared" si="103"/>
        <v>#N/A</v>
      </c>
      <c r="D2381" s="526" t="e">
        <v>#N/A</v>
      </c>
      <c r="E2381" s="526" t="e">
        <v>#N/A</v>
      </c>
      <c r="F2381" s="526" t="e">
        <v>#N/A</v>
      </c>
      <c r="G2381" s="526" t="e">
        <v>#N/A</v>
      </c>
      <c r="H2381" s="412" t="e">
        <v>#N/A</v>
      </c>
      <c r="I2381" s="411" t="e">
        <v>#N/A</v>
      </c>
      <c r="J2381" s="411" t="e">
        <v>#N/A</v>
      </c>
      <c r="K2381" s="411" t="e">
        <v>#N/A</v>
      </c>
      <c r="L2381" s="526" t="e">
        <v>#N/A</v>
      </c>
    </row>
    <row r="2382" spans="1:12" ht="15" x14ac:dyDescent="0.25">
      <c r="A2382">
        <v>230037</v>
      </c>
      <c r="B2382" t="e">
        <f t="shared" si="102"/>
        <v>#N/A</v>
      </c>
      <c r="C2382" s="198" t="e">
        <f t="shared" si="103"/>
        <v>#N/A</v>
      </c>
      <c r="D2382" s="526" t="e">
        <v>#N/A</v>
      </c>
      <c r="E2382" s="526" t="e">
        <v>#N/A</v>
      </c>
      <c r="F2382" s="526" t="e">
        <v>#N/A</v>
      </c>
      <c r="G2382" s="526" t="e">
        <v>#N/A</v>
      </c>
      <c r="H2382" s="412" t="e">
        <v>#N/A</v>
      </c>
      <c r="I2382" s="411" t="e">
        <v>#N/A</v>
      </c>
      <c r="J2382" s="411" t="e">
        <v>#N/A</v>
      </c>
      <c r="K2382" s="411" t="e">
        <v>#N/A</v>
      </c>
      <c r="L2382" s="526" t="e">
        <v>#N/A</v>
      </c>
    </row>
    <row r="2383" spans="1:12" ht="15" x14ac:dyDescent="0.25">
      <c r="A2383">
        <v>230041</v>
      </c>
      <c r="B2383" t="e">
        <f t="shared" si="102"/>
        <v>#N/A</v>
      </c>
      <c r="C2383" s="198" t="e">
        <f t="shared" si="103"/>
        <v>#N/A</v>
      </c>
      <c r="D2383" s="526" t="e">
        <v>#N/A</v>
      </c>
      <c r="E2383" s="526" t="e">
        <v>#N/A</v>
      </c>
      <c r="F2383" s="526" t="e">
        <v>#N/A</v>
      </c>
      <c r="G2383" s="526" t="e">
        <v>#N/A</v>
      </c>
      <c r="H2383" s="412" t="e">
        <v>#N/A</v>
      </c>
      <c r="I2383" s="411" t="e">
        <v>#N/A</v>
      </c>
      <c r="J2383" s="411" t="e">
        <v>#N/A</v>
      </c>
      <c r="K2383" s="411" t="e">
        <v>#N/A</v>
      </c>
      <c r="L2383" s="526" t="e">
        <v>#N/A</v>
      </c>
    </row>
    <row r="2384" spans="1:12" ht="15" x14ac:dyDescent="0.25">
      <c r="A2384">
        <v>230043</v>
      </c>
      <c r="B2384" t="e">
        <f t="shared" si="102"/>
        <v>#N/A</v>
      </c>
      <c r="C2384" s="198" t="e">
        <f t="shared" si="103"/>
        <v>#N/A</v>
      </c>
      <c r="D2384" s="526" t="e">
        <v>#N/A</v>
      </c>
      <c r="E2384" s="526" t="e">
        <v>#N/A</v>
      </c>
      <c r="F2384" s="526" t="e">
        <v>#N/A</v>
      </c>
      <c r="G2384" s="526" t="e">
        <v>#N/A</v>
      </c>
      <c r="H2384" s="412" t="e">
        <v>#N/A</v>
      </c>
      <c r="I2384" s="411" t="e">
        <v>#N/A</v>
      </c>
      <c r="J2384" s="411" t="e">
        <v>#N/A</v>
      </c>
      <c r="K2384" s="411" t="e">
        <v>#N/A</v>
      </c>
      <c r="L2384" s="526" t="e">
        <v>#N/A</v>
      </c>
    </row>
    <row r="2385" spans="1:12" ht="15" x14ac:dyDescent="0.25">
      <c r="A2385">
        <v>230044</v>
      </c>
      <c r="B2385" t="e">
        <f t="shared" si="102"/>
        <v>#N/A</v>
      </c>
      <c r="C2385" s="198" t="e">
        <f t="shared" si="103"/>
        <v>#N/A</v>
      </c>
      <c r="D2385" s="526" t="e">
        <v>#N/A</v>
      </c>
      <c r="E2385" s="526" t="e">
        <v>#N/A</v>
      </c>
      <c r="F2385" s="526" t="e">
        <v>#N/A</v>
      </c>
      <c r="G2385" s="526" t="e">
        <v>#N/A</v>
      </c>
      <c r="H2385" s="412" t="e">
        <v>#N/A</v>
      </c>
      <c r="I2385" s="411" t="e">
        <v>#N/A</v>
      </c>
      <c r="J2385" s="411" t="e">
        <v>#N/A</v>
      </c>
      <c r="K2385" s="411" t="e">
        <v>#N/A</v>
      </c>
      <c r="L2385" s="526" t="e">
        <v>#N/A</v>
      </c>
    </row>
    <row r="2386" spans="1:12" ht="15" x14ac:dyDescent="0.25">
      <c r="A2386">
        <v>230046</v>
      </c>
      <c r="B2386" t="e">
        <f t="shared" si="102"/>
        <v>#N/A</v>
      </c>
      <c r="C2386" s="198" t="e">
        <f t="shared" si="103"/>
        <v>#N/A</v>
      </c>
      <c r="D2386" s="526" t="e">
        <v>#N/A</v>
      </c>
      <c r="E2386" s="526" t="e">
        <v>#N/A</v>
      </c>
      <c r="F2386" s="526" t="e">
        <v>#N/A</v>
      </c>
      <c r="G2386" s="526" t="e">
        <v>#N/A</v>
      </c>
      <c r="H2386" s="412" t="e">
        <v>#N/A</v>
      </c>
      <c r="I2386" s="411" t="e">
        <v>#N/A</v>
      </c>
      <c r="J2386" s="411" t="e">
        <v>#N/A</v>
      </c>
      <c r="K2386" s="411" t="e">
        <v>#N/A</v>
      </c>
      <c r="L2386" s="526" t="e">
        <v>#N/A</v>
      </c>
    </row>
    <row r="2387" spans="1:12" ht="15" x14ac:dyDescent="0.25">
      <c r="A2387">
        <v>230053</v>
      </c>
      <c r="B2387" t="e">
        <f t="shared" si="102"/>
        <v>#N/A</v>
      </c>
      <c r="C2387" s="198" t="e">
        <f t="shared" si="103"/>
        <v>#N/A</v>
      </c>
      <c r="D2387" s="526" t="e">
        <v>#N/A</v>
      </c>
      <c r="E2387" s="526" t="e">
        <v>#N/A</v>
      </c>
      <c r="F2387" s="526" t="e">
        <v>#N/A</v>
      </c>
      <c r="G2387" s="526" t="e">
        <v>#N/A</v>
      </c>
      <c r="H2387" s="412" t="e">
        <v>#N/A</v>
      </c>
      <c r="I2387" s="411" t="e">
        <v>#N/A</v>
      </c>
      <c r="J2387" s="411" t="e">
        <v>#N/A</v>
      </c>
      <c r="K2387" s="411" t="e">
        <v>#N/A</v>
      </c>
      <c r="L2387" s="526" t="e">
        <v>#N/A</v>
      </c>
    </row>
    <row r="2388" spans="1:12" ht="15" x14ac:dyDescent="0.25">
      <c r="A2388">
        <v>269770</v>
      </c>
      <c r="B2388" t="e">
        <f t="shared" si="102"/>
        <v>#N/A</v>
      </c>
      <c r="C2388" s="198" t="e">
        <f t="shared" si="103"/>
        <v>#N/A</v>
      </c>
      <c r="D2388" s="526" t="e">
        <v>#N/A</v>
      </c>
      <c r="E2388" s="526" t="e">
        <v>#N/A</v>
      </c>
      <c r="F2388" s="526" t="e">
        <v>#N/A</v>
      </c>
      <c r="G2388" s="526" t="e">
        <v>#N/A</v>
      </c>
      <c r="H2388" s="412" t="e">
        <v>#N/A</v>
      </c>
      <c r="I2388" s="411" t="e">
        <v>#N/A</v>
      </c>
      <c r="J2388" s="411" t="e">
        <v>#N/A</v>
      </c>
      <c r="K2388" s="411" t="e">
        <v>#N/A</v>
      </c>
      <c r="L2388" s="526" t="e">
        <v>#N/A</v>
      </c>
    </row>
    <row r="2389" spans="1:12" ht="15" x14ac:dyDescent="0.25">
      <c r="A2389">
        <v>269805</v>
      </c>
      <c r="B2389" t="e">
        <f t="shared" si="102"/>
        <v>#N/A</v>
      </c>
      <c r="C2389" s="198" t="e">
        <f t="shared" si="103"/>
        <v>#N/A</v>
      </c>
      <c r="D2389" s="526" t="e">
        <v>#N/A</v>
      </c>
      <c r="E2389" s="526" t="e">
        <v>#N/A</v>
      </c>
      <c r="F2389" s="526" t="e">
        <v>#N/A</v>
      </c>
      <c r="G2389" s="526" t="e">
        <v>#N/A</v>
      </c>
      <c r="H2389" s="412" t="e">
        <v>#N/A</v>
      </c>
      <c r="I2389" s="411" t="e">
        <v>#N/A</v>
      </c>
      <c r="J2389" s="411" t="e">
        <v>#N/A</v>
      </c>
      <c r="K2389" s="411" t="e">
        <v>#N/A</v>
      </c>
      <c r="L2389" s="526" t="e">
        <v>#N/A</v>
      </c>
    </row>
    <row r="2390" spans="1:12" ht="15" x14ac:dyDescent="0.25">
      <c r="A2390">
        <v>269831</v>
      </c>
      <c r="B2390" t="e">
        <f t="shared" si="102"/>
        <v>#N/A</v>
      </c>
      <c r="C2390" s="198" t="e">
        <f t="shared" si="103"/>
        <v>#N/A</v>
      </c>
      <c r="D2390" s="526" t="e">
        <v>#N/A</v>
      </c>
      <c r="E2390" s="526" t="e">
        <v>#N/A</v>
      </c>
      <c r="F2390" s="526" t="e">
        <v>#N/A</v>
      </c>
      <c r="G2390" s="526" t="e">
        <v>#N/A</v>
      </c>
      <c r="H2390" s="412" t="e">
        <v>#N/A</v>
      </c>
      <c r="I2390" s="411" t="e">
        <v>#N/A</v>
      </c>
      <c r="J2390" s="411" t="e">
        <v>#N/A</v>
      </c>
      <c r="K2390" s="411" t="e">
        <v>#N/A</v>
      </c>
      <c r="L2390" s="526" t="e">
        <v>#N/A</v>
      </c>
    </row>
    <row r="2391" spans="1:12" ht="15" x14ac:dyDescent="0.25">
      <c r="A2391">
        <v>269889</v>
      </c>
      <c r="B2391" t="e">
        <f t="shared" ref="B2391:B2411" si="104">IF($A$2=1,D2391,IF($A$2=2,F2391,IF($A$2=3,G2391,IF($A$2=4,E2391,"zadat jazyk"))))</f>
        <v>#N/A</v>
      </c>
      <c r="C2391" s="198" t="e">
        <f t="shared" ref="C2391:C2411" si="105">IF($A$2=1,H2391,IF($A$2=2,I2391,IF($A$2=3,J2391,IF($A$2=4,K2391,"zadat jazyk"))))</f>
        <v>#N/A</v>
      </c>
      <c r="D2391" s="526" t="e">
        <v>#N/A</v>
      </c>
      <c r="E2391" s="526" t="e">
        <v>#N/A</v>
      </c>
      <c r="F2391" s="526" t="e">
        <v>#N/A</v>
      </c>
      <c r="G2391" s="526" t="e">
        <v>#N/A</v>
      </c>
      <c r="H2391" s="412" t="e">
        <v>#N/A</v>
      </c>
      <c r="I2391" s="411" t="e">
        <v>#N/A</v>
      </c>
      <c r="J2391" s="411" t="e">
        <v>#N/A</v>
      </c>
      <c r="K2391" s="411" t="e">
        <v>#N/A</v>
      </c>
      <c r="L2391" s="526" t="e">
        <v>#N/A</v>
      </c>
    </row>
    <row r="2392" spans="1:12" ht="15" x14ac:dyDescent="0.25">
      <c r="A2392">
        <v>269890</v>
      </c>
      <c r="B2392" t="e">
        <f t="shared" si="104"/>
        <v>#N/A</v>
      </c>
      <c r="C2392" s="198" t="e">
        <f t="shared" si="105"/>
        <v>#N/A</v>
      </c>
      <c r="D2392" s="526" t="e">
        <v>#N/A</v>
      </c>
      <c r="E2392" s="526" t="e">
        <v>#N/A</v>
      </c>
      <c r="F2392" s="526" t="e">
        <v>#N/A</v>
      </c>
      <c r="G2392" s="526" t="e">
        <v>#N/A</v>
      </c>
      <c r="H2392" s="412" t="e">
        <v>#N/A</v>
      </c>
      <c r="I2392" s="411" t="e">
        <v>#N/A</v>
      </c>
      <c r="J2392" s="411" t="e">
        <v>#N/A</v>
      </c>
      <c r="K2392" s="411" t="e">
        <v>#N/A</v>
      </c>
      <c r="L2392" s="526" t="e">
        <v>#N/A</v>
      </c>
    </row>
    <row r="2393" spans="1:12" ht="15" x14ac:dyDescent="0.25">
      <c r="A2393">
        <v>269891</v>
      </c>
      <c r="B2393" t="e">
        <f t="shared" si="104"/>
        <v>#N/A</v>
      </c>
      <c r="C2393" s="198" t="e">
        <f t="shared" si="105"/>
        <v>#N/A</v>
      </c>
      <c r="D2393" s="526" t="e">
        <v>#N/A</v>
      </c>
      <c r="E2393" s="526" t="e">
        <v>#N/A</v>
      </c>
      <c r="F2393" s="526" t="e">
        <v>#N/A</v>
      </c>
      <c r="G2393" s="526" t="e">
        <v>#N/A</v>
      </c>
      <c r="H2393" s="412" t="e">
        <v>#N/A</v>
      </c>
      <c r="I2393" s="411" t="e">
        <v>#N/A</v>
      </c>
      <c r="J2393" s="411" t="e">
        <v>#N/A</v>
      </c>
      <c r="K2393" s="411" t="e">
        <v>#N/A</v>
      </c>
      <c r="L2393" s="526" t="e">
        <v>#N/A</v>
      </c>
    </row>
    <row r="2394" spans="1:12" ht="15" x14ac:dyDescent="0.25">
      <c r="A2394">
        <v>269892</v>
      </c>
      <c r="B2394" t="e">
        <f t="shared" si="104"/>
        <v>#N/A</v>
      </c>
      <c r="C2394" s="198" t="e">
        <f t="shared" si="105"/>
        <v>#N/A</v>
      </c>
      <c r="D2394" s="526" t="e">
        <v>#N/A</v>
      </c>
      <c r="E2394" s="526" t="e">
        <v>#N/A</v>
      </c>
      <c r="F2394" s="526" t="e">
        <v>#N/A</v>
      </c>
      <c r="G2394" s="526" t="e">
        <v>#N/A</v>
      </c>
      <c r="H2394" s="412" t="e">
        <v>#N/A</v>
      </c>
      <c r="I2394" s="411" t="e">
        <v>#N/A</v>
      </c>
      <c r="J2394" s="411" t="e">
        <v>#N/A</v>
      </c>
      <c r="K2394" s="411" t="e">
        <v>#N/A</v>
      </c>
      <c r="L2394" s="526" t="e">
        <v>#N/A</v>
      </c>
    </row>
    <row r="2395" spans="1:12" ht="15" x14ac:dyDescent="0.25">
      <c r="A2395">
        <v>269893</v>
      </c>
      <c r="B2395" t="e">
        <f t="shared" si="104"/>
        <v>#N/A</v>
      </c>
      <c r="C2395" s="198" t="e">
        <f t="shared" si="105"/>
        <v>#N/A</v>
      </c>
      <c r="D2395" s="526" t="e">
        <v>#N/A</v>
      </c>
      <c r="E2395" s="526" t="e">
        <v>#N/A</v>
      </c>
      <c r="F2395" s="526" t="e">
        <v>#N/A</v>
      </c>
      <c r="G2395" s="526" t="e">
        <v>#N/A</v>
      </c>
      <c r="H2395" s="412" t="e">
        <v>#N/A</v>
      </c>
      <c r="I2395" s="411" t="e">
        <v>#N/A</v>
      </c>
      <c r="J2395" s="411" t="e">
        <v>#N/A</v>
      </c>
      <c r="K2395" s="411" t="e">
        <v>#N/A</v>
      </c>
      <c r="L2395" s="526" t="e">
        <v>#N/A</v>
      </c>
    </row>
    <row r="2396" spans="1:12" ht="15" x14ac:dyDescent="0.25">
      <c r="A2396">
        <v>269894</v>
      </c>
      <c r="B2396" t="e">
        <f t="shared" si="104"/>
        <v>#N/A</v>
      </c>
      <c r="C2396" s="198" t="e">
        <f t="shared" si="105"/>
        <v>#N/A</v>
      </c>
      <c r="D2396" s="526" t="e">
        <v>#N/A</v>
      </c>
      <c r="E2396" s="526" t="e">
        <v>#N/A</v>
      </c>
      <c r="F2396" s="526" t="e">
        <v>#N/A</v>
      </c>
      <c r="G2396" s="526" t="e">
        <v>#N/A</v>
      </c>
      <c r="H2396" s="412" t="e">
        <v>#N/A</v>
      </c>
      <c r="I2396" s="411" t="e">
        <v>#N/A</v>
      </c>
      <c r="J2396" s="411" t="e">
        <v>#N/A</v>
      </c>
      <c r="K2396" s="411" t="e">
        <v>#N/A</v>
      </c>
      <c r="L2396" s="526" t="e">
        <v>#N/A</v>
      </c>
    </row>
    <row r="2397" spans="1:12" ht="15" x14ac:dyDescent="0.25">
      <c r="A2397">
        <v>269922</v>
      </c>
      <c r="B2397" t="e">
        <f t="shared" si="104"/>
        <v>#N/A</v>
      </c>
      <c r="C2397" s="198" t="e">
        <f t="shared" si="105"/>
        <v>#N/A</v>
      </c>
      <c r="D2397" s="526" t="e">
        <v>#N/A</v>
      </c>
      <c r="E2397" s="526" t="e">
        <v>#N/A</v>
      </c>
      <c r="F2397" s="526" t="e">
        <v>#N/A</v>
      </c>
      <c r="G2397" s="526" t="e">
        <v>#N/A</v>
      </c>
      <c r="H2397" s="412" t="e">
        <v>#N/A</v>
      </c>
      <c r="I2397" s="411" t="e">
        <v>#N/A</v>
      </c>
      <c r="J2397" s="411" t="e">
        <v>#N/A</v>
      </c>
      <c r="K2397" s="411" t="e">
        <v>#N/A</v>
      </c>
      <c r="L2397" s="526" t="e">
        <v>#N/A</v>
      </c>
    </row>
    <row r="2398" spans="1:12" ht="15" x14ac:dyDescent="0.25">
      <c r="A2398">
        <v>352544</v>
      </c>
      <c r="B2398" t="e">
        <f t="shared" si="104"/>
        <v>#N/A</v>
      </c>
      <c r="C2398" s="198" t="e">
        <f t="shared" si="105"/>
        <v>#N/A</v>
      </c>
      <c r="D2398" s="526" t="e">
        <v>#N/A</v>
      </c>
      <c r="E2398" s="526" t="e">
        <v>#N/A</v>
      </c>
      <c r="F2398" s="526" t="e">
        <v>#N/A</v>
      </c>
      <c r="G2398" s="526" t="e">
        <v>#N/A</v>
      </c>
      <c r="H2398" s="412" t="e">
        <v>#N/A</v>
      </c>
      <c r="I2398" s="411" t="e">
        <v>#N/A</v>
      </c>
      <c r="J2398" s="411" t="e">
        <v>#N/A</v>
      </c>
      <c r="K2398" s="411" t="e">
        <v>#N/A</v>
      </c>
      <c r="L2398" s="526" t="e">
        <v>#N/A</v>
      </c>
    </row>
    <row r="2399" spans="1:12" ht="15" x14ac:dyDescent="0.25">
      <c r="A2399">
        <v>352545</v>
      </c>
      <c r="B2399" t="e">
        <f t="shared" si="104"/>
        <v>#N/A</v>
      </c>
      <c r="C2399" s="198" t="e">
        <f t="shared" si="105"/>
        <v>#N/A</v>
      </c>
      <c r="D2399" s="526" t="e">
        <v>#N/A</v>
      </c>
      <c r="E2399" s="526" t="e">
        <v>#N/A</v>
      </c>
      <c r="F2399" s="526" t="e">
        <v>#N/A</v>
      </c>
      <c r="G2399" s="526" t="e">
        <v>#N/A</v>
      </c>
      <c r="H2399" s="412" t="e">
        <v>#N/A</v>
      </c>
      <c r="I2399" s="411" t="e">
        <v>#N/A</v>
      </c>
      <c r="J2399" s="411" t="e">
        <v>#N/A</v>
      </c>
      <c r="K2399" s="411" t="e">
        <v>#N/A</v>
      </c>
      <c r="L2399" s="526" t="e">
        <v>#N/A</v>
      </c>
    </row>
    <row r="2400" spans="1:12" ht="15" x14ac:dyDescent="0.25">
      <c r="A2400">
        <v>352546</v>
      </c>
      <c r="B2400" t="e">
        <f t="shared" si="104"/>
        <v>#N/A</v>
      </c>
      <c r="C2400" s="198" t="e">
        <f t="shared" si="105"/>
        <v>#N/A</v>
      </c>
      <c r="D2400" s="526" t="e">
        <v>#N/A</v>
      </c>
      <c r="E2400" s="526" t="e">
        <v>#N/A</v>
      </c>
      <c r="F2400" s="526" t="e">
        <v>#N/A</v>
      </c>
      <c r="G2400" s="526" t="e">
        <v>#N/A</v>
      </c>
      <c r="H2400" s="412" t="e">
        <v>#N/A</v>
      </c>
      <c r="I2400" s="411" t="e">
        <v>#N/A</v>
      </c>
      <c r="J2400" s="411" t="e">
        <v>#N/A</v>
      </c>
      <c r="K2400" s="411" t="e">
        <v>#N/A</v>
      </c>
      <c r="L2400" s="526" t="e">
        <v>#N/A</v>
      </c>
    </row>
    <row r="2401" spans="1:12" ht="15" x14ac:dyDescent="0.25">
      <c r="A2401">
        <v>132331</v>
      </c>
      <c r="B2401" t="e">
        <f t="shared" si="104"/>
        <v>#N/A</v>
      </c>
      <c r="C2401" s="198" t="e">
        <f t="shared" si="105"/>
        <v>#N/A</v>
      </c>
      <c r="D2401" s="526" t="e">
        <v>#N/A</v>
      </c>
      <c r="E2401" s="526" t="e">
        <v>#N/A</v>
      </c>
      <c r="F2401" s="526" t="e">
        <v>#N/A</v>
      </c>
      <c r="G2401" s="526" t="e">
        <v>#N/A</v>
      </c>
      <c r="H2401" s="412" t="e">
        <v>#N/A</v>
      </c>
      <c r="I2401" s="411" t="e">
        <v>#N/A</v>
      </c>
      <c r="J2401" s="411" t="e">
        <v>#N/A</v>
      </c>
      <c r="K2401" s="411" t="e">
        <v>#N/A</v>
      </c>
      <c r="L2401" s="526" t="e">
        <v>#N/A</v>
      </c>
    </row>
    <row r="2402" spans="1:12" ht="15" x14ac:dyDescent="0.25">
      <c r="A2402">
        <v>133570</v>
      </c>
      <c r="B2402" t="str">
        <f t="shared" si="104"/>
        <v>SEVROLL 222618 Wilson Držiak tyče</v>
      </c>
      <c r="C2402" s="198">
        <f t="shared" si="105"/>
        <v>2.47709</v>
      </c>
      <c r="D2402" s="526" t="s">
        <v>1727</v>
      </c>
      <c r="E2402" s="526" t="s">
        <v>2159</v>
      </c>
      <c r="F2402" s="526" t="s">
        <v>6160</v>
      </c>
      <c r="G2402" s="526" t="s">
        <v>2635</v>
      </c>
      <c r="H2402" s="412">
        <v>68.588160000000002</v>
      </c>
      <c r="I2402" s="411">
        <v>2.47709</v>
      </c>
      <c r="J2402" s="411">
        <v>8.3635999999999999</v>
      </c>
      <c r="K2402" s="411">
        <v>942.96391000000006</v>
      </c>
      <c r="L2402" s="526" t="s">
        <v>554</v>
      </c>
    </row>
    <row r="2403" spans="1:12" ht="15" x14ac:dyDescent="0.25">
      <c r="A2403">
        <v>133547</v>
      </c>
      <c r="B2403" t="str">
        <f t="shared" si="104"/>
        <v>SEVROLL 222615 Wilson nosník 2108mm strieborný</v>
      </c>
      <c r="C2403" s="198">
        <f t="shared" si="105"/>
        <v>16.15268</v>
      </c>
      <c r="D2403" s="526" t="s">
        <v>1728</v>
      </c>
      <c r="E2403" s="526" t="s">
        <v>2160</v>
      </c>
      <c r="F2403" s="526" t="s">
        <v>6161</v>
      </c>
      <c r="G2403" s="526" t="s">
        <v>6162</v>
      </c>
      <c r="H2403" s="412">
        <v>447.25196</v>
      </c>
      <c r="I2403" s="411">
        <v>16.15268</v>
      </c>
      <c r="J2403" s="411">
        <v>54.538499999999999</v>
      </c>
      <c r="K2403" s="411">
        <v>6148.9101099999998</v>
      </c>
      <c r="L2403" s="526" t="s">
        <v>554</v>
      </c>
    </row>
    <row r="2404" spans="1:12" ht="15" x14ac:dyDescent="0.25">
      <c r="A2404">
        <v>133548</v>
      </c>
      <c r="B2404" t="str">
        <f t="shared" si="104"/>
        <v>SEVROLL 222616 Wilson konzola 300mm strieborná</v>
      </c>
      <c r="C2404" s="198">
        <f t="shared" si="105"/>
        <v>3.8962500000000002</v>
      </c>
      <c r="D2404" s="526" t="s">
        <v>1729</v>
      </c>
      <c r="E2404" s="526" t="s">
        <v>2161</v>
      </c>
      <c r="F2404" s="526" t="s">
        <v>6163</v>
      </c>
      <c r="G2404" s="526" t="s">
        <v>2636</v>
      </c>
      <c r="H2404" s="412">
        <v>107.88346</v>
      </c>
      <c r="I2404" s="411">
        <v>3.8962500000000002</v>
      </c>
      <c r="J2404" s="411">
        <v>13.122199999999999</v>
      </c>
      <c r="K2404" s="411">
        <v>1483.20361</v>
      </c>
      <c r="L2404" s="526" t="s">
        <v>554</v>
      </c>
    </row>
    <row r="2405" spans="1:12" ht="15" x14ac:dyDescent="0.25">
      <c r="A2405">
        <v>133549</v>
      </c>
      <c r="B2405" t="str">
        <f t="shared" si="104"/>
        <v>SEVROLL 222617 Wilson konzola 500mm strieborná</v>
      </c>
      <c r="C2405" s="198">
        <f t="shared" si="105"/>
        <v>6.3475400000000004</v>
      </c>
      <c r="D2405" s="526" t="s">
        <v>1730</v>
      </c>
      <c r="E2405" s="526" t="s">
        <v>2162</v>
      </c>
      <c r="F2405" s="526" t="s">
        <v>6164</v>
      </c>
      <c r="G2405" s="526" t="s">
        <v>2637</v>
      </c>
      <c r="H2405" s="412">
        <v>175.75716</v>
      </c>
      <c r="I2405" s="411">
        <v>6.3475400000000004</v>
      </c>
      <c r="J2405" s="411">
        <v>21.413699999999999</v>
      </c>
      <c r="K2405" s="411">
        <v>2416.3449099999998</v>
      </c>
      <c r="L2405" s="526" t="s">
        <v>554</v>
      </c>
    </row>
    <row r="2406" spans="1:12" ht="15" x14ac:dyDescent="0.25">
      <c r="A2406">
        <v>133553</v>
      </c>
      <c r="B2406" t="str">
        <f t="shared" si="104"/>
        <v>SEVROLL 222619 Wilson tyč priemer 25mm 1,2m strieborná</v>
      </c>
      <c r="C2406" s="198">
        <f t="shared" si="105"/>
        <v>7.0184199999999999</v>
      </c>
      <c r="D2406" s="526" t="s">
        <v>1731</v>
      </c>
      <c r="E2406" s="526" t="s">
        <v>2163</v>
      </c>
      <c r="F2406" s="526" t="s">
        <v>6165</v>
      </c>
      <c r="G2406" s="526" t="s">
        <v>2638</v>
      </c>
      <c r="H2406" s="412">
        <v>194.33312000000001</v>
      </c>
      <c r="I2406" s="411">
        <v>7.0184199999999999</v>
      </c>
      <c r="J2406" s="411">
        <v>23.710599999999999</v>
      </c>
      <c r="K2406" s="411">
        <v>2671.7310299999999</v>
      </c>
      <c r="L2406" s="526" t="s">
        <v>554</v>
      </c>
    </row>
    <row r="2407" spans="1:12" ht="15" x14ac:dyDescent="0.25">
      <c r="A2407">
        <v>133562</v>
      </c>
      <c r="B2407" t="str">
        <f t="shared" si="104"/>
        <v>SEVROLL 222620 Wilson montažný klip silver</v>
      </c>
      <c r="C2407" s="198">
        <f t="shared" si="105"/>
        <v>0.43864999999999998</v>
      </c>
      <c r="D2407" s="526" t="s">
        <v>1732</v>
      </c>
      <c r="E2407" s="526" t="s">
        <v>2164</v>
      </c>
      <c r="F2407" s="526" t="s">
        <v>6166</v>
      </c>
      <c r="G2407" s="526" t="s">
        <v>6167</v>
      </c>
      <c r="H2407" s="412">
        <v>12.145820000000001</v>
      </c>
      <c r="I2407" s="411">
        <v>0.43864999999999998</v>
      </c>
      <c r="J2407" s="411">
        <v>1.4872000000000001</v>
      </c>
      <c r="K2407" s="411">
        <v>166.98333</v>
      </c>
      <c r="L2407" s="526" t="s">
        <v>554</v>
      </c>
    </row>
    <row r="2408" spans="1:12" ht="15" x14ac:dyDescent="0.25">
      <c r="A2408">
        <v>133563</v>
      </c>
      <c r="B2408" t="str">
        <f t="shared" si="104"/>
        <v>SEVROLL 222621 Wilson záslepka tyče</v>
      </c>
      <c r="C2408" s="198">
        <f t="shared" si="105"/>
        <v>1.1869400000000001</v>
      </c>
      <c r="D2408" s="526" t="s">
        <v>1733</v>
      </c>
      <c r="E2408" s="526" t="s">
        <v>2165</v>
      </c>
      <c r="F2408" s="526" t="s">
        <v>1733</v>
      </c>
      <c r="G2408" s="526" t="s">
        <v>2639</v>
      </c>
      <c r="H2408" s="412">
        <v>34.874899999999997</v>
      </c>
      <c r="I2408" s="411">
        <v>1.1869400000000001</v>
      </c>
      <c r="J2408" s="411">
        <v>4.0144000000000002</v>
      </c>
      <c r="K2408" s="411">
        <v>461.05808000000002</v>
      </c>
      <c r="L2408" s="526" t="s">
        <v>554</v>
      </c>
    </row>
    <row r="2409" spans="1:12" ht="15" x14ac:dyDescent="0.25">
      <c r="A2409">
        <v>134686</v>
      </c>
      <c r="B2409" t="e">
        <f t="shared" si="104"/>
        <v>#N/A</v>
      </c>
      <c r="C2409" s="198" t="e">
        <f t="shared" si="105"/>
        <v>#N/A</v>
      </c>
      <c r="D2409" s="526" t="e">
        <v>#N/A</v>
      </c>
      <c r="E2409" s="526" t="e">
        <v>#N/A</v>
      </c>
      <c r="F2409" s="526" t="e">
        <v>#N/A</v>
      </c>
      <c r="G2409" s="526" t="e">
        <v>#N/A</v>
      </c>
      <c r="H2409" s="412" t="e">
        <v>#N/A</v>
      </c>
      <c r="I2409" s="411" t="e">
        <v>#N/A</v>
      </c>
      <c r="J2409" s="411" t="e">
        <v>#N/A</v>
      </c>
      <c r="K2409" s="411" t="e">
        <v>#N/A</v>
      </c>
      <c r="L2409" s="526" t="e">
        <v>#N/A</v>
      </c>
    </row>
    <row r="2410" spans="1:12" ht="15" x14ac:dyDescent="0.25">
      <c r="A2410">
        <v>208051</v>
      </c>
      <c r="B2410" t="e">
        <f t="shared" si="104"/>
        <v>#N/A</v>
      </c>
      <c r="C2410" s="198" t="e">
        <f t="shared" si="105"/>
        <v>#N/A</v>
      </c>
      <c r="D2410" s="526" t="e">
        <v>#N/A</v>
      </c>
      <c r="E2410" s="526" t="e">
        <v>#N/A</v>
      </c>
      <c r="F2410" s="526" t="e">
        <v>#N/A</v>
      </c>
      <c r="G2410" s="526" t="e">
        <v>#N/A</v>
      </c>
      <c r="H2410" s="412" t="e">
        <v>#N/A</v>
      </c>
      <c r="I2410" s="411" t="e">
        <v>#N/A</v>
      </c>
      <c r="J2410" s="411" t="e">
        <v>#N/A</v>
      </c>
      <c r="K2410" s="411" t="e">
        <v>#N/A</v>
      </c>
      <c r="L2410" s="526" t="e">
        <v>#N/A</v>
      </c>
    </row>
    <row r="2411" spans="1:12" ht="15" x14ac:dyDescent="0.25">
      <c r="A2411">
        <v>204725</v>
      </c>
      <c r="B2411" t="e">
        <f t="shared" si="104"/>
        <v>#N/A</v>
      </c>
      <c r="C2411" s="198" t="e">
        <f t="shared" si="105"/>
        <v>#N/A</v>
      </c>
      <c r="D2411" s="526" t="e">
        <v>#N/A</v>
      </c>
      <c r="E2411" s="526" t="e">
        <v>#N/A</v>
      </c>
      <c r="F2411" s="526" t="e">
        <v>#N/A</v>
      </c>
      <c r="G2411" s="526" t="e">
        <v>#N/A</v>
      </c>
      <c r="H2411" s="412" t="e">
        <v>#N/A</v>
      </c>
      <c r="I2411" s="411" t="e">
        <v>#N/A</v>
      </c>
      <c r="J2411" s="411" t="e">
        <v>#N/A</v>
      </c>
      <c r="K2411" s="411" t="e">
        <v>#N/A</v>
      </c>
      <c r="L2411" s="526" t="e">
        <v>#N/A</v>
      </c>
    </row>
    <row r="2412" spans="1:12" ht="15" x14ac:dyDescent="0.25">
      <c r="A2412">
        <v>204727</v>
      </c>
      <c r="B2412" t="e">
        <f t="shared" ref="B2412:B2424" si="106">IF($A$2=1,D2412,IF($A$2=2,F2412,IF($A$2=3,G2412,IF($A$2=4,E2412,"zadat jazyk"))))</f>
        <v>#N/A</v>
      </c>
      <c r="C2412" s="198" t="e">
        <f t="shared" ref="C2412:C2424" si="107">IF($A$2=1,H2412,IF($A$2=2,I2412,IF($A$2=3,J2412,IF($A$2=4,K2412,"zadat jazyk"))))</f>
        <v>#N/A</v>
      </c>
      <c r="D2412" s="526" t="e">
        <v>#N/A</v>
      </c>
      <c r="E2412" s="526" t="e">
        <v>#N/A</v>
      </c>
      <c r="F2412" s="526" t="e">
        <v>#N/A</v>
      </c>
      <c r="G2412" s="526" t="e">
        <v>#N/A</v>
      </c>
      <c r="H2412" s="412" t="e">
        <v>#N/A</v>
      </c>
      <c r="I2412" s="411" t="e">
        <v>#N/A</v>
      </c>
      <c r="J2412" s="411" t="e">
        <v>#N/A</v>
      </c>
      <c r="K2412" s="411" t="e">
        <v>#N/A</v>
      </c>
      <c r="L2412" s="526" t="e">
        <v>#N/A</v>
      </c>
    </row>
    <row r="2413" spans="1:12" ht="15" x14ac:dyDescent="0.25">
      <c r="A2413">
        <v>205446</v>
      </c>
      <c r="B2413" t="e">
        <f t="shared" si="106"/>
        <v>#N/A</v>
      </c>
      <c r="C2413" s="198" t="e">
        <f t="shared" si="107"/>
        <v>#N/A</v>
      </c>
      <c r="D2413" s="526" t="e">
        <v>#N/A</v>
      </c>
      <c r="E2413" s="526" t="e">
        <v>#N/A</v>
      </c>
      <c r="F2413" s="526" t="e">
        <v>#N/A</v>
      </c>
      <c r="G2413" s="526" t="e">
        <v>#N/A</v>
      </c>
      <c r="H2413" s="412" t="e">
        <v>#N/A</v>
      </c>
      <c r="I2413" s="411" t="e">
        <v>#N/A</v>
      </c>
      <c r="J2413" s="411" t="e">
        <v>#N/A</v>
      </c>
      <c r="K2413" s="411" t="e">
        <v>#N/A</v>
      </c>
      <c r="L2413" s="526" t="e">
        <v>#N/A</v>
      </c>
    </row>
    <row r="2414" spans="1:12" ht="15" x14ac:dyDescent="0.25">
      <c r="A2414">
        <v>288793</v>
      </c>
      <c r="B2414" t="e">
        <f t="shared" si="106"/>
        <v>#N/A</v>
      </c>
      <c r="C2414" s="198" t="e">
        <f t="shared" si="107"/>
        <v>#N/A</v>
      </c>
      <c r="D2414" s="526" t="e">
        <v>#N/A</v>
      </c>
      <c r="E2414" s="526" t="e">
        <v>#N/A</v>
      </c>
      <c r="F2414" s="526" t="e">
        <v>#N/A</v>
      </c>
      <c r="G2414" s="526" t="e">
        <v>#N/A</v>
      </c>
      <c r="H2414" s="412" t="e">
        <v>#N/A</v>
      </c>
      <c r="I2414" s="411" t="e">
        <v>#N/A</v>
      </c>
      <c r="J2414" s="411" t="e">
        <v>#N/A</v>
      </c>
      <c r="K2414" s="411" t="e">
        <v>#N/A</v>
      </c>
      <c r="L2414" s="526" t="e">
        <v>#N/A</v>
      </c>
    </row>
    <row r="2415" spans="1:12" ht="15" x14ac:dyDescent="0.25">
      <c r="A2415">
        <v>288795</v>
      </c>
      <c r="B2415" t="e">
        <f t="shared" si="106"/>
        <v>#N/A</v>
      </c>
      <c r="C2415" s="198" t="e">
        <f t="shared" si="107"/>
        <v>#N/A</v>
      </c>
      <c r="D2415" s="526" t="e">
        <v>#N/A</v>
      </c>
      <c r="E2415" s="526" t="e">
        <v>#N/A</v>
      </c>
      <c r="F2415" s="526" t="e">
        <v>#N/A</v>
      </c>
      <c r="G2415" s="526" t="e">
        <v>#N/A</v>
      </c>
      <c r="H2415" s="412" t="e">
        <v>#N/A</v>
      </c>
      <c r="I2415" s="411" t="e">
        <v>#N/A</v>
      </c>
      <c r="J2415" s="411" t="e">
        <v>#N/A</v>
      </c>
      <c r="K2415" s="411" t="e">
        <v>#N/A</v>
      </c>
      <c r="L2415" s="526" t="e">
        <v>#N/A</v>
      </c>
    </row>
    <row r="2416" spans="1:12" ht="15" x14ac:dyDescent="0.25">
      <c r="A2416">
        <v>288796</v>
      </c>
      <c r="B2416" t="e">
        <f t="shared" si="106"/>
        <v>#N/A</v>
      </c>
      <c r="C2416" s="198" t="e">
        <f t="shared" si="107"/>
        <v>#N/A</v>
      </c>
      <c r="D2416" s="526" t="e">
        <v>#N/A</v>
      </c>
      <c r="E2416" s="526" t="e">
        <v>#N/A</v>
      </c>
      <c r="F2416" s="526" t="e">
        <v>#N/A</v>
      </c>
      <c r="G2416" s="526" t="e">
        <v>#N/A</v>
      </c>
      <c r="H2416" s="412" t="e">
        <v>#N/A</v>
      </c>
      <c r="I2416" s="411" t="e">
        <v>#N/A</v>
      </c>
      <c r="J2416" s="411" t="e">
        <v>#N/A</v>
      </c>
      <c r="K2416" s="411" t="e">
        <v>#N/A</v>
      </c>
      <c r="L2416" s="526" t="e">
        <v>#N/A</v>
      </c>
    </row>
    <row r="2417" spans="1:12" ht="15" x14ac:dyDescent="0.25">
      <c r="A2417">
        <v>288837</v>
      </c>
      <c r="B2417" t="e">
        <f t="shared" si="106"/>
        <v>#N/A</v>
      </c>
      <c r="C2417" s="198" t="e">
        <f t="shared" si="107"/>
        <v>#N/A</v>
      </c>
      <c r="D2417" s="526" t="e">
        <v>#N/A</v>
      </c>
      <c r="E2417" s="526" t="e">
        <v>#N/A</v>
      </c>
      <c r="F2417" s="526" t="e">
        <v>#N/A</v>
      </c>
      <c r="G2417" s="526" t="e">
        <v>#N/A</v>
      </c>
      <c r="H2417" s="412" t="e">
        <v>#N/A</v>
      </c>
      <c r="I2417" s="411" t="e">
        <v>#N/A</v>
      </c>
      <c r="J2417" s="411" t="e">
        <v>#N/A</v>
      </c>
      <c r="K2417" s="411" t="e">
        <v>#N/A</v>
      </c>
      <c r="L2417" s="526" t="e">
        <v>#N/A</v>
      </c>
    </row>
    <row r="2418" spans="1:12" ht="15" x14ac:dyDescent="0.25">
      <c r="A2418">
        <v>288839</v>
      </c>
      <c r="B2418" t="e">
        <f t="shared" si="106"/>
        <v>#N/A</v>
      </c>
      <c r="C2418" s="198" t="e">
        <f t="shared" si="107"/>
        <v>#N/A</v>
      </c>
      <c r="D2418" s="526" t="e">
        <v>#N/A</v>
      </c>
      <c r="E2418" s="526" t="e">
        <v>#N/A</v>
      </c>
      <c r="F2418" s="526" t="e">
        <v>#N/A</v>
      </c>
      <c r="G2418" s="526" t="e">
        <v>#N/A</v>
      </c>
      <c r="H2418" s="412" t="e">
        <v>#N/A</v>
      </c>
      <c r="I2418" s="411" t="e">
        <v>#N/A</v>
      </c>
      <c r="J2418" s="411" t="e">
        <v>#N/A</v>
      </c>
      <c r="K2418" s="411" t="e">
        <v>#N/A</v>
      </c>
      <c r="L2418" s="526" t="e">
        <v>#N/A</v>
      </c>
    </row>
    <row r="2419" spans="1:12" ht="15" x14ac:dyDescent="0.25">
      <c r="A2419">
        <v>289620</v>
      </c>
      <c r="B2419" t="e">
        <f t="shared" si="106"/>
        <v>#N/A</v>
      </c>
      <c r="C2419" s="198" t="e">
        <f t="shared" si="107"/>
        <v>#N/A</v>
      </c>
      <c r="D2419" s="526" t="e">
        <v>#N/A</v>
      </c>
      <c r="E2419" s="526" t="e">
        <v>#N/A</v>
      </c>
      <c r="F2419" s="526" t="e">
        <v>#N/A</v>
      </c>
      <c r="G2419" s="526" t="e">
        <v>#N/A</v>
      </c>
      <c r="H2419" s="412" t="e">
        <v>#N/A</v>
      </c>
      <c r="I2419" s="411" t="e">
        <v>#N/A</v>
      </c>
      <c r="J2419" s="411" t="e">
        <v>#N/A</v>
      </c>
      <c r="K2419" s="411" t="e">
        <v>#N/A</v>
      </c>
      <c r="L2419" s="526" t="e">
        <v>#N/A</v>
      </c>
    </row>
    <row r="2420" spans="1:12" ht="15" x14ac:dyDescent="0.25">
      <c r="A2420">
        <v>120386</v>
      </c>
      <c r="B2420" t="e">
        <f t="shared" si="106"/>
        <v>#N/A</v>
      </c>
      <c r="C2420" s="198" t="e">
        <f t="shared" si="107"/>
        <v>#N/A</v>
      </c>
      <c r="D2420" s="526" t="e">
        <v>#N/A</v>
      </c>
      <c r="E2420" s="526" t="e">
        <v>#N/A</v>
      </c>
      <c r="F2420" s="526" t="e">
        <v>#N/A</v>
      </c>
      <c r="G2420" s="526" t="e">
        <v>#N/A</v>
      </c>
      <c r="H2420" s="412" t="e">
        <v>#N/A</v>
      </c>
      <c r="I2420" s="411" t="e">
        <v>#N/A</v>
      </c>
      <c r="J2420" s="411" t="e">
        <v>#N/A</v>
      </c>
      <c r="K2420" s="411" t="e">
        <v>#N/A</v>
      </c>
      <c r="L2420" s="526" t="e">
        <v>#N/A</v>
      </c>
    </row>
    <row r="2421" spans="1:12" ht="15" x14ac:dyDescent="0.25">
      <c r="A2421">
        <v>203925</v>
      </c>
      <c r="B2421" t="str">
        <f t="shared" si="106"/>
        <v>SEVROLL Wilson A - kompletná sada políc</v>
      </c>
      <c r="C2421" s="198">
        <f t="shared" si="107"/>
        <v>79.462140000000005</v>
      </c>
      <c r="D2421" s="526" t="s">
        <v>1734</v>
      </c>
      <c r="E2421" s="526" t="s">
        <v>2166</v>
      </c>
      <c r="F2421" s="526" t="s">
        <v>2329</v>
      </c>
      <c r="G2421" s="526" t="s">
        <v>2640</v>
      </c>
      <c r="H2421" s="412" t="e">
        <v>#N/A</v>
      </c>
      <c r="I2421" s="411">
        <v>79.462140000000005</v>
      </c>
      <c r="J2421" s="411">
        <v>0</v>
      </c>
      <c r="K2421" s="411">
        <v>0</v>
      </c>
      <c r="L2421" s="526" t="e">
        <v>#N/A</v>
      </c>
    </row>
    <row r="2422" spans="1:12" ht="15" x14ac:dyDescent="0.25">
      <c r="A2422">
        <v>203926</v>
      </c>
      <c r="B2422" t="str">
        <f t="shared" si="106"/>
        <v>SEVROLL Wilson B - kompletná sada políc</v>
      </c>
      <c r="C2422" s="198">
        <f t="shared" si="107"/>
        <v>90.577309999999997</v>
      </c>
      <c r="D2422" s="526" t="s">
        <v>1735</v>
      </c>
      <c r="E2422" s="526" t="s">
        <v>2167</v>
      </c>
      <c r="F2422" s="526" t="s">
        <v>2330</v>
      </c>
      <c r="G2422" s="526" t="s">
        <v>2641</v>
      </c>
      <c r="H2422" s="412" t="e">
        <v>#N/A</v>
      </c>
      <c r="I2422" s="411">
        <v>90.577309999999997</v>
      </c>
      <c r="J2422" s="411">
        <v>0</v>
      </c>
      <c r="K2422" s="411">
        <v>0</v>
      </c>
      <c r="L2422" s="526" t="e">
        <v>#N/A</v>
      </c>
    </row>
    <row r="2423" spans="1:12" ht="15" x14ac:dyDescent="0.25">
      <c r="A2423">
        <v>203927</v>
      </c>
      <c r="B2423" t="str">
        <f t="shared" si="106"/>
        <v>SEVROLL Wilson C - kompletná sada políc</v>
      </c>
      <c r="C2423" s="198">
        <f t="shared" si="107"/>
        <v>146.72027</v>
      </c>
      <c r="D2423" s="526" t="s">
        <v>1736</v>
      </c>
      <c r="E2423" s="526" t="s">
        <v>2168</v>
      </c>
      <c r="F2423" s="526" t="s">
        <v>2331</v>
      </c>
      <c r="G2423" s="526" t="s">
        <v>2642</v>
      </c>
      <c r="H2423" s="412" t="e">
        <v>#N/A</v>
      </c>
      <c r="I2423" s="411">
        <v>146.72027</v>
      </c>
      <c r="J2423" s="411">
        <v>0</v>
      </c>
      <c r="K2423" s="411">
        <v>0</v>
      </c>
      <c r="L2423" s="526" t="e">
        <v>#N/A</v>
      </c>
    </row>
    <row r="2424" spans="1:12" ht="15" x14ac:dyDescent="0.25">
      <c r="A2424">
        <v>203928</v>
      </c>
      <c r="B2424" t="str">
        <f t="shared" si="106"/>
        <v>SEVROLL Wilson D - kompletná sada políc</v>
      </c>
      <c r="C2424" s="198">
        <f t="shared" si="107"/>
        <v>180.95045999999999</v>
      </c>
      <c r="D2424" s="526" t="s">
        <v>1737</v>
      </c>
      <c r="E2424" s="526" t="s">
        <v>2169</v>
      </c>
      <c r="F2424" s="526" t="s">
        <v>2332</v>
      </c>
      <c r="G2424" s="526" t="s">
        <v>2643</v>
      </c>
      <c r="H2424" s="412" t="e">
        <v>#N/A</v>
      </c>
      <c r="I2424" s="411">
        <v>180.95045999999999</v>
      </c>
      <c r="J2424" s="411">
        <v>0</v>
      </c>
      <c r="K2424" s="411">
        <v>0</v>
      </c>
      <c r="L2424" s="526" t="e">
        <v>#N/A</v>
      </c>
    </row>
    <row r="2425" spans="1:12" ht="15" x14ac:dyDescent="0.25">
      <c r="A2425">
        <v>203930</v>
      </c>
      <c r="B2425" t="str">
        <f t="shared" ref="B2425:B2488" si="108">IF($A$2=1,D2425,IF($A$2=2,F2425,IF($A$2=3,G2425,IF($A$2=4,E2425,"zadat jazyk"))))</f>
        <v>SEVROLL Wilson E - kompletná sada políc</v>
      </c>
      <c r="C2425" s="198">
        <f t="shared" ref="C2425:C2488" si="109">IF($A$2=1,H2425,IF($A$2=2,I2425,IF($A$2=3,J2425,IF($A$2=4,K2425,"zadat jazyk"))))</f>
        <v>68.12012</v>
      </c>
      <c r="D2425" s="526" t="s">
        <v>1738</v>
      </c>
      <c r="E2425" s="526" t="s">
        <v>2170</v>
      </c>
      <c r="F2425" s="526" t="s">
        <v>2333</v>
      </c>
      <c r="G2425" s="526" t="s">
        <v>2644</v>
      </c>
      <c r="H2425" s="412" t="e">
        <v>#N/A</v>
      </c>
      <c r="I2425" s="411">
        <v>68.12012</v>
      </c>
      <c r="J2425" s="411">
        <v>0</v>
      </c>
      <c r="K2425" s="411">
        <v>0</v>
      </c>
      <c r="L2425" s="526" t="e">
        <v>#N/A</v>
      </c>
    </row>
    <row r="2426" spans="1:12" ht="15" x14ac:dyDescent="0.25">
      <c r="A2426">
        <v>203931</v>
      </c>
      <c r="B2426" t="str">
        <f t="shared" si="108"/>
        <v>SEVROLL Wilson F - kompletná sada políc</v>
      </c>
      <c r="C2426" s="198">
        <f t="shared" si="109"/>
        <v>102.16884</v>
      </c>
      <c r="D2426" s="526" t="s">
        <v>1739</v>
      </c>
      <c r="E2426" s="526" t="s">
        <v>2171</v>
      </c>
      <c r="F2426" s="526" t="s">
        <v>2334</v>
      </c>
      <c r="G2426" s="526" t="s">
        <v>2645</v>
      </c>
      <c r="H2426" s="412" t="e">
        <v>#N/A</v>
      </c>
      <c r="I2426" s="411">
        <v>102.16884</v>
      </c>
      <c r="J2426" s="411">
        <v>0</v>
      </c>
      <c r="K2426" s="411">
        <v>0</v>
      </c>
      <c r="L2426" s="526" t="e">
        <v>#N/A</v>
      </c>
    </row>
    <row r="2427" spans="1:12" ht="15" x14ac:dyDescent="0.25">
      <c r="A2427">
        <v>204229</v>
      </c>
      <c r="B2427" t="e">
        <f t="shared" si="108"/>
        <v>#N/A</v>
      </c>
      <c r="C2427" s="198" t="e">
        <f t="shared" si="109"/>
        <v>#N/A</v>
      </c>
      <c r="D2427" s="526" t="e">
        <v>#N/A</v>
      </c>
      <c r="E2427" s="526" t="e">
        <v>#N/A</v>
      </c>
      <c r="F2427" s="526" t="e">
        <v>#N/A</v>
      </c>
      <c r="G2427" s="526" t="e">
        <v>#N/A</v>
      </c>
      <c r="H2427" s="412" t="e">
        <v>#N/A</v>
      </c>
      <c r="I2427" s="411" t="e">
        <v>#N/A</v>
      </c>
      <c r="J2427" s="411" t="e">
        <v>#N/A</v>
      </c>
      <c r="K2427" s="411" t="e">
        <v>#N/A</v>
      </c>
      <c r="L2427" s="526" t="e">
        <v>#N/A</v>
      </c>
    </row>
    <row r="2428" spans="1:12" ht="15" x14ac:dyDescent="0.25">
      <c r="A2428">
        <v>92113</v>
      </c>
      <c r="B2428" t="e">
        <f t="shared" si="108"/>
        <v>#N/A</v>
      </c>
      <c r="C2428" s="198" t="e">
        <f t="shared" si="109"/>
        <v>#N/A</v>
      </c>
      <c r="D2428" s="526" t="e">
        <v>#N/A</v>
      </c>
      <c r="E2428" s="526" t="e">
        <v>#N/A</v>
      </c>
      <c r="F2428" s="526" t="e">
        <v>#N/A</v>
      </c>
      <c r="G2428" s="526" t="e">
        <v>#N/A</v>
      </c>
      <c r="H2428" s="412" t="e">
        <v>#N/A</v>
      </c>
      <c r="I2428" s="411" t="e">
        <v>#N/A</v>
      </c>
      <c r="J2428" s="411" t="e">
        <v>#N/A</v>
      </c>
      <c r="K2428" s="411" t="e">
        <v>#N/A</v>
      </c>
      <c r="L2428" s="526" t="e">
        <v>#N/A</v>
      </c>
    </row>
    <row r="2429" spans="1:12" ht="15" x14ac:dyDescent="0.25">
      <c r="A2429">
        <v>92114</v>
      </c>
      <c r="B2429" t="e">
        <f t="shared" si="108"/>
        <v>#N/A</v>
      </c>
      <c r="C2429" s="198" t="e">
        <f t="shared" si="109"/>
        <v>#N/A</v>
      </c>
      <c r="D2429" s="526" t="e">
        <v>#N/A</v>
      </c>
      <c r="E2429" s="526" t="e">
        <v>#N/A</v>
      </c>
      <c r="F2429" s="526" t="e">
        <v>#N/A</v>
      </c>
      <c r="G2429" s="526" t="e">
        <v>#N/A</v>
      </c>
      <c r="H2429" s="412" t="e">
        <v>#N/A</v>
      </c>
      <c r="I2429" s="411" t="e">
        <v>#N/A</v>
      </c>
      <c r="J2429" s="411" t="e">
        <v>#N/A</v>
      </c>
      <c r="K2429" s="411" t="e">
        <v>#N/A</v>
      </c>
      <c r="L2429" s="526" t="e">
        <v>#N/A</v>
      </c>
    </row>
    <row r="2430" spans="1:12" ht="15" x14ac:dyDescent="0.25">
      <c r="A2430">
        <v>265603</v>
      </c>
      <c r="B2430" t="e">
        <f t="shared" si="108"/>
        <v>#N/A</v>
      </c>
      <c r="C2430" s="198" t="e">
        <f t="shared" si="109"/>
        <v>#N/A</v>
      </c>
      <c r="D2430" s="526" t="e">
        <v>#N/A</v>
      </c>
      <c r="E2430" s="526" t="e">
        <v>#N/A</v>
      </c>
      <c r="F2430" s="526" t="e">
        <v>#N/A</v>
      </c>
      <c r="G2430" s="526" t="e">
        <v>#N/A</v>
      </c>
      <c r="H2430" s="412" t="e">
        <v>#N/A</v>
      </c>
      <c r="I2430" s="411" t="e">
        <v>#N/A</v>
      </c>
      <c r="J2430" s="411" t="e">
        <v>#N/A</v>
      </c>
      <c r="K2430" s="411" t="e">
        <v>#N/A</v>
      </c>
      <c r="L2430" s="526" t="e">
        <v>#N/A</v>
      </c>
    </row>
    <row r="2431" spans="1:12" ht="15" x14ac:dyDescent="0.25">
      <c r="A2431">
        <v>265604</v>
      </c>
      <c r="B2431" t="e">
        <f t="shared" si="108"/>
        <v>#N/A</v>
      </c>
      <c r="C2431" s="198" t="e">
        <f t="shared" si="109"/>
        <v>#N/A</v>
      </c>
      <c r="D2431" s="526" t="e">
        <v>#N/A</v>
      </c>
      <c r="E2431" s="526" t="e">
        <v>#N/A</v>
      </c>
      <c r="F2431" s="526" t="e">
        <v>#N/A</v>
      </c>
      <c r="G2431" s="526" t="e">
        <v>#N/A</v>
      </c>
      <c r="H2431" s="412" t="e">
        <v>#N/A</v>
      </c>
      <c r="I2431" s="411" t="e">
        <v>#N/A</v>
      </c>
      <c r="J2431" s="411" t="e">
        <v>#N/A</v>
      </c>
      <c r="K2431" s="411" t="e">
        <v>#N/A</v>
      </c>
      <c r="L2431" s="526" t="e">
        <v>#N/A</v>
      </c>
    </row>
    <row r="2432" spans="1:12" ht="15" x14ac:dyDescent="0.25">
      <c r="A2432">
        <v>265611</v>
      </c>
      <c r="B2432" t="e">
        <f t="shared" si="108"/>
        <v>#N/A</v>
      </c>
      <c r="C2432" s="198" t="e">
        <f t="shared" si="109"/>
        <v>#N/A</v>
      </c>
      <c r="D2432" s="526" t="e">
        <v>#N/A</v>
      </c>
      <c r="E2432" s="526" t="e">
        <v>#N/A</v>
      </c>
      <c r="F2432" s="526" t="e">
        <v>#N/A</v>
      </c>
      <c r="G2432" s="526" t="e">
        <v>#N/A</v>
      </c>
      <c r="H2432" s="412" t="e">
        <v>#N/A</v>
      </c>
      <c r="I2432" s="411" t="e">
        <v>#N/A</v>
      </c>
      <c r="J2432" s="411" t="e">
        <v>#N/A</v>
      </c>
      <c r="K2432" s="411" t="e">
        <v>#N/A</v>
      </c>
      <c r="L2432" s="526" t="e">
        <v>#N/A</v>
      </c>
    </row>
    <row r="2433" spans="1:12" ht="15" x14ac:dyDescent="0.25">
      <c r="A2433">
        <v>265612</v>
      </c>
      <c r="B2433" t="e">
        <f t="shared" si="108"/>
        <v>#N/A</v>
      </c>
      <c r="C2433" s="198" t="e">
        <f t="shared" si="109"/>
        <v>#N/A</v>
      </c>
      <c r="D2433" s="526" t="e">
        <v>#N/A</v>
      </c>
      <c r="E2433" s="526" t="e">
        <v>#N/A</v>
      </c>
      <c r="F2433" s="526" t="e">
        <v>#N/A</v>
      </c>
      <c r="G2433" s="526" t="e">
        <v>#N/A</v>
      </c>
      <c r="H2433" s="412" t="e">
        <v>#N/A</v>
      </c>
      <c r="I2433" s="411" t="e">
        <v>#N/A</v>
      </c>
      <c r="J2433" s="411" t="e">
        <v>#N/A</v>
      </c>
      <c r="K2433" s="411" t="e">
        <v>#N/A</v>
      </c>
      <c r="L2433" s="526" t="e">
        <v>#N/A</v>
      </c>
    </row>
    <row r="2434" spans="1:12" ht="15" x14ac:dyDescent="0.25">
      <c r="A2434">
        <v>265613</v>
      </c>
      <c r="B2434" t="e">
        <f t="shared" si="108"/>
        <v>#N/A</v>
      </c>
      <c r="C2434" s="198" t="e">
        <f t="shared" si="109"/>
        <v>#N/A</v>
      </c>
      <c r="D2434" s="526" t="e">
        <v>#N/A</v>
      </c>
      <c r="E2434" s="526" t="e">
        <v>#N/A</v>
      </c>
      <c r="F2434" s="526" t="e">
        <v>#N/A</v>
      </c>
      <c r="G2434" s="526" t="e">
        <v>#N/A</v>
      </c>
      <c r="H2434" s="412" t="e">
        <v>#N/A</v>
      </c>
      <c r="I2434" s="411" t="e">
        <v>#N/A</v>
      </c>
      <c r="J2434" s="411" t="e">
        <v>#N/A</v>
      </c>
      <c r="K2434" s="411" t="e">
        <v>#N/A</v>
      </c>
      <c r="L2434" s="526" t="e">
        <v>#N/A</v>
      </c>
    </row>
    <row r="2435" spans="1:12" ht="15" x14ac:dyDescent="0.25">
      <c r="A2435">
        <v>265857</v>
      </c>
      <c r="B2435" t="e">
        <f t="shared" si="108"/>
        <v>#N/A</v>
      </c>
      <c r="C2435" s="198" t="e">
        <f t="shared" si="109"/>
        <v>#N/A</v>
      </c>
      <c r="D2435" s="526" t="e">
        <v>#N/A</v>
      </c>
      <c r="E2435" s="526" t="e">
        <v>#N/A</v>
      </c>
      <c r="F2435" s="526" t="e">
        <v>#N/A</v>
      </c>
      <c r="G2435" s="526" t="e">
        <v>#N/A</v>
      </c>
      <c r="H2435" s="412" t="e">
        <v>#N/A</v>
      </c>
      <c r="I2435" s="411" t="e">
        <v>#N/A</v>
      </c>
      <c r="J2435" s="411" t="e">
        <v>#N/A</v>
      </c>
      <c r="K2435" s="411" t="e">
        <v>#N/A</v>
      </c>
      <c r="L2435" s="526" t="e">
        <v>#N/A</v>
      </c>
    </row>
    <row r="2436" spans="1:12" ht="15" x14ac:dyDescent="0.25">
      <c r="A2436">
        <v>452737</v>
      </c>
      <c r="B2436" t="e">
        <f t="shared" si="108"/>
        <v>#N/A</v>
      </c>
      <c r="C2436" s="198" t="e">
        <f t="shared" si="109"/>
        <v>#N/A</v>
      </c>
      <c r="D2436" s="526" t="e">
        <v>#N/A</v>
      </c>
      <c r="E2436" s="526" t="e">
        <v>#N/A</v>
      </c>
      <c r="F2436" s="526" t="e">
        <v>#N/A</v>
      </c>
      <c r="G2436" s="526" t="e">
        <v>#N/A</v>
      </c>
      <c r="H2436" s="412" t="e">
        <v>#N/A</v>
      </c>
      <c r="I2436" s="411" t="e">
        <v>#N/A</v>
      </c>
      <c r="J2436" s="411" t="e">
        <v>#N/A</v>
      </c>
      <c r="K2436" s="411" t="e">
        <v>#N/A</v>
      </c>
      <c r="L2436" s="526" t="e">
        <v>#N/A</v>
      </c>
    </row>
    <row r="2437" spans="1:12" ht="15" x14ac:dyDescent="0.25">
      <c r="A2437">
        <v>90106</v>
      </c>
      <c r="B2437" t="str">
        <f t="shared" si="108"/>
        <v>SEVROLL 04535 Universal 18 úchytová lišta 2,7m strieborná</v>
      </c>
      <c r="C2437" s="198">
        <f t="shared" si="109"/>
        <v>16.66874</v>
      </c>
      <c r="D2437" s="526" t="s">
        <v>2652</v>
      </c>
      <c r="E2437" s="526" t="s">
        <v>4472</v>
      </c>
      <c r="F2437" s="526" t="s">
        <v>4473</v>
      </c>
      <c r="G2437" s="526" t="s">
        <v>4474</v>
      </c>
      <c r="H2437" s="412">
        <v>461.54115999999999</v>
      </c>
      <c r="I2437" s="411">
        <v>16.66874</v>
      </c>
      <c r="J2437" s="411">
        <v>56.258600000000001</v>
      </c>
      <c r="K2437" s="411">
        <v>6345.3609100000003</v>
      </c>
      <c r="L2437" s="526" t="s">
        <v>553</v>
      </c>
    </row>
    <row r="2438" spans="1:12" ht="15" x14ac:dyDescent="0.25">
      <c r="A2438">
        <v>89103</v>
      </c>
      <c r="B2438" s="566" t="str">
        <f t="shared" si="108"/>
        <v>SEVROLL Focus 18mm úch.lišta 2,7m strieborná</v>
      </c>
      <c r="C2438" s="198">
        <f t="shared" si="109"/>
        <v>6.70878</v>
      </c>
      <c r="D2438" s="526" t="s">
        <v>2653</v>
      </c>
      <c r="E2438" s="526" t="s">
        <v>3817</v>
      </c>
      <c r="F2438" s="526" t="s">
        <v>1277</v>
      </c>
      <c r="G2438" s="526" t="s">
        <v>3818</v>
      </c>
      <c r="H2438" s="412">
        <v>185.75960000000001</v>
      </c>
      <c r="I2438" s="411">
        <v>6.70878</v>
      </c>
      <c r="J2438" s="411">
        <v>22.696860000000001</v>
      </c>
      <c r="K2438" s="411">
        <v>2553.8604</v>
      </c>
      <c r="L2438" s="526" t="s">
        <v>553</v>
      </c>
    </row>
    <row r="2439" spans="1:12" ht="15" x14ac:dyDescent="0.25">
      <c r="A2439">
        <v>89104</v>
      </c>
      <c r="B2439" t="str">
        <f t="shared" si="108"/>
        <v>SEVROLL 01030 Gemini horné vedenie 1,7m zlatá</v>
      </c>
      <c r="C2439" s="198">
        <f t="shared" si="109"/>
        <v>17.546040000000001</v>
      </c>
      <c r="D2439" s="526" t="s">
        <v>2654</v>
      </c>
      <c r="E2439" s="526" t="s">
        <v>4363</v>
      </c>
      <c r="F2439" s="526" t="s">
        <v>4364</v>
      </c>
      <c r="G2439" s="526" t="s">
        <v>4365</v>
      </c>
      <c r="H2439" s="412">
        <v>485.83280000000002</v>
      </c>
      <c r="I2439" s="411">
        <v>17.546040000000001</v>
      </c>
      <c r="J2439" s="411">
        <v>66.766980000000004</v>
      </c>
      <c r="K2439" s="411">
        <v>6679.3271999999997</v>
      </c>
      <c r="L2439" s="526" t="s">
        <v>554</v>
      </c>
    </row>
    <row r="2440" spans="1:12" ht="15" x14ac:dyDescent="0.25">
      <c r="A2440">
        <v>89105</v>
      </c>
      <c r="B2440" t="str">
        <f t="shared" si="108"/>
        <v>SEVROLL 01008 Gemini horné vedenie 1,7m oliva</v>
      </c>
      <c r="C2440" s="198">
        <f t="shared" si="109"/>
        <v>17.546040000000001</v>
      </c>
      <c r="D2440" s="526" t="s">
        <v>2655</v>
      </c>
      <c r="E2440" s="526" t="s">
        <v>4391</v>
      </c>
      <c r="F2440" s="526" t="s">
        <v>4392</v>
      </c>
      <c r="G2440" s="526" t="s">
        <v>2655</v>
      </c>
      <c r="H2440" s="412">
        <v>485.83280000000002</v>
      </c>
      <c r="I2440" s="411">
        <v>17.546040000000001</v>
      </c>
      <c r="J2440" s="411">
        <v>66.766980000000004</v>
      </c>
      <c r="K2440" s="411">
        <v>6679.3271999999997</v>
      </c>
      <c r="L2440" s="526" t="s">
        <v>553</v>
      </c>
    </row>
    <row r="2441" spans="1:12" ht="15" x14ac:dyDescent="0.25">
      <c r="A2441">
        <v>89106</v>
      </c>
      <c r="B2441" t="str">
        <f t="shared" si="108"/>
        <v>SEVROLL 01023 Gemini horné vedenie 1,7m strieborná</v>
      </c>
      <c r="C2441" s="198">
        <f t="shared" si="109"/>
        <v>14.03683</v>
      </c>
      <c r="D2441" s="526" t="s">
        <v>2656</v>
      </c>
      <c r="E2441" s="526" t="s">
        <v>4263</v>
      </c>
      <c r="F2441" s="526" t="s">
        <v>4264</v>
      </c>
      <c r="G2441" s="526" t="s">
        <v>2656</v>
      </c>
      <c r="H2441" s="412">
        <v>388.66624000000002</v>
      </c>
      <c r="I2441" s="411">
        <v>14.03683</v>
      </c>
      <c r="J2441" s="411">
        <v>52.183329999999998</v>
      </c>
      <c r="K2441" s="411">
        <v>5343.4616900000001</v>
      </c>
      <c r="L2441" s="526" t="s">
        <v>553</v>
      </c>
    </row>
    <row r="2442" spans="1:12" ht="15" x14ac:dyDescent="0.25">
      <c r="A2442">
        <v>89107</v>
      </c>
      <c r="B2442" t="str">
        <f t="shared" si="108"/>
        <v>SEVROLL 01032 Gemini horné vedenie 2,35m zlatá</v>
      </c>
      <c r="C2442" s="198">
        <f t="shared" si="109"/>
        <v>24.254819999999999</v>
      </c>
      <c r="D2442" s="526" t="s">
        <v>2657</v>
      </c>
      <c r="E2442" s="526" t="s">
        <v>4593</v>
      </c>
      <c r="F2442" s="526" t="s">
        <v>4594</v>
      </c>
      <c r="G2442" s="526" t="s">
        <v>2657</v>
      </c>
      <c r="H2442" s="412">
        <v>671.5924</v>
      </c>
      <c r="I2442" s="411">
        <v>24.254819999999999</v>
      </c>
      <c r="J2442" s="411">
        <v>83.89922</v>
      </c>
      <c r="K2442" s="411">
        <v>9233.1875999999993</v>
      </c>
      <c r="L2442" s="526" t="s">
        <v>553</v>
      </c>
    </row>
    <row r="2443" spans="1:12" ht="15" x14ac:dyDescent="0.25">
      <c r="A2443">
        <v>89108</v>
      </c>
      <c r="B2443" t="str">
        <f t="shared" si="108"/>
        <v>SEVROLL 01010 Gemini horné vedenie 2,35m oliva</v>
      </c>
      <c r="C2443" s="198">
        <f t="shared" si="109"/>
        <v>24.254819999999999</v>
      </c>
      <c r="D2443" s="526" t="s">
        <v>2658</v>
      </c>
      <c r="E2443" s="526" t="s">
        <v>4591</v>
      </c>
      <c r="F2443" s="526" t="s">
        <v>4592</v>
      </c>
      <c r="G2443" s="526" t="s">
        <v>2658</v>
      </c>
      <c r="H2443" s="412">
        <v>671.5924</v>
      </c>
      <c r="I2443" s="411">
        <v>24.254819999999999</v>
      </c>
      <c r="J2443" s="411">
        <v>83.89922</v>
      </c>
      <c r="K2443" s="411">
        <v>9233.1875999999993</v>
      </c>
      <c r="L2443" s="526" t="s">
        <v>553</v>
      </c>
    </row>
    <row r="2444" spans="1:12" ht="15" x14ac:dyDescent="0.25">
      <c r="A2444">
        <v>89109</v>
      </c>
      <c r="B2444" t="str">
        <f t="shared" si="108"/>
        <v>SEVROLL 01025 Gemini horné vedenie 2,35m strieborná</v>
      </c>
      <c r="C2444" s="198">
        <f t="shared" si="109"/>
        <v>19.378050000000002</v>
      </c>
      <c r="D2444" s="526" t="s">
        <v>2659</v>
      </c>
      <c r="E2444" s="526" t="s">
        <v>4478</v>
      </c>
      <c r="F2444" s="526" t="s">
        <v>4479</v>
      </c>
      <c r="G2444" s="526" t="s">
        <v>2659</v>
      </c>
      <c r="H2444" s="412">
        <v>536.55945999999994</v>
      </c>
      <c r="I2444" s="411">
        <v>19.378050000000002</v>
      </c>
      <c r="J2444" s="411">
        <v>72.115889999999993</v>
      </c>
      <c r="K2444" s="411">
        <v>7376.7276099999999</v>
      </c>
      <c r="L2444" s="526" t="s">
        <v>710</v>
      </c>
    </row>
    <row r="2445" spans="1:12" ht="15" x14ac:dyDescent="0.25">
      <c r="A2445">
        <v>89110</v>
      </c>
      <c r="B2445" t="str">
        <f t="shared" si="108"/>
        <v>SEVROLL 01011 Gemini horné vedenie 3m zlatá</v>
      </c>
      <c r="C2445" s="198">
        <f t="shared" si="109"/>
        <v>30.9636</v>
      </c>
      <c r="D2445" s="526" t="s">
        <v>2660</v>
      </c>
      <c r="E2445" s="526" t="s">
        <v>4756</v>
      </c>
      <c r="F2445" s="526" t="s">
        <v>4757</v>
      </c>
      <c r="G2445" s="526" t="s">
        <v>2660</v>
      </c>
      <c r="H2445" s="412">
        <v>857.35199999999998</v>
      </c>
      <c r="I2445" s="411">
        <v>30.9636</v>
      </c>
      <c r="J2445" s="411">
        <v>107.13551</v>
      </c>
      <c r="K2445" s="411">
        <v>11787.048000000001</v>
      </c>
      <c r="L2445" s="526" t="s">
        <v>553</v>
      </c>
    </row>
    <row r="2446" spans="1:12" ht="15" x14ac:dyDescent="0.25">
      <c r="A2446">
        <v>89111</v>
      </c>
      <c r="B2446" t="str">
        <f t="shared" si="108"/>
        <v>SEVROLL 01011 Gemini horné vedenie 3m oliva</v>
      </c>
      <c r="C2446" s="198">
        <f t="shared" si="109"/>
        <v>30.9636</v>
      </c>
      <c r="D2446" s="526" t="s">
        <v>2661</v>
      </c>
      <c r="E2446" s="526" t="s">
        <v>4754</v>
      </c>
      <c r="F2446" s="526" t="s">
        <v>4755</v>
      </c>
      <c r="G2446" s="526" t="s">
        <v>2661</v>
      </c>
      <c r="H2446" s="412">
        <v>857.35199999999998</v>
      </c>
      <c r="I2446" s="411">
        <v>30.9636</v>
      </c>
      <c r="J2446" s="411">
        <v>107.13551</v>
      </c>
      <c r="K2446" s="411">
        <v>11787.048000000001</v>
      </c>
      <c r="L2446" s="526" t="s">
        <v>553</v>
      </c>
    </row>
    <row r="2447" spans="1:12" ht="15" x14ac:dyDescent="0.25">
      <c r="A2447">
        <v>89112</v>
      </c>
      <c r="B2447" t="str">
        <f t="shared" si="108"/>
        <v>SEVROLL 01462 Gemini horné vedenie 3m strieborná</v>
      </c>
      <c r="C2447" s="198">
        <f t="shared" si="109"/>
        <v>24.745080000000002</v>
      </c>
      <c r="D2447" s="526" t="s">
        <v>2662</v>
      </c>
      <c r="E2447" s="526" t="s">
        <v>4631</v>
      </c>
      <c r="F2447" s="526" t="s">
        <v>4632</v>
      </c>
      <c r="G2447" s="526" t="s">
        <v>2662</v>
      </c>
      <c r="H2447" s="412">
        <v>685.88160000000005</v>
      </c>
      <c r="I2447" s="411">
        <v>24.745080000000002</v>
      </c>
      <c r="J2447" s="411">
        <v>92.079909999999998</v>
      </c>
      <c r="K2447" s="411">
        <v>9419.8157900000006</v>
      </c>
      <c r="L2447" s="526" t="s">
        <v>710</v>
      </c>
    </row>
    <row r="2448" spans="1:12" ht="15" x14ac:dyDescent="0.25">
      <c r="A2448">
        <v>89113</v>
      </c>
      <c r="B2448" t="str">
        <f t="shared" si="108"/>
        <v>SEVROLL 01462  Gemini horné vedenie 4,05m zlatá</v>
      </c>
      <c r="C2448" s="198">
        <f t="shared" si="109"/>
        <v>41.80086</v>
      </c>
      <c r="D2448" s="526" t="s">
        <v>2663</v>
      </c>
      <c r="E2448" s="526" t="s">
        <v>4918</v>
      </c>
      <c r="F2448" s="526" t="s">
        <v>4919</v>
      </c>
      <c r="G2448" s="526" t="s">
        <v>2663</v>
      </c>
      <c r="H2448" s="412">
        <v>1157.4251999999999</v>
      </c>
      <c r="I2448" s="411">
        <v>41.80086</v>
      </c>
      <c r="J2448" s="411">
        <v>144.59361000000001</v>
      </c>
      <c r="K2448" s="411">
        <v>15912.514800000001</v>
      </c>
      <c r="L2448" s="526" t="s">
        <v>553</v>
      </c>
    </row>
    <row r="2449" spans="1:12" ht="15" x14ac:dyDescent="0.25">
      <c r="A2449">
        <v>89114</v>
      </c>
      <c r="B2449" t="str">
        <f t="shared" si="108"/>
        <v>SEVROLL 01439 Gemini horné vedenie 4,05m oliva</v>
      </c>
      <c r="C2449" s="198">
        <f t="shared" si="109"/>
        <v>41.80086</v>
      </c>
      <c r="D2449" s="526" t="s">
        <v>2664</v>
      </c>
      <c r="E2449" s="526" t="s">
        <v>4916</v>
      </c>
      <c r="F2449" s="526" t="s">
        <v>4917</v>
      </c>
      <c r="G2449" s="526" t="s">
        <v>2664</v>
      </c>
      <c r="H2449" s="412">
        <v>1157.4251999999999</v>
      </c>
      <c r="I2449" s="411">
        <v>41.80086</v>
      </c>
      <c r="J2449" s="411">
        <v>144.59361000000001</v>
      </c>
      <c r="K2449" s="411">
        <v>15912.514800000001</v>
      </c>
      <c r="L2449" s="526" t="s">
        <v>553</v>
      </c>
    </row>
    <row r="2450" spans="1:12" ht="15" x14ac:dyDescent="0.25">
      <c r="A2450">
        <v>89115</v>
      </c>
      <c r="B2450" t="str">
        <f t="shared" si="108"/>
        <v>SEVROLL 01469 Gemini horné vedenie 4,05m strieborná</v>
      </c>
      <c r="C2450" s="198">
        <f t="shared" si="109"/>
        <v>33.388449999999999</v>
      </c>
      <c r="D2450" s="526" t="s">
        <v>2665</v>
      </c>
      <c r="E2450" s="526" t="s">
        <v>4819</v>
      </c>
      <c r="F2450" s="526" t="s">
        <v>4820</v>
      </c>
      <c r="G2450" s="526" t="s">
        <v>2665</v>
      </c>
      <c r="H2450" s="412">
        <v>924.51124000000004</v>
      </c>
      <c r="I2450" s="411">
        <v>33.388449999999999</v>
      </c>
      <c r="J2450" s="411">
        <v>124.31495</v>
      </c>
      <c r="K2450" s="411">
        <v>12710.120929999999</v>
      </c>
      <c r="L2450" s="526" t="s">
        <v>710</v>
      </c>
    </row>
    <row r="2451" spans="1:12" ht="15" x14ac:dyDescent="0.25">
      <c r="A2451">
        <v>89116</v>
      </c>
      <c r="B2451" t="str">
        <f t="shared" si="108"/>
        <v>SEVROLL Cleft spodné vedenie 1,7m zlatá</v>
      </c>
      <c r="C2451" s="198">
        <f t="shared" si="109"/>
        <v>6.5603600000000002</v>
      </c>
      <c r="D2451" s="526" t="s">
        <v>2666</v>
      </c>
      <c r="E2451" s="526" t="s">
        <v>5133</v>
      </c>
      <c r="F2451" s="526" t="s">
        <v>5134</v>
      </c>
      <c r="G2451" s="526" t="s">
        <v>5135</v>
      </c>
      <c r="H2451" s="412" t="e">
        <v>#N/A</v>
      </c>
      <c r="I2451" s="411">
        <v>6.5603600000000002</v>
      </c>
      <c r="J2451" s="411">
        <v>0</v>
      </c>
      <c r="K2451" s="411">
        <v>2839.22181</v>
      </c>
      <c r="L2451" s="526" t="e">
        <v>#N/A</v>
      </c>
    </row>
    <row r="2452" spans="1:12" ht="15" x14ac:dyDescent="0.25">
      <c r="A2452">
        <v>89117</v>
      </c>
      <c r="B2452" t="str">
        <f t="shared" si="108"/>
        <v>SEVROLL Cleft spodné vedenie 1,7m oliva</v>
      </c>
      <c r="C2452" s="198">
        <f t="shared" si="109"/>
        <v>6.5603600000000002</v>
      </c>
      <c r="D2452" s="526" t="s">
        <v>2667</v>
      </c>
      <c r="E2452" s="526" t="s">
        <v>5129</v>
      </c>
      <c r="F2452" s="526" t="s">
        <v>1090</v>
      </c>
      <c r="G2452" s="526" t="s">
        <v>5130</v>
      </c>
      <c r="H2452" s="412">
        <v>166.1</v>
      </c>
      <c r="I2452" s="411">
        <v>6.5603600000000002</v>
      </c>
      <c r="J2452" s="411">
        <v>0</v>
      </c>
      <c r="K2452" s="411">
        <v>2839.22181</v>
      </c>
      <c r="L2452" s="526" t="s">
        <v>555</v>
      </c>
    </row>
    <row r="2453" spans="1:12" ht="15" x14ac:dyDescent="0.25">
      <c r="A2453">
        <v>89118</v>
      </c>
      <c r="B2453" t="str">
        <f t="shared" si="108"/>
        <v>SEVROLL Cleft spodné vedenie 1,7m strieborná</v>
      </c>
      <c r="C2453" s="198">
        <f t="shared" si="109"/>
        <v>6.5603600000000002</v>
      </c>
      <c r="D2453" s="526" t="s">
        <v>2668</v>
      </c>
      <c r="E2453" s="526" t="s">
        <v>5131</v>
      </c>
      <c r="F2453" s="526" t="s">
        <v>1089</v>
      </c>
      <c r="G2453" s="526" t="s">
        <v>5132</v>
      </c>
      <c r="H2453" s="412">
        <v>166.1</v>
      </c>
      <c r="I2453" s="411">
        <v>6.5603600000000002</v>
      </c>
      <c r="J2453" s="411">
        <v>0</v>
      </c>
      <c r="K2453" s="411">
        <v>2839.22181</v>
      </c>
      <c r="L2453" s="526" t="s">
        <v>555</v>
      </c>
    </row>
    <row r="2454" spans="1:12" ht="15" x14ac:dyDescent="0.25">
      <c r="A2454">
        <v>89122</v>
      </c>
      <c r="B2454" t="str">
        <f t="shared" si="108"/>
        <v>SEVROLL spodné vedenie 3m zlatá</v>
      </c>
      <c r="C2454" s="198">
        <f t="shared" si="109"/>
        <v>11.426310000000001</v>
      </c>
      <c r="D2454" s="526" t="s">
        <v>2669</v>
      </c>
      <c r="E2454" s="526" t="s">
        <v>5136</v>
      </c>
      <c r="F2454" s="526" t="s">
        <v>1088</v>
      </c>
      <c r="G2454" s="526" t="s">
        <v>5137</v>
      </c>
      <c r="H2454" s="412" t="e">
        <v>#N/A</v>
      </c>
      <c r="I2454" s="411">
        <v>11.426310000000001</v>
      </c>
      <c r="J2454" s="411">
        <v>0</v>
      </c>
      <c r="K2454" s="411">
        <v>4945.1346899999999</v>
      </c>
      <c r="L2454" s="526" t="e">
        <v>#N/A</v>
      </c>
    </row>
    <row r="2455" spans="1:12" ht="15" x14ac:dyDescent="0.25">
      <c r="A2455">
        <v>89125</v>
      </c>
      <c r="B2455" t="str">
        <f t="shared" si="108"/>
        <v>SEVROLL spodné vedenie 4,05m zlatá</v>
      </c>
      <c r="C2455" s="198">
        <f t="shared" si="109"/>
        <v>14.684760000000001</v>
      </c>
      <c r="D2455" s="526" t="s">
        <v>2670</v>
      </c>
      <c r="E2455" s="526" t="s">
        <v>5138</v>
      </c>
      <c r="F2455" s="526" t="s">
        <v>1087</v>
      </c>
      <c r="G2455" s="526" t="s">
        <v>5139</v>
      </c>
      <c r="H2455" s="412" t="e">
        <v>#N/A</v>
      </c>
      <c r="I2455" s="411">
        <v>14.684760000000001</v>
      </c>
      <c r="J2455" s="411">
        <v>0</v>
      </c>
      <c r="K2455" s="411">
        <v>6355.3441899999998</v>
      </c>
      <c r="L2455" s="526" t="e">
        <v>#N/A</v>
      </c>
    </row>
    <row r="2456" spans="1:12" ht="15" x14ac:dyDescent="0.25">
      <c r="A2456">
        <v>89131</v>
      </c>
      <c r="B2456" t="str">
        <f t="shared" si="108"/>
        <v>SEVROLL dorazový kartáč samolepiaci 6,7x4mm</v>
      </c>
      <c r="C2456" s="198">
        <f t="shared" si="109"/>
        <v>0.17854</v>
      </c>
      <c r="D2456" s="526" t="s">
        <v>1205</v>
      </c>
      <c r="E2456" s="526" t="s">
        <v>5148</v>
      </c>
      <c r="F2456" s="526" t="s">
        <v>1218</v>
      </c>
      <c r="G2456" s="526" t="s">
        <v>5149</v>
      </c>
      <c r="H2456" s="412">
        <v>5.5341199999999997</v>
      </c>
      <c r="I2456" s="411">
        <v>0.17854</v>
      </c>
      <c r="J2456" s="411">
        <v>1.0506</v>
      </c>
      <c r="K2456" s="411">
        <v>50.292679999999997</v>
      </c>
      <c r="L2456" s="526" t="s">
        <v>710</v>
      </c>
    </row>
    <row r="2457" spans="1:12" ht="15" x14ac:dyDescent="0.25">
      <c r="A2457">
        <v>89132</v>
      </c>
      <c r="B2457" t="str">
        <f t="shared" si="108"/>
        <v>SEVROLL uholník Mini 17x11mm 1,7m zlatá</v>
      </c>
      <c r="C2457" s="198">
        <f t="shared" si="109"/>
        <v>3.03322</v>
      </c>
      <c r="D2457" s="526" t="s">
        <v>3603</v>
      </c>
      <c r="E2457" s="526" t="s">
        <v>3604</v>
      </c>
      <c r="F2457" s="526" t="s">
        <v>3605</v>
      </c>
      <c r="G2457" s="526" t="s">
        <v>3606</v>
      </c>
      <c r="H2457" s="412">
        <v>84.306280000000001</v>
      </c>
      <c r="I2457" s="411">
        <v>3.03322</v>
      </c>
      <c r="J2457" s="411">
        <v>10.26183</v>
      </c>
      <c r="K2457" s="411">
        <v>1154.6691699999999</v>
      </c>
      <c r="L2457" s="526" t="s">
        <v>554</v>
      </c>
    </row>
    <row r="2458" spans="1:12" ht="15" x14ac:dyDescent="0.25">
      <c r="A2458">
        <v>89133</v>
      </c>
      <c r="B2458" t="str">
        <f t="shared" si="108"/>
        <v>SEVROLL 00903 uholník Mini 17x11mm 1,7m oliva</v>
      </c>
      <c r="C2458" s="198">
        <f t="shared" si="109"/>
        <v>3.03322</v>
      </c>
      <c r="D2458" s="526" t="s">
        <v>3610</v>
      </c>
      <c r="E2458" s="526" t="s">
        <v>3611</v>
      </c>
      <c r="F2458" s="526" t="s">
        <v>3612</v>
      </c>
      <c r="G2458" s="526" t="s">
        <v>2671</v>
      </c>
      <c r="H2458" s="412">
        <v>84.306280000000001</v>
      </c>
      <c r="I2458" s="411">
        <v>3.03322</v>
      </c>
      <c r="J2458" s="411">
        <v>10.26183</v>
      </c>
      <c r="K2458" s="411">
        <v>1154.6691699999999</v>
      </c>
      <c r="L2458" s="526" t="s">
        <v>553</v>
      </c>
    </row>
    <row r="2459" spans="1:12" ht="15" x14ac:dyDescent="0.25">
      <c r="A2459">
        <v>89134</v>
      </c>
      <c r="B2459" t="str">
        <f t="shared" si="108"/>
        <v>SEVROLL 00102 úhelník Mini 17x11mm 1,7m strieborný</v>
      </c>
      <c r="C2459" s="198">
        <f t="shared" si="109"/>
        <v>2.42659</v>
      </c>
      <c r="D2459" s="526" t="s">
        <v>6168</v>
      </c>
      <c r="E2459" s="526" t="s">
        <v>6169</v>
      </c>
      <c r="F2459" s="526" t="s">
        <v>6170</v>
      </c>
      <c r="G2459" s="526" t="s">
        <v>2672</v>
      </c>
      <c r="H2459" s="412">
        <v>67.159239999999997</v>
      </c>
      <c r="I2459" s="411">
        <v>2.42659</v>
      </c>
      <c r="J2459" s="411">
        <v>8.7942400000000003</v>
      </c>
      <c r="K2459" s="411">
        <v>923.74121000000002</v>
      </c>
      <c r="L2459" s="526" t="s">
        <v>553</v>
      </c>
    </row>
    <row r="2460" spans="1:12" ht="15" x14ac:dyDescent="0.25">
      <c r="A2460">
        <v>89135</v>
      </c>
      <c r="B2460" t="str">
        <f t="shared" si="108"/>
        <v>SEVROLL uholník Mini 17x11mm 2,35m zlatá</v>
      </c>
      <c r="C2460" s="198">
        <f t="shared" si="109"/>
        <v>4.19299</v>
      </c>
      <c r="D2460" s="526" t="s">
        <v>3665</v>
      </c>
      <c r="E2460" s="526" t="s">
        <v>3666</v>
      </c>
      <c r="F2460" s="526" t="s">
        <v>3667</v>
      </c>
      <c r="G2460" s="526" t="s">
        <v>3668</v>
      </c>
      <c r="H2460" s="412">
        <v>116.09975</v>
      </c>
      <c r="I2460" s="411">
        <v>4.19299</v>
      </c>
      <c r="J2460" s="411">
        <v>14.18553</v>
      </c>
      <c r="K2460" s="411">
        <v>1596.1629499999999</v>
      </c>
      <c r="L2460" s="526" t="s">
        <v>554</v>
      </c>
    </row>
    <row r="2461" spans="1:12" ht="15" x14ac:dyDescent="0.25">
      <c r="A2461">
        <v>89136</v>
      </c>
      <c r="B2461" t="str">
        <f t="shared" si="108"/>
        <v>SEVROLL 00904 uholník Mini 17x11mm 2,35m oliva</v>
      </c>
      <c r="C2461" s="198">
        <f t="shared" si="109"/>
        <v>4.19299</v>
      </c>
      <c r="D2461" s="526" t="s">
        <v>3662</v>
      </c>
      <c r="E2461" s="526" t="s">
        <v>3663</v>
      </c>
      <c r="F2461" s="526" t="s">
        <v>3664</v>
      </c>
      <c r="G2461" s="526" t="s">
        <v>2673</v>
      </c>
      <c r="H2461" s="412">
        <v>116.09975</v>
      </c>
      <c r="I2461" s="411">
        <v>4.19299</v>
      </c>
      <c r="J2461" s="411">
        <v>14.18553</v>
      </c>
      <c r="K2461" s="411">
        <v>1596.1629499999999</v>
      </c>
      <c r="L2461" s="526" t="s">
        <v>553</v>
      </c>
    </row>
    <row r="2462" spans="1:12" ht="15" x14ac:dyDescent="0.25">
      <c r="A2462">
        <v>89137</v>
      </c>
      <c r="B2462" t="str">
        <f t="shared" si="108"/>
        <v>SEVROLL 00103 úhelník Mini 17x11mm 2,35m strieborný</v>
      </c>
      <c r="C2462" s="198">
        <f t="shared" si="109"/>
        <v>3.35439</v>
      </c>
      <c r="D2462" s="526" t="s">
        <v>3619</v>
      </c>
      <c r="E2462" s="526" t="s">
        <v>3620</v>
      </c>
      <c r="F2462" s="526" t="s">
        <v>3621</v>
      </c>
      <c r="G2462" s="526" t="s">
        <v>3622</v>
      </c>
      <c r="H2462" s="412">
        <v>92.879800000000003</v>
      </c>
      <c r="I2462" s="411">
        <v>3.35439</v>
      </c>
      <c r="J2462" s="411">
        <v>12.129440000000001</v>
      </c>
      <c r="K2462" s="411">
        <v>1276.9302</v>
      </c>
      <c r="L2462" s="526" t="s">
        <v>553</v>
      </c>
    </row>
    <row r="2463" spans="1:12" ht="15" x14ac:dyDescent="0.25">
      <c r="A2463">
        <v>89138</v>
      </c>
      <c r="B2463" t="str">
        <f t="shared" si="108"/>
        <v>SEVROLL uholník Mini 17x11mm 3m zlatá</v>
      </c>
      <c r="C2463" s="198">
        <f t="shared" si="109"/>
        <v>5.35276</v>
      </c>
      <c r="D2463" s="526" t="s">
        <v>3754</v>
      </c>
      <c r="E2463" s="526" t="s">
        <v>3755</v>
      </c>
      <c r="F2463" s="526" t="s">
        <v>3756</v>
      </c>
      <c r="G2463" s="526" t="s">
        <v>3757</v>
      </c>
      <c r="H2463" s="412">
        <v>147.89322000000001</v>
      </c>
      <c r="I2463" s="411">
        <v>5.35276</v>
      </c>
      <c r="J2463" s="411">
        <v>18.217759999999998</v>
      </c>
      <c r="K2463" s="411">
        <v>2037.65672</v>
      </c>
      <c r="L2463" s="526" t="s">
        <v>554</v>
      </c>
    </row>
    <row r="2464" spans="1:12" ht="15" x14ac:dyDescent="0.25">
      <c r="A2464">
        <v>89139</v>
      </c>
      <c r="B2464" t="str">
        <f t="shared" si="108"/>
        <v>SEVROLL 00905 uholník Mini 17x11mm 3m oliva</v>
      </c>
      <c r="C2464" s="198">
        <f t="shared" si="109"/>
        <v>5.35276</v>
      </c>
      <c r="D2464" s="526" t="s">
        <v>3750</v>
      </c>
      <c r="E2464" s="526" t="s">
        <v>3751</v>
      </c>
      <c r="F2464" s="526" t="s">
        <v>3752</v>
      </c>
      <c r="G2464" s="526" t="s">
        <v>3753</v>
      </c>
      <c r="H2464" s="412">
        <v>147.89322000000001</v>
      </c>
      <c r="I2464" s="411">
        <v>5.35276</v>
      </c>
      <c r="J2464" s="411">
        <v>18.217759999999998</v>
      </c>
      <c r="K2464" s="411">
        <v>2037.65672</v>
      </c>
      <c r="L2464" s="526" t="s">
        <v>553</v>
      </c>
    </row>
    <row r="2465" spans="1:12" ht="15" x14ac:dyDescent="0.25">
      <c r="A2465">
        <v>89140</v>
      </c>
      <c r="B2465" t="str">
        <f t="shared" si="108"/>
        <v>SEVROLL 00104 úhelník Mini 17x11mm 3m strieborný</v>
      </c>
      <c r="C2465" s="198">
        <f t="shared" si="109"/>
        <v>4.2821899999999999</v>
      </c>
      <c r="D2465" s="526" t="s">
        <v>3669</v>
      </c>
      <c r="E2465" s="526" t="s">
        <v>3670</v>
      </c>
      <c r="F2465" s="526" t="s">
        <v>3671</v>
      </c>
      <c r="G2465" s="526" t="s">
        <v>3672</v>
      </c>
      <c r="H2465" s="412">
        <v>118.60035999999999</v>
      </c>
      <c r="I2465" s="411">
        <v>4.2821899999999999</v>
      </c>
      <c r="J2465" s="411">
        <v>15.49611</v>
      </c>
      <c r="K2465" s="411">
        <v>1630.1191899999999</v>
      </c>
      <c r="L2465" s="526" t="s">
        <v>553</v>
      </c>
    </row>
    <row r="2466" spans="1:12" ht="15" x14ac:dyDescent="0.25">
      <c r="A2466">
        <v>89150</v>
      </c>
      <c r="B2466" t="str">
        <f t="shared" si="108"/>
        <v>SEVROLL Micra horn/spod.vedenie 1,7m str.elo</v>
      </c>
      <c r="C2466" s="198">
        <f t="shared" si="109"/>
        <v>3.3285900000000002</v>
      </c>
      <c r="D2466" s="526" t="s">
        <v>2674</v>
      </c>
      <c r="E2466" s="526" t="s">
        <v>3654</v>
      </c>
      <c r="F2466" s="526" t="s">
        <v>1251</v>
      </c>
      <c r="G2466" s="526" t="s">
        <v>3655</v>
      </c>
      <c r="H2466" s="412">
        <v>92.16534</v>
      </c>
      <c r="I2466" s="411">
        <v>3.3285900000000002</v>
      </c>
      <c r="J2466" s="411">
        <v>11.699400000000001</v>
      </c>
      <c r="K2466" s="411">
        <v>1267.1075900000001</v>
      </c>
      <c r="L2466" s="526" t="s">
        <v>553</v>
      </c>
    </row>
    <row r="2467" spans="1:12" ht="15" x14ac:dyDescent="0.25">
      <c r="A2467">
        <v>89151</v>
      </c>
      <c r="B2467" t="str">
        <f t="shared" si="108"/>
        <v>SEVROLL Micra hor/spod.vedenie 2,35m str.elo</v>
      </c>
      <c r="C2467" s="198">
        <f t="shared" si="109"/>
        <v>4.6187399999999998</v>
      </c>
      <c r="D2467" s="526" t="s">
        <v>2675</v>
      </c>
      <c r="E2467" s="526" t="s">
        <v>3765</v>
      </c>
      <c r="F2467" s="526" t="s">
        <v>1250</v>
      </c>
      <c r="G2467" s="526" t="s">
        <v>3766</v>
      </c>
      <c r="H2467" s="412">
        <v>127.88834</v>
      </c>
      <c r="I2467" s="411">
        <v>4.6187399999999998</v>
      </c>
      <c r="J2467" s="411">
        <v>16.1568</v>
      </c>
      <c r="K2467" s="411">
        <v>1758.23459</v>
      </c>
      <c r="L2467" s="526" t="s">
        <v>553</v>
      </c>
    </row>
    <row r="2468" spans="1:12" ht="15" x14ac:dyDescent="0.25">
      <c r="A2468">
        <v>89152</v>
      </c>
      <c r="B2468" t="str">
        <f t="shared" si="108"/>
        <v>SEVROLL Micra horné/spod.vedenie 3m str.elox</v>
      </c>
      <c r="C2468" s="198">
        <f t="shared" si="109"/>
        <v>5.8830799999999996</v>
      </c>
      <c r="D2468" s="526" t="s">
        <v>2676</v>
      </c>
      <c r="E2468" s="526" t="s">
        <v>3856</v>
      </c>
      <c r="F2468" s="526" t="s">
        <v>1249</v>
      </c>
      <c r="G2468" s="526" t="s">
        <v>3857</v>
      </c>
      <c r="H2468" s="412">
        <v>162.89688000000001</v>
      </c>
      <c r="I2468" s="411">
        <v>5.8830799999999996</v>
      </c>
      <c r="J2468" s="411">
        <v>20.6448</v>
      </c>
      <c r="K2468" s="411">
        <v>2239.5389700000001</v>
      </c>
      <c r="L2468" s="526" t="s">
        <v>553</v>
      </c>
    </row>
    <row r="2469" spans="1:12" ht="15" x14ac:dyDescent="0.25">
      <c r="A2469">
        <v>89156</v>
      </c>
      <c r="B2469" t="str">
        <f t="shared" si="108"/>
        <v>SEVROLL 50233 Micra horné/spodné vedenie 1,7m surová</v>
      </c>
      <c r="C2469" s="198">
        <f t="shared" si="109"/>
        <v>2.5802999999999998</v>
      </c>
      <c r="D2469" s="526" t="s">
        <v>2677</v>
      </c>
      <c r="E2469" s="526" t="s">
        <v>6171</v>
      </c>
      <c r="F2469" s="526" t="s">
        <v>6172</v>
      </c>
      <c r="G2469" s="526" t="s">
        <v>6173</v>
      </c>
      <c r="H2469" s="412">
        <v>71.445999999999998</v>
      </c>
      <c r="I2469" s="411">
        <v>2.5802999999999998</v>
      </c>
      <c r="J2469" s="411">
        <v>8.7555999999999994</v>
      </c>
      <c r="K2469" s="411">
        <v>982.25400000000002</v>
      </c>
      <c r="L2469" s="526" t="s">
        <v>553</v>
      </c>
    </row>
    <row r="2470" spans="1:12" ht="15" x14ac:dyDescent="0.25">
      <c r="A2470">
        <v>89157</v>
      </c>
      <c r="B2470" t="str">
        <f t="shared" si="108"/>
        <v>SEVROLL 50235 Micra horné/spodné vedenie 2,35m surová</v>
      </c>
      <c r="C2470" s="198">
        <f t="shared" si="109"/>
        <v>3.5866199999999999</v>
      </c>
      <c r="D2470" s="526" t="s">
        <v>2678</v>
      </c>
      <c r="E2470" s="526" t="s">
        <v>3613</v>
      </c>
      <c r="F2470" s="526" t="s">
        <v>3614</v>
      </c>
      <c r="G2470" s="526" t="s">
        <v>3615</v>
      </c>
      <c r="H2470" s="412">
        <v>99.309939999999997</v>
      </c>
      <c r="I2470" s="411">
        <v>3.5866199999999999</v>
      </c>
      <c r="J2470" s="411">
        <v>12.084</v>
      </c>
      <c r="K2470" s="411">
        <v>1365.3329900000001</v>
      </c>
      <c r="L2470" s="526" t="s">
        <v>553</v>
      </c>
    </row>
    <row r="2471" spans="1:12" ht="15" x14ac:dyDescent="0.25">
      <c r="A2471">
        <v>89158</v>
      </c>
      <c r="B2471" t="str">
        <f t="shared" si="108"/>
        <v>SEVROLL 50236 Micra horné/spodné vedenie 3m surová</v>
      </c>
      <c r="C2471" s="198">
        <f t="shared" si="109"/>
        <v>4.5671299999999997</v>
      </c>
      <c r="D2471" s="526" t="s">
        <v>2679</v>
      </c>
      <c r="E2471" s="526" t="s">
        <v>3659</v>
      </c>
      <c r="F2471" s="526" t="s">
        <v>3660</v>
      </c>
      <c r="G2471" s="526" t="s">
        <v>3661</v>
      </c>
      <c r="H2471" s="412">
        <v>126.45941999999999</v>
      </c>
      <c r="I2471" s="411">
        <v>4.5671299999999997</v>
      </c>
      <c r="J2471" s="411">
        <v>15.4442</v>
      </c>
      <c r="K2471" s="411">
        <v>1738.5897299999999</v>
      </c>
      <c r="L2471" s="526" t="s">
        <v>553</v>
      </c>
    </row>
    <row r="2472" spans="1:12" ht="15" x14ac:dyDescent="0.25">
      <c r="A2472">
        <v>89172</v>
      </c>
      <c r="B2472" t="str">
        <f t="shared" si="108"/>
        <v>SEVROLL 258-MASKA CLEFT 1,7M ZLATÁ</v>
      </c>
      <c r="C2472" s="198">
        <f t="shared" si="109"/>
        <v>2.3460899999999998</v>
      </c>
      <c r="D2472" s="526" t="s">
        <v>1080</v>
      </c>
      <c r="E2472" s="526" t="s">
        <v>5438</v>
      </c>
      <c r="F2472" s="526" t="s">
        <v>5439</v>
      </c>
      <c r="G2472" s="526" t="s">
        <v>5440</v>
      </c>
      <c r="H2472" s="412" t="e">
        <v>#N/A</v>
      </c>
      <c r="I2472" s="411">
        <v>2.3460899999999998</v>
      </c>
      <c r="J2472" s="411">
        <v>0</v>
      </c>
      <c r="K2472" s="411">
        <v>1015.35085</v>
      </c>
      <c r="L2472" s="526" t="e">
        <v>#N/A</v>
      </c>
    </row>
    <row r="2473" spans="1:12" ht="15" x14ac:dyDescent="0.25">
      <c r="A2473">
        <v>89175</v>
      </c>
      <c r="B2473" t="str">
        <f t="shared" si="108"/>
        <v>SEVROLL 259-MASKA CLEFT 2,35M ZLATÁ</v>
      </c>
      <c r="C2473" s="198">
        <f t="shared" si="109"/>
        <v>3.3801000000000001</v>
      </c>
      <c r="D2473" s="526" t="s">
        <v>1078</v>
      </c>
      <c r="E2473" s="526" t="s">
        <v>5444</v>
      </c>
      <c r="F2473" s="526" t="s">
        <v>5445</v>
      </c>
      <c r="G2473" s="526" t="s">
        <v>5446</v>
      </c>
      <c r="H2473" s="412" t="e">
        <v>#N/A</v>
      </c>
      <c r="I2473" s="411">
        <v>3.3801000000000001</v>
      </c>
      <c r="J2473" s="411">
        <v>0</v>
      </c>
      <c r="K2473" s="411">
        <v>1462.85733</v>
      </c>
      <c r="L2473" s="526" t="e">
        <v>#N/A</v>
      </c>
    </row>
    <row r="2474" spans="1:12" ht="15" x14ac:dyDescent="0.25">
      <c r="A2474">
        <v>89177</v>
      </c>
      <c r="B2474" t="str">
        <f t="shared" si="108"/>
        <v>SEVROLL 259-MASKA CLEFT 2,35M STRIEBOR.</v>
      </c>
      <c r="C2474" s="198">
        <f t="shared" si="109"/>
        <v>3.3801000000000001</v>
      </c>
      <c r="D2474" s="526" t="s">
        <v>1079</v>
      </c>
      <c r="E2474" s="526" t="s">
        <v>5441</v>
      </c>
      <c r="F2474" s="526" t="s">
        <v>5442</v>
      </c>
      <c r="G2474" s="526" t="s">
        <v>5443</v>
      </c>
      <c r="H2474" s="412">
        <v>85.58</v>
      </c>
      <c r="I2474" s="411">
        <v>3.3801000000000001</v>
      </c>
      <c r="J2474" s="411">
        <v>0</v>
      </c>
      <c r="K2474" s="411">
        <v>1462.85733</v>
      </c>
      <c r="L2474" s="526" t="s">
        <v>555</v>
      </c>
    </row>
    <row r="2475" spans="1:12" ht="15" x14ac:dyDescent="0.25">
      <c r="A2475">
        <v>89178</v>
      </c>
      <c r="B2475" t="str">
        <f t="shared" si="108"/>
        <v>SEVROLL 260-MASKA CLEFT 3M ZLATÁ</v>
      </c>
      <c r="C2475" s="198">
        <f t="shared" si="109"/>
        <v>4.1404100000000001</v>
      </c>
      <c r="D2475" s="526" t="s">
        <v>1077</v>
      </c>
      <c r="E2475" s="526" t="s">
        <v>5447</v>
      </c>
      <c r="F2475" s="526" t="s">
        <v>5448</v>
      </c>
      <c r="G2475" s="526" t="s">
        <v>5449</v>
      </c>
      <c r="H2475" s="412" t="e">
        <v>#N/A</v>
      </c>
      <c r="I2475" s="411">
        <v>4.1404100000000001</v>
      </c>
      <c r="J2475" s="411">
        <v>0</v>
      </c>
      <c r="K2475" s="411">
        <v>1791.9062200000001</v>
      </c>
      <c r="L2475" s="526" t="e">
        <v>#N/A</v>
      </c>
    </row>
    <row r="2476" spans="1:12" ht="15" x14ac:dyDescent="0.25">
      <c r="A2476">
        <v>89187</v>
      </c>
      <c r="B2476" t="str">
        <f t="shared" si="108"/>
        <v>SEVROLL spojovaciá lišta "T" 3m oliva</v>
      </c>
      <c r="C2476" s="198">
        <f t="shared" si="109"/>
        <v>11.766170000000001</v>
      </c>
      <c r="D2476" s="526" t="s">
        <v>2680</v>
      </c>
      <c r="E2476" s="526" t="s">
        <v>4144</v>
      </c>
      <c r="F2476" s="526" t="s">
        <v>1235</v>
      </c>
      <c r="G2476" s="526" t="s">
        <v>4145</v>
      </c>
      <c r="H2476" s="412">
        <v>325.79376000000002</v>
      </c>
      <c r="I2476" s="411">
        <v>11.766170000000001</v>
      </c>
      <c r="J2476" s="411">
        <v>39.915799999999997</v>
      </c>
      <c r="K2476" s="411">
        <v>4479.0783099999999</v>
      </c>
      <c r="L2476" s="526" t="s">
        <v>553</v>
      </c>
    </row>
    <row r="2477" spans="1:12" ht="15" x14ac:dyDescent="0.25">
      <c r="A2477">
        <v>89188</v>
      </c>
      <c r="B2477" t="str">
        <f t="shared" si="108"/>
        <v>SEVROLL spojovaciá lišta "T" 3m strieborná</v>
      </c>
      <c r="C2477" s="198">
        <f t="shared" si="109"/>
        <v>9.5729100000000003</v>
      </c>
      <c r="D2477" s="526" t="s">
        <v>2681</v>
      </c>
      <c r="E2477" s="526" t="s">
        <v>4122</v>
      </c>
      <c r="F2477" s="526" t="s">
        <v>1234</v>
      </c>
      <c r="G2477" s="526" t="s">
        <v>4123</v>
      </c>
      <c r="H2477" s="412">
        <v>265.06466</v>
      </c>
      <c r="I2477" s="411">
        <v>9.5729100000000003</v>
      </c>
      <c r="J2477" s="411">
        <v>33.609000000000002</v>
      </c>
      <c r="K2477" s="411">
        <v>3644.1624099999999</v>
      </c>
      <c r="L2477" s="526" t="s">
        <v>553</v>
      </c>
    </row>
    <row r="2478" spans="1:12" ht="15" x14ac:dyDescent="0.25">
      <c r="A2478">
        <v>89224</v>
      </c>
      <c r="B2478" t="str">
        <f t="shared" si="108"/>
        <v>SEVROLL spodná krycia lišta 3m 10mm strieborná</v>
      </c>
      <c r="C2478" s="198">
        <f t="shared" si="109"/>
        <v>25.67399</v>
      </c>
      <c r="D2478" s="526" t="s">
        <v>2682</v>
      </c>
      <c r="E2478" s="526" t="s">
        <v>5562</v>
      </c>
      <c r="F2478" s="526" t="s">
        <v>5563</v>
      </c>
      <c r="G2478" s="526" t="s">
        <v>5564</v>
      </c>
      <c r="H2478" s="412">
        <v>710.8877</v>
      </c>
      <c r="I2478" s="411">
        <v>25.67399</v>
      </c>
      <c r="J2478" s="411">
        <v>95.563800000000001</v>
      </c>
      <c r="K2478" s="411">
        <v>9773.4272999999994</v>
      </c>
      <c r="L2478" s="526" t="s">
        <v>553</v>
      </c>
    </row>
    <row r="2479" spans="1:12" ht="15" x14ac:dyDescent="0.25">
      <c r="A2479">
        <v>89225</v>
      </c>
      <c r="B2479" t="str">
        <f t="shared" si="108"/>
        <v>SEVROLL spodná krycia lišta 3m 10mm oliva</v>
      </c>
      <c r="C2479" s="198">
        <f t="shared" si="109"/>
        <v>31.376449999999998</v>
      </c>
      <c r="D2479" s="526" t="s">
        <v>2683</v>
      </c>
      <c r="E2479" s="526" t="s">
        <v>5556</v>
      </c>
      <c r="F2479" s="526" t="s">
        <v>5557</v>
      </c>
      <c r="G2479" s="526" t="s">
        <v>5558</v>
      </c>
      <c r="H2479" s="412">
        <v>868.78336000000002</v>
      </c>
      <c r="I2479" s="411">
        <v>31.376449999999998</v>
      </c>
      <c r="J2479" s="411">
        <v>106.071</v>
      </c>
      <c r="K2479" s="411">
        <v>11944.208710000001</v>
      </c>
      <c r="L2479" s="526" t="s">
        <v>553</v>
      </c>
    </row>
    <row r="2480" spans="1:12" ht="15" x14ac:dyDescent="0.25">
      <c r="A2480">
        <v>89226</v>
      </c>
      <c r="B2480" t="str">
        <f t="shared" si="108"/>
        <v>SEVROLL spodná krycia lišta 2,35m 10mm strieborná</v>
      </c>
      <c r="C2480" s="198">
        <f t="shared" si="109"/>
        <v>20.074729999999999</v>
      </c>
      <c r="D2480" s="526" t="s">
        <v>2684</v>
      </c>
      <c r="E2480" s="526" t="s">
        <v>5544</v>
      </c>
      <c r="F2480" s="526" t="s">
        <v>5545</v>
      </c>
      <c r="G2480" s="526" t="s">
        <v>5546</v>
      </c>
      <c r="H2480" s="412">
        <v>555.84987999999998</v>
      </c>
      <c r="I2480" s="411">
        <v>20.074729999999999</v>
      </c>
      <c r="J2480" s="411">
        <v>74.827200000000005</v>
      </c>
      <c r="K2480" s="411">
        <v>7641.9359700000005</v>
      </c>
      <c r="L2480" s="526" t="s">
        <v>553</v>
      </c>
    </row>
    <row r="2481" spans="1:12" ht="15" x14ac:dyDescent="0.25">
      <c r="A2481">
        <v>89227</v>
      </c>
      <c r="B2481" t="str">
        <f t="shared" si="108"/>
        <v>SEVROLL spodná krycia lišta 2,35m 10mm oliva</v>
      </c>
      <c r="C2481" s="198">
        <f t="shared" si="109"/>
        <v>24.51285</v>
      </c>
      <c r="D2481" s="526" t="s">
        <v>2685</v>
      </c>
      <c r="E2481" s="526" t="s">
        <v>5538</v>
      </c>
      <c r="F2481" s="526" t="s">
        <v>5539</v>
      </c>
      <c r="G2481" s="526" t="s">
        <v>5540</v>
      </c>
      <c r="H2481" s="412">
        <v>678.73699999999997</v>
      </c>
      <c r="I2481" s="411">
        <v>24.51285</v>
      </c>
      <c r="J2481" s="411">
        <v>83.0655</v>
      </c>
      <c r="K2481" s="411">
        <v>9331.4130000000005</v>
      </c>
      <c r="L2481" s="526" t="s">
        <v>553</v>
      </c>
    </row>
    <row r="2482" spans="1:12" ht="15" x14ac:dyDescent="0.25">
      <c r="A2482">
        <v>89228</v>
      </c>
      <c r="B2482" t="str">
        <f t="shared" si="108"/>
        <v>SEVROLL spodná krycia lišta 1,7m 10mm strieborná</v>
      </c>
      <c r="C2482" s="198">
        <f t="shared" si="109"/>
        <v>14.527089999999999</v>
      </c>
      <c r="D2482" s="526" t="s">
        <v>2686</v>
      </c>
      <c r="E2482" s="526" t="s">
        <v>5529</v>
      </c>
      <c r="F2482" s="526" t="s">
        <v>5530</v>
      </c>
      <c r="G2482" s="526" t="s">
        <v>5531</v>
      </c>
      <c r="H2482" s="412">
        <v>402.24097999999998</v>
      </c>
      <c r="I2482" s="411">
        <v>14.527089999999999</v>
      </c>
      <c r="J2482" s="411">
        <v>54.141599999999997</v>
      </c>
      <c r="K2482" s="411">
        <v>5530.0898699999998</v>
      </c>
      <c r="L2482" s="526" t="s">
        <v>553</v>
      </c>
    </row>
    <row r="2483" spans="1:12" ht="15" x14ac:dyDescent="0.25">
      <c r="A2483">
        <v>89229</v>
      </c>
      <c r="B2483" t="str">
        <f t="shared" si="108"/>
        <v>SEVROLL spodná krycia lišta 1,7m 10mm oliva</v>
      </c>
      <c r="C2483" s="198">
        <f t="shared" si="109"/>
        <v>17.778269999999999</v>
      </c>
      <c r="D2483" s="526" t="s">
        <v>2687</v>
      </c>
      <c r="E2483" s="526" t="s">
        <v>5523</v>
      </c>
      <c r="F2483" s="526" t="s">
        <v>5524</v>
      </c>
      <c r="G2483" s="526" t="s">
        <v>5525</v>
      </c>
      <c r="H2483" s="412">
        <v>492.26294000000001</v>
      </c>
      <c r="I2483" s="411">
        <v>17.778269999999999</v>
      </c>
      <c r="J2483" s="411">
        <v>60.091500000000003</v>
      </c>
      <c r="K2483" s="411">
        <v>6767.7299899999998</v>
      </c>
      <c r="L2483" s="526" t="s">
        <v>553</v>
      </c>
    </row>
    <row r="2484" spans="1:12" ht="15" x14ac:dyDescent="0.25">
      <c r="A2484">
        <v>89230</v>
      </c>
      <c r="B2484" t="str">
        <f t="shared" si="108"/>
        <v>SEVROLL 206 VOD.LIŠTA HOR.1,7M STRIEBOR.</v>
      </c>
      <c r="C2484" s="198">
        <f t="shared" si="109"/>
        <v>8.0076999999999998</v>
      </c>
      <c r="D2484" s="526" t="s">
        <v>2688</v>
      </c>
      <c r="E2484" s="526" t="s">
        <v>5345</v>
      </c>
      <c r="F2484" s="526" t="s">
        <v>5346</v>
      </c>
      <c r="G2484" s="526" t="s">
        <v>5347</v>
      </c>
      <c r="H2484" s="412">
        <v>221.48259999999999</v>
      </c>
      <c r="I2484" s="411">
        <v>8.0076999999999998</v>
      </c>
      <c r="J2484" s="411">
        <v>46.144799999999996</v>
      </c>
      <c r="K2484" s="411">
        <v>3048.3269500000001</v>
      </c>
      <c r="L2484" s="526" t="s">
        <v>553</v>
      </c>
    </row>
    <row r="2485" spans="1:12" ht="15" x14ac:dyDescent="0.25">
      <c r="A2485">
        <v>89231</v>
      </c>
      <c r="B2485" t="str">
        <f t="shared" si="108"/>
        <v>SEVROLL 206 VOD.LIŠTA HOR.1,7M OLIVOVÁ</v>
      </c>
      <c r="C2485" s="198">
        <f t="shared" si="109"/>
        <v>9.54711</v>
      </c>
      <c r="D2485" s="526" t="s">
        <v>2689</v>
      </c>
      <c r="E2485" s="526" t="s">
        <v>5337</v>
      </c>
      <c r="F2485" s="526" t="s">
        <v>5338</v>
      </c>
      <c r="G2485" s="526" t="s">
        <v>5339</v>
      </c>
      <c r="H2485" s="412">
        <v>264.35019999999997</v>
      </c>
      <c r="I2485" s="411">
        <v>9.54711</v>
      </c>
      <c r="J2485" s="411">
        <v>50.755200000000002</v>
      </c>
      <c r="K2485" s="411">
        <v>3634.3398000000002</v>
      </c>
      <c r="L2485" s="526" t="s">
        <v>553</v>
      </c>
    </row>
    <row r="2486" spans="1:12" ht="15" x14ac:dyDescent="0.25">
      <c r="A2486">
        <v>89232</v>
      </c>
      <c r="B2486" t="str">
        <f t="shared" si="108"/>
        <v>SEVROLL 207 VOD.LIŠTA HOR.2,35M STRIEBOR</v>
      </c>
      <c r="C2486" s="198">
        <f t="shared" si="109"/>
        <v>11.06949</v>
      </c>
      <c r="D2486" s="526" t="s">
        <v>2690</v>
      </c>
      <c r="E2486" s="526" t="s">
        <v>5361</v>
      </c>
      <c r="F2486" s="526" t="s">
        <v>5362</v>
      </c>
      <c r="G2486" s="526" t="s">
        <v>5363</v>
      </c>
      <c r="H2486" s="412">
        <v>306.50333999999998</v>
      </c>
      <c r="I2486" s="411">
        <v>11.06949</v>
      </c>
      <c r="J2486" s="411">
        <v>63.801000000000002</v>
      </c>
      <c r="K2486" s="411">
        <v>4213.8695900000002</v>
      </c>
      <c r="L2486" s="526" t="s">
        <v>553</v>
      </c>
    </row>
    <row r="2487" spans="1:12" ht="15" x14ac:dyDescent="0.25">
      <c r="A2487">
        <v>89233</v>
      </c>
      <c r="B2487" t="str">
        <f t="shared" si="108"/>
        <v>SEVROLL 207 VOD.LIŠTA HOR.2,35M OLIVOVÁ</v>
      </c>
      <c r="C2487" s="198">
        <f t="shared" si="109"/>
        <v>13.236940000000001</v>
      </c>
      <c r="D2487" s="526" t="s">
        <v>2691</v>
      </c>
      <c r="E2487" s="526" t="s">
        <v>5353</v>
      </c>
      <c r="F2487" s="526" t="s">
        <v>5354</v>
      </c>
      <c r="G2487" s="526" t="s">
        <v>5355</v>
      </c>
      <c r="H2487" s="412">
        <v>366.51798000000002</v>
      </c>
      <c r="I2487" s="411">
        <v>13.236940000000001</v>
      </c>
      <c r="J2487" s="411">
        <v>70.186199999999999</v>
      </c>
      <c r="K2487" s="411">
        <v>5038.9628700000003</v>
      </c>
      <c r="L2487" s="526" t="s">
        <v>553</v>
      </c>
    </row>
    <row r="2488" spans="1:12" ht="15" x14ac:dyDescent="0.25">
      <c r="A2488">
        <v>89234</v>
      </c>
      <c r="B2488" t="str">
        <f t="shared" si="108"/>
        <v>SEVROLL 208 VOD.LIŠTA HOR 3M STRIEBOR.</v>
      </c>
      <c r="C2488" s="198">
        <f t="shared" si="109"/>
        <v>14.13128</v>
      </c>
      <c r="D2488" s="526" t="s">
        <v>2692</v>
      </c>
      <c r="E2488" s="526" t="s">
        <v>5380</v>
      </c>
      <c r="F2488" s="526" t="s">
        <v>5381</v>
      </c>
      <c r="G2488" s="526" t="s">
        <v>5382</v>
      </c>
      <c r="H2488" s="412">
        <v>391.52408000000003</v>
      </c>
      <c r="I2488" s="411">
        <v>14.13128</v>
      </c>
      <c r="J2488" s="411">
        <v>81.426599999999993</v>
      </c>
      <c r="K2488" s="411">
        <v>5379.4122299999999</v>
      </c>
      <c r="L2488" s="526" t="s">
        <v>553</v>
      </c>
    </row>
    <row r="2489" spans="1:12" ht="15" x14ac:dyDescent="0.25">
      <c r="A2489">
        <v>89235</v>
      </c>
      <c r="B2489" t="str">
        <f t="shared" ref="B2489:B2552" si="110">IF($A$2=1,D2489,IF($A$2=2,F2489,IF($A$2=3,G2489,IF($A$2=4,E2489,"zadat jazyk"))))</f>
        <v>SEVROLL 208 VOD.LIŠTA HOR 3M OLIVOVÁ</v>
      </c>
      <c r="C2489" s="198">
        <f t="shared" ref="C2489:C2552" si="111">IF($A$2=1,H2489,IF($A$2=2,I2489,IF($A$2=3,J2489,IF($A$2=4,K2489,"zadat jazyk"))))</f>
        <v>16.900970000000001</v>
      </c>
      <c r="D2489" s="526" t="s">
        <v>2693</v>
      </c>
      <c r="E2489" s="526" t="s">
        <v>5372</v>
      </c>
      <c r="F2489" s="526" t="s">
        <v>5373</v>
      </c>
      <c r="G2489" s="526" t="s">
        <v>5374</v>
      </c>
      <c r="H2489" s="412">
        <v>467.97129999999999</v>
      </c>
      <c r="I2489" s="411">
        <v>16.900970000000001</v>
      </c>
      <c r="J2489" s="411">
        <v>89.566199999999995</v>
      </c>
      <c r="K2489" s="411">
        <v>6433.7637000000004</v>
      </c>
      <c r="L2489" s="526" t="s">
        <v>553</v>
      </c>
    </row>
    <row r="2490" spans="1:12" ht="15" x14ac:dyDescent="0.25">
      <c r="A2490">
        <v>89236</v>
      </c>
      <c r="B2490" t="str">
        <f t="shared" si="110"/>
        <v>SEVROLL SPOJ.LIŠTA "H10" 3M STR.</v>
      </c>
      <c r="C2490" s="198">
        <f t="shared" si="111"/>
        <v>12.075799999999999</v>
      </c>
      <c r="D2490" s="526" t="s">
        <v>2694</v>
      </c>
      <c r="E2490" s="526" t="s">
        <v>4348</v>
      </c>
      <c r="F2490" s="526" t="s">
        <v>4349</v>
      </c>
      <c r="G2490" s="526" t="s">
        <v>4350</v>
      </c>
      <c r="H2490" s="412">
        <v>334.36727999999999</v>
      </c>
      <c r="I2490" s="411">
        <v>12.075799999999999</v>
      </c>
      <c r="J2490" s="411">
        <v>51.754800000000003</v>
      </c>
      <c r="K2490" s="411">
        <v>4596.9485699999996</v>
      </c>
      <c r="L2490" s="526" t="s">
        <v>553</v>
      </c>
    </row>
    <row r="2491" spans="1:12" ht="15" x14ac:dyDescent="0.25">
      <c r="A2491">
        <v>89237</v>
      </c>
      <c r="B2491" t="str">
        <f t="shared" si="110"/>
        <v>SEVROLL 153 SPOJ.LIŠTA "H 10"3M OLIVOVÁ</v>
      </c>
      <c r="C2491" s="198">
        <f t="shared" si="111"/>
        <v>15.094760000000001</v>
      </c>
      <c r="D2491" s="526" t="s">
        <v>2695</v>
      </c>
      <c r="E2491" s="526" t="s">
        <v>4345</v>
      </c>
      <c r="F2491" s="526" t="s">
        <v>4346</v>
      </c>
      <c r="G2491" s="526" t="s">
        <v>4347</v>
      </c>
      <c r="H2491" s="412">
        <v>417.95909999999998</v>
      </c>
      <c r="I2491" s="411">
        <v>15.094760000000001</v>
      </c>
      <c r="J2491" s="411">
        <v>56.915999999999997</v>
      </c>
      <c r="K2491" s="411">
        <v>5746.1859000000004</v>
      </c>
      <c r="L2491" s="526" t="s">
        <v>553</v>
      </c>
    </row>
    <row r="2492" spans="1:12" ht="15" x14ac:dyDescent="0.25">
      <c r="A2492">
        <v>89238</v>
      </c>
      <c r="B2492" t="str">
        <f t="shared" si="110"/>
        <v>SEVROLL 20031-SV tesnenie na sklo 10/4mm</v>
      </c>
      <c r="C2492" s="198">
        <f t="shared" si="111"/>
        <v>0.79988999999999999</v>
      </c>
      <c r="D2492" s="526" t="s">
        <v>2696</v>
      </c>
      <c r="E2492" s="526" t="s">
        <v>5632</v>
      </c>
      <c r="F2492" s="526" t="s">
        <v>5633</v>
      </c>
      <c r="G2492" s="526" t="s">
        <v>5634</v>
      </c>
      <c r="H2492" s="412">
        <v>23.502649999999999</v>
      </c>
      <c r="I2492" s="411">
        <v>0.79988999999999999</v>
      </c>
      <c r="J2492" s="411">
        <v>2.7501000000000002</v>
      </c>
      <c r="K2492" s="411">
        <v>310.71307999999999</v>
      </c>
      <c r="L2492" s="526" t="s">
        <v>710</v>
      </c>
    </row>
    <row r="2493" spans="1:12" ht="15" x14ac:dyDescent="0.25">
      <c r="A2493">
        <v>89243</v>
      </c>
      <c r="B2493" t="str">
        <f t="shared" si="110"/>
        <v>SEVROLL 20033-SV tesnenie na sklo 10/6mm</v>
      </c>
      <c r="C2493" s="198">
        <f t="shared" si="111"/>
        <v>0.79988999999999999</v>
      </c>
      <c r="D2493" s="526" t="s">
        <v>2697</v>
      </c>
      <c r="E2493" s="526" t="s">
        <v>5635</v>
      </c>
      <c r="F2493" s="526" t="s">
        <v>5636</v>
      </c>
      <c r="G2493" s="526" t="s">
        <v>5637</v>
      </c>
      <c r="H2493" s="412">
        <v>23.502649999999999</v>
      </c>
      <c r="I2493" s="411">
        <v>0.79988999999999999</v>
      </c>
      <c r="J2493" s="411">
        <v>2.7501000000000002</v>
      </c>
      <c r="K2493" s="411">
        <v>310.71307999999999</v>
      </c>
      <c r="L2493" s="526" t="s">
        <v>553</v>
      </c>
    </row>
    <row r="2494" spans="1:12" ht="15" x14ac:dyDescent="0.25">
      <c r="A2494">
        <v>89244</v>
      </c>
      <c r="B2494" t="str">
        <f t="shared" si="110"/>
        <v>SEVROLL 20001 skrutkovrut 6,3x32 SEVROLL a Simple</v>
      </c>
      <c r="C2494" s="198">
        <f t="shared" si="111"/>
        <v>0.15482000000000001</v>
      </c>
      <c r="D2494" s="526" t="s">
        <v>2698</v>
      </c>
      <c r="E2494" s="526" t="s">
        <v>6174</v>
      </c>
      <c r="F2494" s="526" t="s">
        <v>6175</v>
      </c>
      <c r="G2494" s="526" t="s">
        <v>6176</v>
      </c>
      <c r="H2494" s="412">
        <v>4.5488999999999997</v>
      </c>
      <c r="I2494" s="411">
        <v>0.15482000000000001</v>
      </c>
      <c r="J2494" s="411">
        <v>0.52500000000000002</v>
      </c>
      <c r="K2494" s="411">
        <v>60.138080000000002</v>
      </c>
      <c r="L2494" s="526" t="s">
        <v>553</v>
      </c>
    </row>
    <row r="2495" spans="1:12" ht="15" x14ac:dyDescent="0.25">
      <c r="A2495">
        <v>89090</v>
      </c>
      <c r="B2495" t="str">
        <f t="shared" si="110"/>
        <v>SEVROLL 270-MASKA CLEFT 4,05 M ZLATÁ</v>
      </c>
      <c r="C2495" s="198">
        <f t="shared" si="111"/>
        <v>5.5437099999999999</v>
      </c>
      <c r="D2495" s="526" t="s">
        <v>2699</v>
      </c>
      <c r="E2495" s="526" t="s">
        <v>5450</v>
      </c>
      <c r="F2495" s="526" t="s">
        <v>5451</v>
      </c>
      <c r="G2495" s="526" t="s">
        <v>5452</v>
      </c>
      <c r="H2495" s="412" t="e">
        <v>#N/A</v>
      </c>
      <c r="I2495" s="411">
        <v>5.5437099999999999</v>
      </c>
      <c r="J2495" s="411">
        <v>0</v>
      </c>
      <c r="K2495" s="411">
        <v>2399.2364400000001</v>
      </c>
      <c r="L2495" s="526" t="e">
        <v>#N/A</v>
      </c>
    </row>
    <row r="2496" spans="1:12" ht="15" x14ac:dyDescent="0.25">
      <c r="A2496">
        <v>89093</v>
      </c>
      <c r="B2496" t="str">
        <f t="shared" si="110"/>
        <v>SEVROLL 00482 Focus 16mm úchytová lišta 2,7m oliva</v>
      </c>
      <c r="C2496" s="198">
        <f t="shared" si="111"/>
        <v>8.38598</v>
      </c>
      <c r="D2496" s="526" t="s">
        <v>2700</v>
      </c>
      <c r="E2496" s="526" t="s">
        <v>3869</v>
      </c>
      <c r="F2496" s="526" t="s">
        <v>2700</v>
      </c>
      <c r="G2496" s="526" t="s">
        <v>3870</v>
      </c>
      <c r="H2496" s="412">
        <v>232.1995</v>
      </c>
      <c r="I2496" s="411">
        <v>8.38598</v>
      </c>
      <c r="J2496" s="411">
        <v>28.37106</v>
      </c>
      <c r="K2496" s="411">
        <v>3192.3254999999999</v>
      </c>
      <c r="L2496" s="526" t="s">
        <v>554</v>
      </c>
    </row>
    <row r="2497" spans="1:12" ht="15" x14ac:dyDescent="0.25">
      <c r="A2497">
        <v>89095</v>
      </c>
      <c r="B2497" t="str">
        <f t="shared" si="110"/>
        <v>SEVROLL 00483 Focus 16mm úchytová lišta 2,7m strieborná</v>
      </c>
      <c r="C2497" s="198">
        <f t="shared" si="111"/>
        <v>6.70878</v>
      </c>
      <c r="D2497" s="526" t="s">
        <v>2701</v>
      </c>
      <c r="E2497" s="526" t="s">
        <v>3791</v>
      </c>
      <c r="F2497" s="526" t="s">
        <v>3792</v>
      </c>
      <c r="G2497" s="526" t="s">
        <v>3793</v>
      </c>
      <c r="H2497" s="412">
        <v>185.75960000000001</v>
      </c>
      <c r="I2497" s="411">
        <v>6.70878</v>
      </c>
      <c r="J2497" s="411">
        <v>22.696860000000001</v>
      </c>
      <c r="K2497" s="411">
        <v>2553.8604</v>
      </c>
      <c r="L2497" s="526" t="s">
        <v>554</v>
      </c>
    </row>
    <row r="2498" spans="1:12" ht="15" x14ac:dyDescent="0.25">
      <c r="A2498">
        <v>89251</v>
      </c>
      <c r="B2498" t="str">
        <f t="shared" si="110"/>
        <v>SEVROLL - horná vodiaca lišta 1,7m zlatá</v>
      </c>
      <c r="C2498" s="198">
        <f t="shared" si="111"/>
        <v>9.54711</v>
      </c>
      <c r="D2498" s="526" t="s">
        <v>2702</v>
      </c>
      <c r="E2498" s="526" t="s">
        <v>3895</v>
      </c>
      <c r="F2498" s="526" t="s">
        <v>3896</v>
      </c>
      <c r="G2498" s="526" t="s">
        <v>3897</v>
      </c>
      <c r="H2498" s="412">
        <v>264.35019999999997</v>
      </c>
      <c r="I2498" s="411">
        <v>9.54711</v>
      </c>
      <c r="J2498" s="411">
        <v>50.755200000000002</v>
      </c>
      <c r="K2498" s="411">
        <v>3634.3398000000002</v>
      </c>
      <c r="L2498" s="526" t="s">
        <v>554</v>
      </c>
    </row>
    <row r="2499" spans="1:12" ht="15" x14ac:dyDescent="0.25">
      <c r="A2499">
        <v>89252</v>
      </c>
      <c r="B2499" t="str">
        <f t="shared" si="110"/>
        <v>SEVROLL horná vodiaca lišta 2,35m zlatá</v>
      </c>
      <c r="C2499" s="198">
        <f t="shared" si="111"/>
        <v>13.236940000000001</v>
      </c>
      <c r="D2499" s="526" t="s">
        <v>2703</v>
      </c>
      <c r="E2499" s="526" t="s">
        <v>5364</v>
      </c>
      <c r="F2499" s="526" t="s">
        <v>5365</v>
      </c>
      <c r="G2499" s="526" t="s">
        <v>5366</v>
      </c>
      <c r="H2499" s="412">
        <v>366.51798000000002</v>
      </c>
      <c r="I2499" s="411">
        <v>13.236940000000001</v>
      </c>
      <c r="J2499" s="411">
        <v>70.186199999999999</v>
      </c>
      <c r="K2499" s="411">
        <v>5038.9628700000003</v>
      </c>
      <c r="L2499" s="526" t="s">
        <v>554</v>
      </c>
    </row>
    <row r="2500" spans="1:12" ht="15" x14ac:dyDescent="0.25">
      <c r="A2500">
        <v>89253</v>
      </c>
      <c r="B2500" t="str">
        <f t="shared" si="110"/>
        <v>SEVROLL horná vodiaca lišta 3m zlatá</v>
      </c>
      <c r="C2500" s="198">
        <f t="shared" si="111"/>
        <v>16.900970000000001</v>
      </c>
      <c r="D2500" s="526" t="s">
        <v>2704</v>
      </c>
      <c r="E2500" s="526" t="s">
        <v>5383</v>
      </c>
      <c r="F2500" s="526" t="s">
        <v>5384</v>
      </c>
      <c r="G2500" s="526" t="s">
        <v>5385</v>
      </c>
      <c r="H2500" s="412">
        <v>467.97129999999999</v>
      </c>
      <c r="I2500" s="411">
        <v>16.900970000000001</v>
      </c>
      <c r="J2500" s="411">
        <v>89.566199999999995</v>
      </c>
      <c r="K2500" s="411">
        <v>6433.7637000000004</v>
      </c>
      <c r="L2500" s="526" t="s">
        <v>554</v>
      </c>
    </row>
    <row r="2501" spans="1:12" ht="15" x14ac:dyDescent="0.25">
      <c r="A2501">
        <v>89255</v>
      </c>
      <c r="B2501" t="str">
        <f t="shared" si="110"/>
        <v>SEVROLL spodná krycia lišta 2,35m 10mm zlatá</v>
      </c>
      <c r="C2501" s="198">
        <f t="shared" si="111"/>
        <v>24.51285</v>
      </c>
      <c r="D2501" s="526" t="s">
        <v>2705</v>
      </c>
      <c r="E2501" s="526" t="s">
        <v>4537</v>
      </c>
      <c r="F2501" s="526" t="s">
        <v>4538</v>
      </c>
      <c r="G2501" s="526" t="s">
        <v>4539</v>
      </c>
      <c r="H2501" s="412">
        <v>678.73699999999997</v>
      </c>
      <c r="I2501" s="411">
        <v>24.51285</v>
      </c>
      <c r="J2501" s="411">
        <v>83.0655</v>
      </c>
      <c r="K2501" s="411">
        <v>9331.4130000000005</v>
      </c>
      <c r="L2501" s="526" t="s">
        <v>554</v>
      </c>
    </row>
    <row r="2502" spans="1:12" ht="15" x14ac:dyDescent="0.25">
      <c r="A2502">
        <v>89254</v>
      </c>
      <c r="B2502" t="str">
        <f t="shared" si="110"/>
        <v>SEVROLL spodná krycia lišta 1,7m 10mm zlatá</v>
      </c>
      <c r="C2502" s="198">
        <f t="shared" si="111"/>
        <v>17.778269999999999</v>
      </c>
      <c r="D2502" s="526" t="s">
        <v>2706</v>
      </c>
      <c r="E2502" s="526" t="s">
        <v>5532</v>
      </c>
      <c r="F2502" s="526" t="s">
        <v>5533</v>
      </c>
      <c r="G2502" s="526" t="s">
        <v>5534</v>
      </c>
      <c r="H2502" s="412">
        <v>492.26294000000001</v>
      </c>
      <c r="I2502" s="411">
        <v>17.778269999999999</v>
      </c>
      <c r="J2502" s="411">
        <v>60.091500000000003</v>
      </c>
      <c r="K2502" s="411">
        <v>6767.7299899999998</v>
      </c>
      <c r="L2502" s="526" t="s">
        <v>554</v>
      </c>
    </row>
    <row r="2503" spans="1:12" ht="15" x14ac:dyDescent="0.25">
      <c r="A2503">
        <v>89256</v>
      </c>
      <c r="B2503" t="str">
        <f t="shared" si="110"/>
        <v>SEVROLL spodná krycia lišta 3m 10mm zlatá</v>
      </c>
      <c r="C2503" s="198">
        <f t="shared" si="111"/>
        <v>31.376449999999998</v>
      </c>
      <c r="D2503" s="526" t="s">
        <v>2707</v>
      </c>
      <c r="E2503" s="526" t="s">
        <v>5565</v>
      </c>
      <c r="F2503" s="526" t="s">
        <v>5566</v>
      </c>
      <c r="G2503" s="526" t="s">
        <v>5567</v>
      </c>
      <c r="H2503" s="412">
        <v>868.78336000000002</v>
      </c>
      <c r="I2503" s="411">
        <v>31.376449999999998</v>
      </c>
      <c r="J2503" s="411">
        <v>106.071</v>
      </c>
      <c r="K2503" s="411">
        <v>11944.208710000001</v>
      </c>
      <c r="L2503" s="526" t="s">
        <v>554</v>
      </c>
    </row>
    <row r="2504" spans="1:12" ht="15" x14ac:dyDescent="0.25">
      <c r="A2504">
        <v>89257</v>
      </c>
      <c r="B2504" t="str">
        <f t="shared" si="110"/>
        <v>SEVROLL spojovacia lišta H10 3m zlatá</v>
      </c>
      <c r="C2504" s="198">
        <f t="shared" si="111"/>
        <v>15.094760000000001</v>
      </c>
      <c r="D2504" s="526" t="s">
        <v>2708</v>
      </c>
      <c r="E2504" s="526" t="s">
        <v>4321</v>
      </c>
      <c r="F2504" s="526" t="s">
        <v>4322</v>
      </c>
      <c r="G2504" s="526" t="s">
        <v>4323</v>
      </c>
      <c r="H2504" s="412">
        <v>417.95909999999998</v>
      </c>
      <c r="I2504" s="411">
        <v>15.094760000000001</v>
      </c>
      <c r="J2504" s="411">
        <v>56.915999999999997</v>
      </c>
      <c r="K2504" s="411">
        <v>5746.1859000000004</v>
      </c>
      <c r="L2504" s="526" t="s">
        <v>554</v>
      </c>
    </row>
    <row r="2505" spans="1:12" ht="15" x14ac:dyDescent="0.25">
      <c r="A2505">
        <v>89269</v>
      </c>
      <c r="B2505" t="str">
        <f t="shared" si="110"/>
        <v>SEVROLL profil "U" pre DTD 18mm 3m striebor</v>
      </c>
      <c r="C2505" s="198">
        <f t="shared" si="111"/>
        <v>4.7219499999999996</v>
      </c>
      <c r="D2505" s="526" t="s">
        <v>2709</v>
      </c>
      <c r="E2505" s="526" t="s">
        <v>3703</v>
      </c>
      <c r="F2505" s="526" t="s">
        <v>1240</v>
      </c>
      <c r="G2505" s="526" t="s">
        <v>3704</v>
      </c>
      <c r="H2505" s="412">
        <v>130.74618000000001</v>
      </c>
      <c r="I2505" s="411">
        <v>4.7219499999999996</v>
      </c>
      <c r="J2505" s="411">
        <v>15.97508</v>
      </c>
      <c r="K2505" s="411">
        <v>1797.52467</v>
      </c>
      <c r="L2505" s="526" t="s">
        <v>553</v>
      </c>
    </row>
    <row r="2506" spans="1:12" ht="15" x14ac:dyDescent="0.25">
      <c r="A2506">
        <v>89098</v>
      </c>
      <c r="B2506" t="str">
        <f t="shared" si="110"/>
        <v>SEVROLL Tytan úch.lišta 18mm 2,7m oliva</v>
      </c>
      <c r="C2506" s="198">
        <f t="shared" si="111"/>
        <v>18.732980000000001</v>
      </c>
      <c r="D2506" s="526" t="s">
        <v>2710</v>
      </c>
      <c r="E2506" s="526" t="s">
        <v>5638</v>
      </c>
      <c r="F2506" s="526" t="s">
        <v>1225</v>
      </c>
      <c r="G2506" s="526" t="s">
        <v>5639</v>
      </c>
      <c r="H2506" s="412">
        <v>518.69795999999997</v>
      </c>
      <c r="I2506" s="411">
        <v>18.732980000000001</v>
      </c>
      <c r="J2506" s="411">
        <v>72.504180000000005</v>
      </c>
      <c r="K2506" s="411">
        <v>7131.1641099999997</v>
      </c>
      <c r="L2506" s="526" t="s">
        <v>553</v>
      </c>
    </row>
    <row r="2507" spans="1:12" ht="15" x14ac:dyDescent="0.25">
      <c r="A2507">
        <v>89099</v>
      </c>
      <c r="B2507" t="str">
        <f t="shared" si="110"/>
        <v>SEVROLL Tytan úch.lišta 18mm 2,7m strieborná</v>
      </c>
      <c r="C2507" s="198">
        <f t="shared" si="111"/>
        <v>15.404389999999999</v>
      </c>
      <c r="D2507" s="526" t="s">
        <v>2711</v>
      </c>
      <c r="E2507" s="526" t="s">
        <v>5640</v>
      </c>
      <c r="F2507" s="526" t="s">
        <v>1224</v>
      </c>
      <c r="G2507" s="526" t="s">
        <v>5641</v>
      </c>
      <c r="H2507" s="412">
        <v>448.68088</v>
      </c>
      <c r="I2507" s="411">
        <v>15.404389999999999</v>
      </c>
      <c r="J2507" s="411">
        <v>67.83381</v>
      </c>
      <c r="K2507" s="411">
        <v>5864.0565299999998</v>
      </c>
      <c r="L2507" s="526" t="s">
        <v>553</v>
      </c>
    </row>
    <row r="2508" spans="1:12" ht="15" x14ac:dyDescent="0.25">
      <c r="A2508">
        <v>89277</v>
      </c>
      <c r="B2508" t="str">
        <f t="shared" si="110"/>
        <v>SEVROLL 00024 profil "U" Decor pre lamino 16mm 3m strieborný</v>
      </c>
      <c r="C2508" s="198" t="e">
        <f t="shared" si="111"/>
        <v>#N/A</v>
      </c>
      <c r="D2508" s="526" t="s">
        <v>2712</v>
      </c>
      <c r="E2508" s="526" t="s">
        <v>3858</v>
      </c>
      <c r="F2508" s="526" t="s">
        <v>3859</v>
      </c>
      <c r="G2508" s="526" t="s">
        <v>3860</v>
      </c>
      <c r="H2508" s="412" t="e">
        <v>#N/A</v>
      </c>
      <c r="I2508" s="411" t="e">
        <v>#N/A</v>
      </c>
      <c r="J2508" s="411" t="e">
        <v>#N/A</v>
      </c>
      <c r="K2508" s="411" t="e">
        <v>#N/A</v>
      </c>
      <c r="L2508" s="526" t="e">
        <v>#N/A</v>
      </c>
    </row>
    <row r="2509" spans="1:12" ht="15" x14ac:dyDescent="0.25">
      <c r="A2509">
        <v>89268</v>
      </c>
      <c r="B2509" t="str">
        <f t="shared" si="110"/>
        <v>SEVROLL 161 U PROFna DTD 18mm-3m, OLIVA</v>
      </c>
      <c r="C2509" s="198">
        <f t="shared" si="111"/>
        <v>5.90245</v>
      </c>
      <c r="D2509" s="526" t="s">
        <v>2713</v>
      </c>
      <c r="E2509" s="526" t="s">
        <v>3785</v>
      </c>
      <c r="F2509" s="526" t="s">
        <v>3786</v>
      </c>
      <c r="G2509" s="526" t="s">
        <v>3787</v>
      </c>
      <c r="H2509" s="412">
        <v>163.61134000000001</v>
      </c>
      <c r="I2509" s="411">
        <v>5.90245</v>
      </c>
      <c r="J2509" s="411">
        <v>19.968910000000001</v>
      </c>
      <c r="K2509" s="411">
        <v>2246.9063200000001</v>
      </c>
      <c r="L2509" s="526" t="s">
        <v>553</v>
      </c>
    </row>
    <row r="2510" spans="1:12" ht="15" x14ac:dyDescent="0.25">
      <c r="A2510">
        <v>89267</v>
      </c>
      <c r="B2510" t="str">
        <f t="shared" si="110"/>
        <v>SEVROLL profil "U" pre lamino 18mm 3m zlatá</v>
      </c>
      <c r="C2510" s="198">
        <f t="shared" si="111"/>
        <v>5.90245</v>
      </c>
      <c r="D2510" s="526" t="s">
        <v>2714</v>
      </c>
      <c r="E2510" s="526" t="s">
        <v>3788</v>
      </c>
      <c r="F2510" s="526" t="s">
        <v>3789</v>
      </c>
      <c r="G2510" s="526" t="s">
        <v>3790</v>
      </c>
      <c r="H2510" s="412">
        <v>163.61134000000001</v>
      </c>
      <c r="I2510" s="411">
        <v>5.90245</v>
      </c>
      <c r="J2510" s="411">
        <v>19.968910000000001</v>
      </c>
      <c r="K2510" s="411">
        <v>2246.9063200000001</v>
      </c>
      <c r="L2510" s="526" t="s">
        <v>554</v>
      </c>
    </row>
    <row r="2511" spans="1:12" ht="15" x14ac:dyDescent="0.25">
      <c r="A2511">
        <v>89284</v>
      </c>
      <c r="B2511" t="str">
        <f t="shared" si="110"/>
        <v>SEVROLL dorazový kartáč samolep. 4,8x4mm</v>
      </c>
      <c r="C2511" s="198">
        <f t="shared" si="111"/>
        <v>0.16205</v>
      </c>
      <c r="D2511" s="526" t="s">
        <v>2715</v>
      </c>
      <c r="E2511" s="526" t="s">
        <v>5142</v>
      </c>
      <c r="F2511" s="526" t="s">
        <v>1283</v>
      </c>
      <c r="G2511" s="526" t="s">
        <v>5143</v>
      </c>
      <c r="H2511" s="412">
        <v>5.0229200000000001</v>
      </c>
      <c r="I2511" s="411">
        <v>0.16205</v>
      </c>
      <c r="J2511" s="411">
        <v>0.76500000000000001</v>
      </c>
      <c r="K2511" s="411">
        <v>45.647039999999997</v>
      </c>
      <c r="L2511" s="526" t="s">
        <v>553</v>
      </c>
    </row>
    <row r="2512" spans="1:12" ht="15" x14ac:dyDescent="0.25">
      <c r="A2512">
        <v>89071</v>
      </c>
      <c r="B2512" t="str">
        <f t="shared" si="110"/>
        <v>SEVROLL 00219 spojovacia lišta H30 3m oliva</v>
      </c>
      <c r="C2512" s="198">
        <f t="shared" si="111"/>
        <v>27.222169999999998</v>
      </c>
      <c r="D2512" s="526" t="s">
        <v>2716</v>
      </c>
      <c r="E2512" s="526" t="s">
        <v>4727</v>
      </c>
      <c r="F2512" s="526" t="s">
        <v>4728</v>
      </c>
      <c r="G2512" s="526" t="s">
        <v>2716</v>
      </c>
      <c r="H2512" s="412">
        <v>753.75530000000003</v>
      </c>
      <c r="I2512" s="411">
        <v>27.222169999999998</v>
      </c>
      <c r="J2512" s="411">
        <v>92.410200000000003</v>
      </c>
      <c r="K2512" s="411">
        <v>10362.779699999999</v>
      </c>
      <c r="L2512" s="526" t="s">
        <v>553</v>
      </c>
    </row>
    <row r="2513" spans="1:12" ht="15" x14ac:dyDescent="0.25">
      <c r="A2513">
        <v>89069</v>
      </c>
      <c r="B2513" t="str">
        <f t="shared" si="110"/>
        <v>SEVROLL 253S-SPOJ.LIŠTA H-30mm STR 3m</v>
      </c>
      <c r="C2513" s="198">
        <f t="shared" si="111"/>
        <v>22.319600000000001</v>
      </c>
      <c r="D2513" s="526" t="s">
        <v>2717</v>
      </c>
      <c r="E2513" s="526" t="s">
        <v>4657</v>
      </c>
      <c r="F2513" s="526" t="s">
        <v>4658</v>
      </c>
      <c r="G2513" s="526" t="s">
        <v>2717</v>
      </c>
      <c r="H2513" s="412">
        <v>618.00789999999995</v>
      </c>
      <c r="I2513" s="411">
        <v>22.319600000000001</v>
      </c>
      <c r="J2513" s="411">
        <v>78.601200000000006</v>
      </c>
      <c r="K2513" s="411">
        <v>8496.4971000000005</v>
      </c>
      <c r="L2513" s="526" t="s">
        <v>553</v>
      </c>
    </row>
    <row r="2514" spans="1:12" ht="15" x14ac:dyDescent="0.25">
      <c r="A2514">
        <v>89050</v>
      </c>
      <c r="B2514" t="str">
        <f t="shared" si="110"/>
        <v>SEVROLL 278 UHOLNÍK K2 1,70M STRIEBORNÁ</v>
      </c>
      <c r="C2514" s="198">
        <f t="shared" si="111"/>
        <v>3.4060000000000001</v>
      </c>
      <c r="D2514" s="526" t="s">
        <v>2718</v>
      </c>
      <c r="E2514" s="526" t="s">
        <v>3652</v>
      </c>
      <c r="F2514" s="526" t="s">
        <v>3653</v>
      </c>
      <c r="G2514" s="526" t="s">
        <v>2718</v>
      </c>
      <c r="H2514" s="412">
        <v>94.308719999999994</v>
      </c>
      <c r="I2514" s="411">
        <v>3.4060000000000001</v>
      </c>
      <c r="J2514" s="411">
        <v>12.046200000000001</v>
      </c>
      <c r="K2514" s="411">
        <v>1296.5754300000001</v>
      </c>
      <c r="L2514" s="526" t="s">
        <v>553</v>
      </c>
    </row>
    <row r="2515" spans="1:12" ht="15" x14ac:dyDescent="0.25">
      <c r="A2515">
        <v>89052</v>
      </c>
      <c r="B2515" t="str">
        <f t="shared" si="110"/>
        <v>SEVROLL 278 UHOLNÍK K2 1,70M OLIVOVÁ</v>
      </c>
      <c r="C2515" s="198">
        <f t="shared" si="111"/>
        <v>4.2575000000000003</v>
      </c>
      <c r="D2515" s="526" t="s">
        <v>2719</v>
      </c>
      <c r="E2515" s="526" t="s">
        <v>3636</v>
      </c>
      <c r="F2515" s="526" t="s">
        <v>3637</v>
      </c>
      <c r="G2515" s="526" t="s">
        <v>3638</v>
      </c>
      <c r="H2515" s="412">
        <v>117.88590000000001</v>
      </c>
      <c r="I2515" s="411">
        <v>4.2575000000000003</v>
      </c>
      <c r="J2515" s="411">
        <v>14.4054</v>
      </c>
      <c r="K2515" s="411">
        <v>1620.7191</v>
      </c>
      <c r="L2515" s="526" t="s">
        <v>554</v>
      </c>
    </row>
    <row r="2516" spans="1:12" ht="15" x14ac:dyDescent="0.25">
      <c r="A2516">
        <v>89053</v>
      </c>
      <c r="B2516" t="str">
        <f t="shared" si="110"/>
        <v>SEVROLL 00079 uholník K2 Decor 2,35m strieborná</v>
      </c>
      <c r="C2516" s="198">
        <f t="shared" si="111"/>
        <v>4.7219499999999996</v>
      </c>
      <c r="D2516" s="526" t="s">
        <v>2720</v>
      </c>
      <c r="E2516" s="526" t="s">
        <v>3760</v>
      </c>
      <c r="F2516" s="526" t="s">
        <v>3761</v>
      </c>
      <c r="G2516" s="526" t="s">
        <v>2720</v>
      </c>
      <c r="H2516" s="412">
        <v>130.74618000000001</v>
      </c>
      <c r="I2516" s="411">
        <v>4.7219499999999996</v>
      </c>
      <c r="J2516" s="411">
        <v>16.666799999999999</v>
      </c>
      <c r="K2516" s="411">
        <v>1797.52467</v>
      </c>
      <c r="L2516" s="526" t="s">
        <v>553</v>
      </c>
    </row>
    <row r="2517" spans="1:12" ht="15" x14ac:dyDescent="0.25">
      <c r="A2517">
        <v>89054</v>
      </c>
      <c r="B2517" t="str">
        <f t="shared" si="110"/>
        <v>SEVROLL uholník K2 Decor 2,35m zlatá</v>
      </c>
      <c r="C2517" s="198">
        <f t="shared" si="111"/>
        <v>5.6193099999999996</v>
      </c>
      <c r="D2517" s="526" t="s">
        <v>2721</v>
      </c>
      <c r="E2517" s="526" t="s">
        <v>3730</v>
      </c>
      <c r="F2517" s="526" t="s">
        <v>1116</v>
      </c>
      <c r="G2517" s="526" t="s">
        <v>3731</v>
      </c>
      <c r="H2517" s="412" t="e">
        <v>#N/A</v>
      </c>
      <c r="I2517" s="411">
        <v>5.6193099999999996</v>
      </c>
      <c r="J2517" s="411">
        <v>21.41564</v>
      </c>
      <c r="K2517" s="411">
        <v>0</v>
      </c>
      <c r="L2517" s="526" t="e">
        <v>#N/A</v>
      </c>
    </row>
    <row r="2518" spans="1:12" ht="15" x14ac:dyDescent="0.25">
      <c r="A2518">
        <v>89055</v>
      </c>
      <c r="B2518" t="str">
        <f t="shared" si="110"/>
        <v>SEVROLL 00070 uholník K2 Decor 2,35m oliva</v>
      </c>
      <c r="C2518" s="198">
        <f t="shared" si="111"/>
        <v>5.90245</v>
      </c>
      <c r="D2518" s="526" t="s">
        <v>2722</v>
      </c>
      <c r="E2518" s="526" t="s">
        <v>3758</v>
      </c>
      <c r="F2518" s="526" t="s">
        <v>3759</v>
      </c>
      <c r="G2518" s="526" t="s">
        <v>2722</v>
      </c>
      <c r="H2518" s="412">
        <v>163.61134000000001</v>
      </c>
      <c r="I2518" s="411">
        <v>5.90245</v>
      </c>
      <c r="J2518" s="411">
        <v>19.917400000000001</v>
      </c>
      <c r="K2518" s="411">
        <v>2246.9063200000001</v>
      </c>
      <c r="L2518" s="526" t="s">
        <v>553</v>
      </c>
    </row>
    <row r="2519" spans="1:12" ht="15" x14ac:dyDescent="0.25">
      <c r="A2519">
        <v>89056</v>
      </c>
      <c r="B2519" t="str">
        <f t="shared" si="110"/>
        <v>SEVROLL 00080 uholník K2 Decor 3m strieborná</v>
      </c>
      <c r="C2519" s="198">
        <f t="shared" si="111"/>
        <v>6.0378999999999996</v>
      </c>
      <c r="D2519" s="526" t="s">
        <v>2723</v>
      </c>
      <c r="E2519" s="526" t="s">
        <v>3851</v>
      </c>
      <c r="F2519" s="526" t="s">
        <v>3852</v>
      </c>
      <c r="G2519" s="526" t="s">
        <v>2723</v>
      </c>
      <c r="H2519" s="412">
        <v>167.18364</v>
      </c>
      <c r="I2519" s="411">
        <v>6.0378999999999996</v>
      </c>
      <c r="J2519" s="411">
        <v>21.266999999999999</v>
      </c>
      <c r="K2519" s="411">
        <v>2298.4742900000001</v>
      </c>
      <c r="L2519" s="526" t="s">
        <v>553</v>
      </c>
    </row>
    <row r="2520" spans="1:12" ht="15" x14ac:dyDescent="0.25">
      <c r="A2520">
        <v>89058</v>
      </c>
      <c r="B2520" t="str">
        <f t="shared" si="110"/>
        <v>SEVROLL 00071 uholník K2 Decor 3m oliva</v>
      </c>
      <c r="C2520" s="198">
        <f t="shared" si="111"/>
        <v>7.5086700000000004</v>
      </c>
      <c r="D2520" s="526" t="s">
        <v>2724</v>
      </c>
      <c r="E2520" s="526" t="s">
        <v>3849</v>
      </c>
      <c r="F2520" s="526" t="s">
        <v>3850</v>
      </c>
      <c r="G2520" s="526" t="s">
        <v>2724</v>
      </c>
      <c r="H2520" s="412">
        <v>207.90786</v>
      </c>
      <c r="I2520" s="411">
        <v>7.5086700000000004</v>
      </c>
      <c r="J2520" s="411">
        <v>25.418800000000001</v>
      </c>
      <c r="K2520" s="411">
        <v>2858.3592100000001</v>
      </c>
      <c r="L2520" s="526" t="s">
        <v>553</v>
      </c>
    </row>
    <row r="2521" spans="1:12" ht="15" x14ac:dyDescent="0.25">
      <c r="A2521">
        <v>89010</v>
      </c>
      <c r="B2521" t="str">
        <f t="shared" si="110"/>
        <v>SEVROLL 00215 spojovacia lišta H18 3m strieborná</v>
      </c>
      <c r="C2521" s="198">
        <f t="shared" si="111"/>
        <v>11.89518</v>
      </c>
      <c r="D2521" s="526" t="s">
        <v>2725</v>
      </c>
      <c r="E2521" s="526" t="s">
        <v>5617</v>
      </c>
      <c r="F2521" s="526" t="s">
        <v>5618</v>
      </c>
      <c r="G2521" s="526" t="s">
        <v>2725</v>
      </c>
      <c r="H2521" s="412">
        <v>329.36606</v>
      </c>
      <c r="I2521" s="411">
        <v>11.89518</v>
      </c>
      <c r="J2521" s="411">
        <v>48.042000000000002</v>
      </c>
      <c r="K2521" s="411">
        <v>4528.1910099999996</v>
      </c>
      <c r="L2521" s="526" t="s">
        <v>710</v>
      </c>
    </row>
    <row r="2522" spans="1:12" ht="15" x14ac:dyDescent="0.25">
      <c r="A2522">
        <v>89011</v>
      </c>
      <c r="B2522" t="str">
        <f t="shared" si="110"/>
        <v>SEVROLL 00216 spojovacia lišta H18 3m zlatá</v>
      </c>
      <c r="C2522" s="198">
        <f t="shared" si="111"/>
        <v>14.86899</v>
      </c>
      <c r="D2522" s="526" t="s">
        <v>2726</v>
      </c>
      <c r="E2522" s="526" t="s">
        <v>5619</v>
      </c>
      <c r="F2522" s="526" t="s">
        <v>5620</v>
      </c>
      <c r="G2522" s="526" t="s">
        <v>2726</v>
      </c>
      <c r="H2522" s="412">
        <v>411.52895999999998</v>
      </c>
      <c r="I2522" s="411">
        <v>14.86899</v>
      </c>
      <c r="J2522" s="411">
        <v>52.856400000000001</v>
      </c>
      <c r="K2522" s="411">
        <v>5660.2387699999999</v>
      </c>
      <c r="L2522" s="526" t="s">
        <v>553</v>
      </c>
    </row>
    <row r="2523" spans="1:12" ht="15" x14ac:dyDescent="0.25">
      <c r="A2523">
        <v>89012</v>
      </c>
      <c r="B2523" t="str">
        <f t="shared" si="110"/>
        <v>SEVROLL spojovacia lišta H18 3m oliva</v>
      </c>
      <c r="C2523" s="198">
        <f t="shared" si="111"/>
        <v>14.86899</v>
      </c>
      <c r="D2523" s="526" t="s">
        <v>2727</v>
      </c>
      <c r="E2523" s="526" t="s">
        <v>5612</v>
      </c>
      <c r="F2523" s="526" t="s">
        <v>1229</v>
      </c>
      <c r="G2523" s="526" t="s">
        <v>2727</v>
      </c>
      <c r="H2523" s="412">
        <v>411.52895999999998</v>
      </c>
      <c r="I2523" s="411">
        <v>14.86899</v>
      </c>
      <c r="J2523" s="411">
        <v>52.856400000000001</v>
      </c>
      <c r="K2523" s="411">
        <v>5660.2387699999999</v>
      </c>
      <c r="L2523" s="526" t="s">
        <v>553</v>
      </c>
    </row>
    <row r="2524" spans="1:12" ht="15" x14ac:dyDescent="0.25">
      <c r="A2524">
        <v>89013</v>
      </c>
      <c r="B2524" t="str">
        <f t="shared" si="110"/>
        <v>SEVROLL 01373 spojovacia lišta T Decor 3m strieborná</v>
      </c>
      <c r="C2524" s="198">
        <f t="shared" si="111"/>
        <v>9.2374700000000001</v>
      </c>
      <c r="D2524" s="526" t="s">
        <v>2728</v>
      </c>
      <c r="E2524" s="526" t="s">
        <v>4011</v>
      </c>
      <c r="F2524" s="526" t="s">
        <v>4012</v>
      </c>
      <c r="G2524" s="526" t="s">
        <v>2728</v>
      </c>
      <c r="H2524" s="412">
        <v>255.77668</v>
      </c>
      <c r="I2524" s="411">
        <v>9.2374700000000001</v>
      </c>
      <c r="J2524" s="411">
        <v>34.210799999999999</v>
      </c>
      <c r="K2524" s="411">
        <v>3516.4691699999998</v>
      </c>
      <c r="L2524" s="526" t="s">
        <v>553</v>
      </c>
    </row>
    <row r="2525" spans="1:12" ht="15" x14ac:dyDescent="0.25">
      <c r="A2525">
        <v>89015</v>
      </c>
      <c r="B2525" t="str">
        <f t="shared" si="110"/>
        <v>SEVROLL 01373 spojovacia lišta T Decor 3m oliva</v>
      </c>
      <c r="C2525" s="198">
        <f t="shared" si="111"/>
        <v>11.54684</v>
      </c>
      <c r="D2525" s="526" t="s">
        <v>2729</v>
      </c>
      <c r="E2525" s="526" t="s">
        <v>4146</v>
      </c>
      <c r="F2525" s="526" t="s">
        <v>4147</v>
      </c>
      <c r="G2525" s="526" t="s">
        <v>2729</v>
      </c>
      <c r="H2525" s="412">
        <v>320.07808</v>
      </c>
      <c r="I2525" s="411">
        <v>11.54684</v>
      </c>
      <c r="J2525" s="411">
        <v>38.903100000000002</v>
      </c>
      <c r="K2525" s="411">
        <v>4395.5868499999997</v>
      </c>
      <c r="L2525" s="526" t="s">
        <v>553</v>
      </c>
    </row>
    <row r="2526" spans="1:12" ht="15" x14ac:dyDescent="0.25">
      <c r="A2526">
        <v>89016</v>
      </c>
      <c r="B2526" t="str">
        <f t="shared" si="110"/>
        <v>SEVROL 00036L profil "U" Decor 18mm 3m strieborná</v>
      </c>
      <c r="C2526" s="198">
        <f t="shared" si="111"/>
        <v>7.0700200000000004</v>
      </c>
      <c r="D2526" s="526" t="s">
        <v>2730</v>
      </c>
      <c r="E2526" s="526" t="s">
        <v>3873</v>
      </c>
      <c r="F2526" s="526" t="s">
        <v>3874</v>
      </c>
      <c r="G2526" s="526" t="s">
        <v>2730</v>
      </c>
      <c r="H2526" s="412">
        <v>195.76204000000001</v>
      </c>
      <c r="I2526" s="411">
        <v>7.0700200000000004</v>
      </c>
      <c r="J2526" s="411">
        <v>23.813600000000001</v>
      </c>
      <c r="K2526" s="411">
        <v>2691.3758899999998</v>
      </c>
      <c r="L2526" s="526" t="s">
        <v>553</v>
      </c>
    </row>
    <row r="2527" spans="1:12" ht="15" x14ac:dyDescent="0.25">
      <c r="A2527">
        <v>89018</v>
      </c>
      <c r="B2527" t="str">
        <f t="shared" si="110"/>
        <v>SEVROLL 00035 profil "U" Decor 18mm 3m oliva</v>
      </c>
      <c r="C2527" s="198">
        <f t="shared" si="111"/>
        <v>8.8375299999999992</v>
      </c>
      <c r="D2527" s="526" t="s">
        <v>2731</v>
      </c>
      <c r="E2527" s="526" t="s">
        <v>1135</v>
      </c>
      <c r="F2527" s="526" t="s">
        <v>2731</v>
      </c>
      <c r="G2527" s="526" t="s">
        <v>3924</v>
      </c>
      <c r="H2527" s="412">
        <v>245.05977999999999</v>
      </c>
      <c r="I2527" s="411">
        <v>8.8375299999999992</v>
      </c>
      <c r="J2527" s="411">
        <v>29.933700000000002</v>
      </c>
      <c r="K2527" s="411">
        <v>3364.2201500000001</v>
      </c>
      <c r="L2527" s="526" t="s">
        <v>554</v>
      </c>
    </row>
    <row r="2528" spans="1:12" ht="15" x14ac:dyDescent="0.25">
      <c r="A2528">
        <v>95946</v>
      </c>
      <c r="B2528" t="str">
        <f t="shared" si="110"/>
        <v>SEVROLL protiprach.kartáč zásuvný 4,8x13mm</v>
      </c>
      <c r="C2528" s="198">
        <f t="shared" si="111"/>
        <v>0.18106</v>
      </c>
      <c r="D2528" s="526" t="s">
        <v>2732</v>
      </c>
      <c r="E2528" s="526" t="s">
        <v>5501</v>
      </c>
      <c r="F2528" s="526" t="s">
        <v>1238</v>
      </c>
      <c r="G2528" s="526" t="s">
        <v>5502</v>
      </c>
      <c r="H2528" s="412">
        <v>5.61191</v>
      </c>
      <c r="I2528" s="411">
        <v>0.18106</v>
      </c>
      <c r="J2528" s="411">
        <v>0.80579999999999996</v>
      </c>
      <c r="K2528" s="411">
        <v>50.999679999999998</v>
      </c>
      <c r="L2528" s="526" t="s">
        <v>553</v>
      </c>
    </row>
    <row r="2529" spans="1:12" ht="15" x14ac:dyDescent="0.25">
      <c r="A2529">
        <v>98001</v>
      </c>
      <c r="B2529" t="str">
        <f t="shared" si="110"/>
        <v>Sevroll (Astin) Elegant úch.lišta 2,7m str. (22/1)</v>
      </c>
      <c r="C2529" s="198">
        <f t="shared" si="111"/>
        <v>19.438680000000002</v>
      </c>
      <c r="D2529" s="526" t="s">
        <v>2733</v>
      </c>
      <c r="E2529" s="526" t="s">
        <v>5679</v>
      </c>
      <c r="F2529" s="526" t="s">
        <v>5680</v>
      </c>
      <c r="G2529" s="526" t="s">
        <v>5681</v>
      </c>
      <c r="H2529" s="412">
        <v>537.98838000000001</v>
      </c>
      <c r="I2529" s="411">
        <v>19.438680000000002</v>
      </c>
      <c r="J2529" s="411">
        <v>81.096440000000001</v>
      </c>
      <c r="K2529" s="411">
        <v>7399.8107499999996</v>
      </c>
      <c r="L2529" s="526" t="s">
        <v>553</v>
      </c>
    </row>
    <row r="2530" spans="1:12" ht="15" x14ac:dyDescent="0.25">
      <c r="A2530">
        <v>98002</v>
      </c>
      <c r="B2530" t="str">
        <f t="shared" si="110"/>
        <v>Sevroll (Astin) Orient úch.lišta 2,7m str. (32/1)</v>
      </c>
      <c r="C2530" s="198">
        <f t="shared" si="111"/>
        <v>19.512239999999998</v>
      </c>
      <c r="D2530" s="526" t="s">
        <v>2734</v>
      </c>
      <c r="E2530" s="526" t="s">
        <v>5667</v>
      </c>
      <c r="F2530" s="526" t="s">
        <v>5668</v>
      </c>
      <c r="G2530" s="526" t="s">
        <v>5669</v>
      </c>
      <c r="H2530" s="412">
        <v>540.13175999999999</v>
      </c>
      <c r="I2530" s="411">
        <v>19.512239999999998</v>
      </c>
      <c r="J2530" s="411">
        <v>81.387789999999995</v>
      </c>
      <c r="K2530" s="411">
        <v>7427.8048500000004</v>
      </c>
      <c r="L2530" s="526" t="s">
        <v>553</v>
      </c>
    </row>
    <row r="2531" spans="1:12" ht="15" x14ac:dyDescent="0.25">
      <c r="A2531">
        <v>98003</v>
      </c>
      <c r="B2531" t="str">
        <f t="shared" si="110"/>
        <v>Sevroll (Astin)-HORNÝ PROFIL 1,8M HLINÍK (32/1)</v>
      </c>
      <c r="C2531" s="198">
        <f t="shared" si="111"/>
        <v>21.081050000000001</v>
      </c>
      <c r="D2531" s="526" t="s">
        <v>2735</v>
      </c>
      <c r="E2531" s="526" t="s">
        <v>5676</v>
      </c>
      <c r="F2531" s="526" t="s">
        <v>5677</v>
      </c>
      <c r="G2531" s="526" t="s">
        <v>5678</v>
      </c>
      <c r="H2531" s="412">
        <v>583.71382000000006</v>
      </c>
      <c r="I2531" s="411">
        <v>21.081050000000001</v>
      </c>
      <c r="J2531" s="411">
        <v>83.524460000000005</v>
      </c>
      <c r="K2531" s="411">
        <v>8025.0153300000002</v>
      </c>
      <c r="L2531" s="526" t="s">
        <v>553</v>
      </c>
    </row>
    <row r="2532" spans="1:12" ht="15" x14ac:dyDescent="0.25">
      <c r="A2532">
        <v>98004</v>
      </c>
      <c r="B2532" t="str">
        <f t="shared" si="110"/>
        <v>Sevroll (Astin)-HORNÝ PROFIL 2,7M HLINÍK (32/1)</v>
      </c>
      <c r="C2532" s="198">
        <f t="shared" si="111"/>
        <v>36.38223</v>
      </c>
      <c r="D2532" s="526" t="s">
        <v>2736</v>
      </c>
      <c r="E2532" s="526" t="s">
        <v>5673</v>
      </c>
      <c r="F2532" s="526" t="s">
        <v>5674</v>
      </c>
      <c r="G2532" s="526" t="s">
        <v>5675</v>
      </c>
      <c r="H2532" s="412">
        <v>1007.3886</v>
      </c>
      <c r="I2532" s="411">
        <v>36.38223</v>
      </c>
      <c r="J2532" s="411">
        <v>144.12826999999999</v>
      </c>
      <c r="K2532" s="411">
        <v>13849.7814</v>
      </c>
      <c r="L2532" s="526" t="s">
        <v>553</v>
      </c>
    </row>
    <row r="2533" spans="1:12" ht="15" x14ac:dyDescent="0.25">
      <c r="A2533">
        <v>98005</v>
      </c>
      <c r="B2533" t="str">
        <f t="shared" si="110"/>
        <v>Sevroll (Astin)-HORNÝ PROFIL 3,6M HLINÍK (32/1)</v>
      </c>
      <c r="C2533" s="198">
        <f t="shared" si="111"/>
        <v>44.484369999999998</v>
      </c>
      <c r="D2533" s="526" t="s">
        <v>2737</v>
      </c>
      <c r="E2533" s="526" t="s">
        <v>5670</v>
      </c>
      <c r="F2533" s="526" t="s">
        <v>5671</v>
      </c>
      <c r="G2533" s="526" t="s">
        <v>5672</v>
      </c>
      <c r="H2533" s="412">
        <v>1231.7290399999999</v>
      </c>
      <c r="I2533" s="411">
        <v>44.484369999999998</v>
      </c>
      <c r="J2533" s="411">
        <v>176.27547000000001</v>
      </c>
      <c r="K2533" s="411">
        <v>16934.05889</v>
      </c>
      <c r="L2533" s="526" t="s">
        <v>554</v>
      </c>
    </row>
    <row r="2534" spans="1:12" ht="15" x14ac:dyDescent="0.25">
      <c r="A2534">
        <v>98007</v>
      </c>
      <c r="B2534" t="str">
        <f t="shared" si="110"/>
        <v>Sevroll (Astin)-SPODNÝ PROFIL 1,8M HLINÍK (22/1)</v>
      </c>
      <c r="C2534" s="198">
        <f t="shared" si="111"/>
        <v>10.837260000000001</v>
      </c>
      <c r="D2534" s="526" t="s">
        <v>2738</v>
      </c>
      <c r="E2534" s="526" t="s">
        <v>5664</v>
      </c>
      <c r="F2534" s="526" t="s">
        <v>5665</v>
      </c>
      <c r="G2534" s="526" t="s">
        <v>5666</v>
      </c>
      <c r="H2534" s="412">
        <v>300.07319999999999</v>
      </c>
      <c r="I2534" s="411">
        <v>10.837260000000001</v>
      </c>
      <c r="J2534" s="411">
        <v>45.359380000000002</v>
      </c>
      <c r="K2534" s="411">
        <v>4125.4668000000001</v>
      </c>
      <c r="L2534" s="526" t="s">
        <v>554</v>
      </c>
    </row>
    <row r="2535" spans="1:12" ht="15" x14ac:dyDescent="0.25">
      <c r="A2535">
        <v>98008</v>
      </c>
      <c r="B2535" t="str">
        <f t="shared" si="110"/>
        <v>Sevroll (Astin)-SPODNÝ PROFIL 2,7M HLINÍK (22/1)</v>
      </c>
      <c r="C2535" s="198">
        <f t="shared" si="111"/>
        <v>18.603960000000001</v>
      </c>
      <c r="D2535" s="526" t="s">
        <v>2739</v>
      </c>
      <c r="E2535" s="526" t="s">
        <v>5661</v>
      </c>
      <c r="F2535" s="526" t="s">
        <v>5662</v>
      </c>
      <c r="G2535" s="526" t="s">
        <v>5663</v>
      </c>
      <c r="H2535" s="412">
        <v>515.12566000000004</v>
      </c>
      <c r="I2535" s="411">
        <v>18.603960000000001</v>
      </c>
      <c r="J2535" s="411">
        <v>77.890870000000007</v>
      </c>
      <c r="K2535" s="411">
        <v>7082.05141</v>
      </c>
      <c r="L2535" s="526" t="s">
        <v>553</v>
      </c>
    </row>
    <row r="2536" spans="1:12" ht="15" x14ac:dyDescent="0.25">
      <c r="A2536">
        <v>98009</v>
      </c>
      <c r="B2536" t="str">
        <f t="shared" si="110"/>
        <v>Sevroll (Astin)-SPODNÝ PROFIL 3,6M HLINÍK (22/1)</v>
      </c>
      <c r="C2536" s="198">
        <f t="shared" si="111"/>
        <v>21.984159999999999</v>
      </c>
      <c r="D2536" s="526" t="s">
        <v>2740</v>
      </c>
      <c r="E2536" s="526" t="s">
        <v>5658</v>
      </c>
      <c r="F2536" s="526" t="s">
        <v>5659</v>
      </c>
      <c r="G2536" s="526" t="s">
        <v>5660</v>
      </c>
      <c r="H2536" s="412">
        <v>608.71992</v>
      </c>
      <c r="I2536" s="411">
        <v>21.984159999999999</v>
      </c>
      <c r="J2536" s="411">
        <v>92.052850000000007</v>
      </c>
      <c r="K2536" s="411">
        <v>8368.8042299999997</v>
      </c>
      <c r="L2536" s="526" t="s">
        <v>553</v>
      </c>
    </row>
    <row r="2537" spans="1:12" ht="15" x14ac:dyDescent="0.25">
      <c r="A2537">
        <v>98011</v>
      </c>
      <c r="B2537" t="str">
        <f t="shared" si="110"/>
        <v>Sevroll (Astin)-UHOLNÍK 1,8M HLINÍK (22/1)</v>
      </c>
      <c r="C2537" s="198">
        <f t="shared" si="111"/>
        <v>5.0315899999999996</v>
      </c>
      <c r="D2537" s="526" t="s">
        <v>2741</v>
      </c>
      <c r="E2537" s="526" t="s">
        <v>5652</v>
      </c>
      <c r="F2537" s="526" t="s">
        <v>5653</v>
      </c>
      <c r="G2537" s="526" t="s">
        <v>5654</v>
      </c>
      <c r="H2537" s="412">
        <v>139.31970000000001</v>
      </c>
      <c r="I2537" s="411">
        <v>5.0315899999999996</v>
      </c>
      <c r="J2537" s="411">
        <v>21.682020000000001</v>
      </c>
      <c r="K2537" s="411">
        <v>1915.3952999999999</v>
      </c>
      <c r="L2537" s="526" t="s">
        <v>554</v>
      </c>
    </row>
    <row r="2538" spans="1:12" ht="15" x14ac:dyDescent="0.25">
      <c r="A2538">
        <v>98012</v>
      </c>
      <c r="B2538" t="str">
        <f t="shared" si="110"/>
        <v>Sevroll (Astin) UHOLNÍK 2,7M str. (22/1)</v>
      </c>
      <c r="C2538" s="198">
        <f t="shared" si="111"/>
        <v>7.8957199999999998</v>
      </c>
      <c r="D2538" s="526" t="s">
        <v>2742</v>
      </c>
      <c r="E2538" s="526" t="s">
        <v>5649</v>
      </c>
      <c r="F2538" s="526" t="s">
        <v>5650</v>
      </c>
      <c r="G2538" s="526" t="s">
        <v>5651</v>
      </c>
      <c r="H2538" s="412">
        <v>218.62476000000001</v>
      </c>
      <c r="I2538" s="411">
        <v>7.8957199999999998</v>
      </c>
      <c r="J2538" s="411">
        <v>34.024070000000002</v>
      </c>
      <c r="K2538" s="411">
        <v>3005.69731</v>
      </c>
      <c r="L2538" s="526" t="s">
        <v>553</v>
      </c>
    </row>
    <row r="2539" spans="1:12" ht="15" x14ac:dyDescent="0.25">
      <c r="A2539">
        <v>98013</v>
      </c>
      <c r="B2539" t="str">
        <f t="shared" si="110"/>
        <v>Sevroll (Astin)-UHOLNÍK 3,6M HLINÍK (22/1)</v>
      </c>
      <c r="C2539" s="198">
        <f t="shared" si="111"/>
        <v>10.39861</v>
      </c>
      <c r="D2539" s="526" t="s">
        <v>2743</v>
      </c>
      <c r="E2539" s="526" t="s">
        <v>5646</v>
      </c>
      <c r="F2539" s="526" t="s">
        <v>5647</v>
      </c>
      <c r="G2539" s="526" t="s">
        <v>5648</v>
      </c>
      <c r="H2539" s="412">
        <v>287.92738000000003</v>
      </c>
      <c r="I2539" s="411">
        <v>10.39861</v>
      </c>
      <c r="J2539" s="411">
        <v>44.809489999999997</v>
      </c>
      <c r="K2539" s="411">
        <v>3958.4834700000001</v>
      </c>
      <c r="L2539" s="526" t="s">
        <v>554</v>
      </c>
    </row>
    <row r="2540" spans="1:12" ht="15" x14ac:dyDescent="0.25">
      <c r="A2540">
        <v>98015</v>
      </c>
      <c r="B2540" t="str">
        <f t="shared" si="110"/>
        <v>Sevroll (Astin) spojovací H08 profil 3m strieborná</v>
      </c>
      <c r="C2540" s="198">
        <f t="shared" si="111"/>
        <v>10.270049999999999</v>
      </c>
      <c r="D2540" s="526" t="s">
        <v>2744</v>
      </c>
      <c r="E2540" s="526" t="s">
        <v>5655</v>
      </c>
      <c r="F2540" s="526" t="s">
        <v>5656</v>
      </c>
      <c r="G2540" s="526" t="s">
        <v>5657</v>
      </c>
      <c r="H2540" s="412" t="e">
        <v>#N/A</v>
      </c>
      <c r="I2540" s="411">
        <v>10.270049999999999</v>
      </c>
      <c r="J2540" s="411">
        <v>36.833399999999997</v>
      </c>
      <c r="K2540" s="411">
        <v>4021.5995200000002</v>
      </c>
      <c r="L2540" s="526" t="e">
        <v>#N/A</v>
      </c>
    </row>
    <row r="2541" spans="1:12" ht="15" x14ac:dyDescent="0.25">
      <c r="A2541">
        <v>98019</v>
      </c>
      <c r="B2541" t="str">
        <f t="shared" si="110"/>
        <v>SEVROLL 20041 skrutka 2,5x18mm polguľatá hlava zinok biely</v>
      </c>
      <c r="C2541" s="198">
        <f t="shared" si="111"/>
        <v>2.9159999999999998E-2</v>
      </c>
      <c r="D2541" s="526" t="s">
        <v>2745</v>
      </c>
      <c r="E2541" s="526" t="s">
        <v>6177</v>
      </c>
      <c r="F2541" s="526" t="s">
        <v>6178</v>
      </c>
      <c r="G2541" s="526" t="s">
        <v>6179</v>
      </c>
      <c r="H2541" s="412">
        <v>0.85399000000000003</v>
      </c>
      <c r="I2541" s="411">
        <v>2.9159999999999998E-2</v>
      </c>
      <c r="J2541" s="411">
        <v>0.10996</v>
      </c>
      <c r="K2541" s="411">
        <v>11.32615</v>
      </c>
      <c r="L2541" s="526" t="s">
        <v>553</v>
      </c>
    </row>
    <row r="2542" spans="1:12" ht="15" x14ac:dyDescent="0.25">
      <c r="A2542">
        <v>89250</v>
      </c>
      <c r="B2542" t="str">
        <f t="shared" si="110"/>
        <v>SEVROLL KOMPLET pre ROZVR. DV. ZR18</v>
      </c>
      <c r="C2542" s="198">
        <f t="shared" si="111"/>
        <v>28.189779999999999</v>
      </c>
      <c r="D2542" s="526" t="s">
        <v>1554</v>
      </c>
      <c r="E2542" s="526" t="s">
        <v>1984</v>
      </c>
      <c r="F2542" s="526" t="s">
        <v>2207</v>
      </c>
      <c r="G2542" s="526" t="s">
        <v>2501</v>
      </c>
      <c r="H2542" s="412">
        <v>780.90477999999996</v>
      </c>
      <c r="I2542" s="411">
        <v>28.189779999999999</v>
      </c>
      <c r="J2542" s="411">
        <v>99.2256</v>
      </c>
      <c r="K2542" s="411">
        <v>10731.12515</v>
      </c>
      <c r="L2542" s="526" t="s">
        <v>554</v>
      </c>
    </row>
    <row r="2543" spans="1:12" ht="15" x14ac:dyDescent="0.25">
      <c r="A2543">
        <v>84170</v>
      </c>
      <c r="B2543" t="str">
        <f t="shared" si="110"/>
        <v>SEVROLL 214-426 Herkules 2 horné vedenie 2,4m alu</v>
      </c>
      <c r="C2543" s="198" t="e">
        <f t="shared" si="111"/>
        <v>#N/A</v>
      </c>
      <c r="D2543" s="526" t="s">
        <v>2746</v>
      </c>
      <c r="E2543" s="526" t="s">
        <v>4806</v>
      </c>
      <c r="F2543" s="526" t="s">
        <v>4807</v>
      </c>
      <c r="G2543" s="526" t="s">
        <v>4808</v>
      </c>
      <c r="H2543" s="412" t="e">
        <v>#N/A</v>
      </c>
      <c r="I2543" s="411" t="e">
        <v>#N/A</v>
      </c>
      <c r="J2543" s="411" t="e">
        <v>#N/A</v>
      </c>
      <c r="K2543" s="411" t="e">
        <v>#N/A</v>
      </c>
      <c r="L2543" s="526" t="e">
        <v>#N/A</v>
      </c>
    </row>
    <row r="2544" spans="1:12" ht="15" x14ac:dyDescent="0.25">
      <c r="A2544">
        <v>84172</v>
      </c>
      <c r="B2544" t="str">
        <f t="shared" si="110"/>
        <v>SEVROLL 219-070 Herkules-synchro mechanika for 2x50kg</v>
      </c>
      <c r="C2544" s="198" t="e">
        <f t="shared" si="111"/>
        <v>#N/A</v>
      </c>
      <c r="D2544" s="526" t="s">
        <v>2747</v>
      </c>
      <c r="E2544" s="526" t="s">
        <v>4777</v>
      </c>
      <c r="F2544" s="526" t="s">
        <v>2747</v>
      </c>
      <c r="G2544" s="526" t="s">
        <v>4778</v>
      </c>
      <c r="H2544" s="412" t="e">
        <v>#N/A</v>
      </c>
      <c r="I2544" s="411" t="e">
        <v>#N/A</v>
      </c>
      <c r="J2544" s="411" t="e">
        <v>#N/A</v>
      </c>
      <c r="K2544" s="411" t="e">
        <v>#N/A</v>
      </c>
      <c r="L2544" s="526" t="e">
        <v>#N/A</v>
      </c>
    </row>
    <row r="2545" spans="1:12" ht="15" x14ac:dyDescent="0.25">
      <c r="A2545">
        <v>84174</v>
      </c>
      <c r="B2545" t="str">
        <f t="shared" si="110"/>
        <v>SEVROLL 214-427 Herkules 2 horné vedenie 3m alu</v>
      </c>
      <c r="C2545" s="198" t="e">
        <f t="shared" si="111"/>
        <v>#N/A</v>
      </c>
      <c r="D2545" s="526" t="s">
        <v>2748</v>
      </c>
      <c r="E2545" s="526" t="s">
        <v>4920</v>
      </c>
      <c r="F2545" s="526" t="s">
        <v>4923</v>
      </c>
      <c r="G2545" s="526" t="s">
        <v>4924</v>
      </c>
      <c r="H2545" s="412" t="e">
        <v>#N/A</v>
      </c>
      <c r="I2545" s="411" t="e">
        <v>#N/A</v>
      </c>
      <c r="J2545" s="411" t="e">
        <v>#N/A</v>
      </c>
      <c r="K2545" s="411" t="e">
        <v>#N/A</v>
      </c>
      <c r="L2545" s="526" t="e">
        <v>#N/A</v>
      </c>
    </row>
    <row r="2546" spans="1:12" ht="15" x14ac:dyDescent="0.25">
      <c r="A2546">
        <v>89019</v>
      </c>
      <c r="B2546" t="str">
        <f t="shared" si="110"/>
        <v>SEVROLL 00911 First horné/spodné vedenie 1,8m strieborná</v>
      </c>
      <c r="C2546" s="198">
        <f t="shared" si="111"/>
        <v>7.8699199999999996</v>
      </c>
      <c r="D2546" s="526" t="s">
        <v>2749</v>
      </c>
      <c r="E2546" s="526" t="s">
        <v>3881</v>
      </c>
      <c r="F2546" s="526" t="s">
        <v>3882</v>
      </c>
      <c r="G2546" s="526" t="s">
        <v>3883</v>
      </c>
      <c r="H2546" s="412">
        <v>217.91030000000001</v>
      </c>
      <c r="I2546" s="411">
        <v>7.8699199999999996</v>
      </c>
      <c r="J2546" s="411">
        <v>29.631</v>
      </c>
      <c r="K2546" s="411">
        <v>2995.8746999999998</v>
      </c>
      <c r="L2546" s="526" t="s">
        <v>554</v>
      </c>
    </row>
    <row r="2547" spans="1:12" ht="15" x14ac:dyDescent="0.25">
      <c r="A2547">
        <v>89028</v>
      </c>
      <c r="B2547" t="str">
        <f t="shared" si="110"/>
        <v>SEVROLL 01246 Single horné vedenie 1,7m oliva</v>
      </c>
      <c r="C2547" s="198">
        <f t="shared" si="111"/>
        <v>18.087900000000001</v>
      </c>
      <c r="D2547" s="526" t="s">
        <v>2750</v>
      </c>
      <c r="E2547" s="526" t="s">
        <v>4437</v>
      </c>
      <c r="F2547" s="526" t="s">
        <v>4438</v>
      </c>
      <c r="G2547" s="526" t="s">
        <v>4439</v>
      </c>
      <c r="H2547" s="412">
        <v>477.41604999999998</v>
      </c>
      <c r="I2547" s="411">
        <v>18.087900000000001</v>
      </c>
      <c r="J2547" s="411">
        <v>62.236049999999999</v>
      </c>
      <c r="K2547" s="411">
        <v>6660.84807</v>
      </c>
      <c r="L2547" s="526" t="s">
        <v>554</v>
      </c>
    </row>
    <row r="2548" spans="1:12" ht="15" x14ac:dyDescent="0.25">
      <c r="A2548">
        <v>89029</v>
      </c>
      <c r="B2548" t="str">
        <f t="shared" si="110"/>
        <v>SEVROLL 01255 Single horné vedenie 1,7m strieborná</v>
      </c>
      <c r="C2548" s="198">
        <f t="shared" si="111"/>
        <v>14.836729999999999</v>
      </c>
      <c r="D2548" s="526" t="s">
        <v>2751</v>
      </c>
      <c r="E2548" s="526" t="s">
        <v>4408</v>
      </c>
      <c r="F2548" s="526" t="s">
        <v>4409</v>
      </c>
      <c r="G2548" s="526" t="s">
        <v>2751</v>
      </c>
      <c r="H2548" s="412">
        <v>391.60374999999999</v>
      </c>
      <c r="I2548" s="411">
        <v>14.836729999999999</v>
      </c>
      <c r="J2548" s="411">
        <v>51.049550000000004</v>
      </c>
      <c r="K2548" s="411">
        <v>5463.6057700000001</v>
      </c>
      <c r="L2548" s="526" t="s">
        <v>553</v>
      </c>
    </row>
    <row r="2549" spans="1:12" ht="15" x14ac:dyDescent="0.25">
      <c r="A2549">
        <v>89031</v>
      </c>
      <c r="B2549" t="str">
        <f t="shared" si="110"/>
        <v>SEVROLL 01247 Single horné vedenie 2,35m oliva</v>
      </c>
      <c r="C2549" s="198">
        <f t="shared" si="111"/>
        <v>24.9773</v>
      </c>
      <c r="D2549" s="526" t="s">
        <v>2752</v>
      </c>
      <c r="E2549" s="526" t="s">
        <v>4652</v>
      </c>
      <c r="F2549" s="526" t="s">
        <v>4653</v>
      </c>
      <c r="G2549" s="526" t="s">
        <v>4654</v>
      </c>
      <c r="H2549" s="412">
        <v>659.25639999999999</v>
      </c>
      <c r="I2549" s="411">
        <v>24.9773</v>
      </c>
      <c r="J2549" s="411">
        <v>85.940809999999999</v>
      </c>
      <c r="K2549" s="411">
        <v>9197.8615399999999</v>
      </c>
      <c r="L2549" s="526" t="s">
        <v>554</v>
      </c>
    </row>
    <row r="2550" spans="1:12" ht="15" x14ac:dyDescent="0.25">
      <c r="A2550">
        <v>89032</v>
      </c>
      <c r="B2550" t="str">
        <f t="shared" si="110"/>
        <v>SEVROLL 01256 Single horné vedenie 2,35m strieborná</v>
      </c>
      <c r="C2550" s="198">
        <f t="shared" si="111"/>
        <v>20.487580000000001</v>
      </c>
      <c r="D2550" s="526" t="s">
        <v>2753</v>
      </c>
      <c r="E2550" s="526" t="s">
        <v>4617</v>
      </c>
      <c r="F2550" s="526" t="s">
        <v>4618</v>
      </c>
      <c r="G2550" s="526" t="s">
        <v>2753</v>
      </c>
      <c r="H2550" s="412">
        <v>540.75369999999998</v>
      </c>
      <c r="I2550" s="411">
        <v>20.487580000000001</v>
      </c>
      <c r="J2550" s="411">
        <v>70.492769999999993</v>
      </c>
      <c r="K2550" s="411">
        <v>7544.52693</v>
      </c>
      <c r="L2550" s="526" t="s">
        <v>553</v>
      </c>
    </row>
    <row r="2551" spans="1:12" ht="15" x14ac:dyDescent="0.25">
      <c r="A2551">
        <v>89034</v>
      </c>
      <c r="B2551" t="str">
        <f t="shared" si="110"/>
        <v>SEVROLL 01248 Single horné vedenie 3m oliva</v>
      </c>
      <c r="C2551" s="198">
        <f t="shared" si="111"/>
        <v>31.892510000000001</v>
      </c>
      <c r="D2551" s="526" t="s">
        <v>2754</v>
      </c>
      <c r="E2551" s="526" t="s">
        <v>4801</v>
      </c>
      <c r="F2551" s="526" t="s">
        <v>4802</v>
      </c>
      <c r="G2551" s="526" t="s">
        <v>4803</v>
      </c>
      <c r="H2551" s="412">
        <v>841.77779999999996</v>
      </c>
      <c r="I2551" s="411">
        <v>31.892510000000001</v>
      </c>
      <c r="J2551" s="411">
        <v>109.73432</v>
      </c>
      <c r="K2551" s="411">
        <v>11744.37693</v>
      </c>
      <c r="L2551" s="526" t="s">
        <v>554</v>
      </c>
    </row>
    <row r="2552" spans="1:12" ht="15" x14ac:dyDescent="0.25">
      <c r="A2552">
        <v>89035</v>
      </c>
      <c r="B2552" t="str">
        <f t="shared" si="110"/>
        <v>SEVROLL 01257 SINGLE HORNÉ VEDENIE 3 m strieborná</v>
      </c>
      <c r="C2552" s="198">
        <f t="shared" si="111"/>
        <v>26.190049999999999</v>
      </c>
      <c r="D2552" s="526" t="s">
        <v>2755</v>
      </c>
      <c r="E2552" s="526" t="s">
        <v>4770</v>
      </c>
      <c r="F2552" s="526" t="s">
        <v>4771</v>
      </c>
      <c r="G2552" s="526" t="s">
        <v>2755</v>
      </c>
      <c r="H2552" s="412">
        <v>691.26575000000003</v>
      </c>
      <c r="I2552" s="411">
        <v>26.190049999999999</v>
      </c>
      <c r="J2552" s="411">
        <v>90.113560000000007</v>
      </c>
      <c r="K2552" s="411">
        <v>9644.4519299999993</v>
      </c>
      <c r="L2552" s="526" t="s">
        <v>553</v>
      </c>
    </row>
    <row r="2553" spans="1:12" ht="15" x14ac:dyDescent="0.25">
      <c r="A2553">
        <v>89036</v>
      </c>
      <c r="B2553" t="str">
        <f t="shared" ref="B2553:B2616" si="112">IF($A$2=1,D2553,IF($A$2=2,F2553,IF($A$2=3,G2553,IF($A$2=4,E2553,"zadat jazyk"))))</f>
        <v>SEVROLL ZR10 sada pre rozbalovacie dvere</v>
      </c>
      <c r="C2553" s="198">
        <f t="shared" ref="C2553:C2616" si="113">IF($A$2=1,H2553,IF($A$2=2,I2553,IF($A$2=3,J2553,IF($A$2=4,K2553,"zadat jazyk"))))</f>
        <v>20.63982</v>
      </c>
      <c r="D2553" s="526" t="s">
        <v>1726</v>
      </c>
      <c r="E2553" s="526" t="s">
        <v>2158</v>
      </c>
      <c r="F2553" s="526" t="s">
        <v>2328</v>
      </c>
      <c r="G2553" s="526" t="s">
        <v>2634</v>
      </c>
      <c r="H2553" s="412">
        <v>571.56799999999998</v>
      </c>
      <c r="I2553" s="411">
        <v>20.63982</v>
      </c>
      <c r="J2553" s="411">
        <v>72.572999999999993</v>
      </c>
      <c r="K2553" s="411">
        <v>7857.0497500000001</v>
      </c>
      <c r="L2553" s="526" t="s">
        <v>554</v>
      </c>
    </row>
    <row r="2554" spans="1:12" ht="15" x14ac:dyDescent="0.25">
      <c r="A2554">
        <v>84191</v>
      </c>
      <c r="B2554" t="str">
        <f t="shared" si="112"/>
        <v>SEVROLL SMART spodné vedenia 1,7 M OLIVA</v>
      </c>
      <c r="C2554" s="198">
        <f t="shared" si="113"/>
        <v>4.6961500000000003</v>
      </c>
      <c r="D2554" s="526" t="s">
        <v>2756</v>
      </c>
      <c r="E2554" s="526" t="s">
        <v>5505</v>
      </c>
      <c r="F2554" s="526" t="s">
        <v>5506</v>
      </c>
      <c r="G2554" s="526" t="s">
        <v>5507</v>
      </c>
      <c r="H2554" s="412">
        <v>130.03172000000001</v>
      </c>
      <c r="I2554" s="411">
        <v>4.6961500000000003</v>
      </c>
      <c r="J2554" s="411">
        <v>16.360800000000001</v>
      </c>
      <c r="K2554" s="411">
        <v>1787.70243</v>
      </c>
      <c r="L2554" s="526" t="s">
        <v>554</v>
      </c>
    </row>
    <row r="2555" spans="1:12" ht="15" x14ac:dyDescent="0.25">
      <c r="A2555">
        <v>84192</v>
      </c>
      <c r="B2555" t="str">
        <f t="shared" si="112"/>
        <v>SEVROLL SMART SPODNÉ VEDENIE 1,7M STRIE.</v>
      </c>
      <c r="C2555" s="198">
        <f t="shared" si="113"/>
        <v>3.8704499999999999</v>
      </c>
      <c r="D2555" s="526" t="s">
        <v>2757</v>
      </c>
      <c r="E2555" s="526" t="s">
        <v>3647</v>
      </c>
      <c r="F2555" s="526" t="s">
        <v>3648</v>
      </c>
      <c r="G2555" s="526" t="s">
        <v>3649</v>
      </c>
      <c r="H2555" s="412">
        <v>107.169</v>
      </c>
      <c r="I2555" s="411">
        <v>3.8704499999999999</v>
      </c>
      <c r="J2555" s="411">
        <v>14.2188</v>
      </c>
      <c r="K2555" s="411">
        <v>1473.3810000000001</v>
      </c>
      <c r="L2555" s="526" t="s">
        <v>553</v>
      </c>
    </row>
    <row r="2556" spans="1:12" ht="15" x14ac:dyDescent="0.25">
      <c r="A2556">
        <v>84194</v>
      </c>
      <c r="B2556" t="str">
        <f t="shared" si="112"/>
        <v>SEVROLL SMART spodné vedenia 2,35M OLIVA</v>
      </c>
      <c r="C2556" s="198">
        <f t="shared" si="113"/>
        <v>6.4765499999999996</v>
      </c>
      <c r="D2556" s="526" t="s">
        <v>2758</v>
      </c>
      <c r="E2556" s="526" t="s">
        <v>5508</v>
      </c>
      <c r="F2556" s="526" t="s">
        <v>5509</v>
      </c>
      <c r="G2556" s="526" t="s">
        <v>5510</v>
      </c>
      <c r="H2556" s="412">
        <v>179.32946000000001</v>
      </c>
      <c r="I2556" s="411">
        <v>6.4765499999999996</v>
      </c>
      <c r="J2556" s="411">
        <v>22.613399999999999</v>
      </c>
      <c r="K2556" s="411">
        <v>2465.4576099999999</v>
      </c>
      <c r="L2556" s="526" t="s">
        <v>554</v>
      </c>
    </row>
    <row r="2557" spans="1:12" ht="15" x14ac:dyDescent="0.25">
      <c r="A2557">
        <v>84195</v>
      </c>
      <c r="B2557" t="str">
        <f t="shared" si="112"/>
        <v>SEVROLL SMART SPODNÉ VEDENIE 2,35M STRIE</v>
      </c>
      <c r="C2557" s="198">
        <f t="shared" si="113"/>
        <v>5.3154199999999996</v>
      </c>
      <c r="D2557" s="526" t="s">
        <v>2759</v>
      </c>
      <c r="E2557" s="526" t="s">
        <v>3744</v>
      </c>
      <c r="F2557" s="526" t="s">
        <v>3745</v>
      </c>
      <c r="G2557" s="526" t="s">
        <v>3746</v>
      </c>
      <c r="H2557" s="412">
        <v>147.17876000000001</v>
      </c>
      <c r="I2557" s="411">
        <v>5.3154199999999996</v>
      </c>
      <c r="J2557" s="411">
        <v>19.6554</v>
      </c>
      <c r="K2557" s="411">
        <v>2023.4433100000001</v>
      </c>
      <c r="L2557" s="526" t="s">
        <v>553</v>
      </c>
    </row>
    <row r="2558" spans="1:12" ht="15" x14ac:dyDescent="0.25">
      <c r="A2558">
        <v>84197</v>
      </c>
      <c r="B2558" t="str">
        <f t="shared" si="112"/>
        <v>SEVROLL SMART SPODNÉ VEDENIE 3M OLIVA</v>
      </c>
      <c r="C2558" s="198">
        <f t="shared" si="113"/>
        <v>8.2311599999999991</v>
      </c>
      <c r="D2558" s="526" t="s">
        <v>2760</v>
      </c>
      <c r="E2558" s="526" t="s">
        <v>5511</v>
      </c>
      <c r="F2558" s="526" t="s">
        <v>5512</v>
      </c>
      <c r="G2558" s="526" t="s">
        <v>5513</v>
      </c>
      <c r="H2558" s="412">
        <v>227.91274000000001</v>
      </c>
      <c r="I2558" s="411">
        <v>8.2311599999999991</v>
      </c>
      <c r="J2558" s="411">
        <v>28.855799999999999</v>
      </c>
      <c r="K2558" s="411">
        <v>3133.3901900000001</v>
      </c>
      <c r="L2558" s="526" t="s">
        <v>554</v>
      </c>
    </row>
    <row r="2559" spans="1:12" ht="15" x14ac:dyDescent="0.25">
      <c r="A2559">
        <v>84198</v>
      </c>
      <c r="B2559" t="str">
        <f t="shared" si="112"/>
        <v>SEVROLL SMART SPODNÉ VEDENIE 3M STRIE.</v>
      </c>
      <c r="C2559" s="198">
        <f t="shared" si="113"/>
        <v>6.7345800000000002</v>
      </c>
      <c r="D2559" s="526" t="s">
        <v>2761</v>
      </c>
      <c r="E2559" s="526" t="s">
        <v>5514</v>
      </c>
      <c r="F2559" s="526" t="s">
        <v>5515</v>
      </c>
      <c r="G2559" s="526" t="s">
        <v>5516</v>
      </c>
      <c r="H2559" s="412">
        <v>186.47406000000001</v>
      </c>
      <c r="I2559" s="411">
        <v>6.7345800000000002</v>
      </c>
      <c r="J2559" s="411">
        <v>25.1022</v>
      </c>
      <c r="K2559" s="411">
        <v>2563.6830100000002</v>
      </c>
      <c r="L2559" s="526" t="s">
        <v>553</v>
      </c>
    </row>
    <row r="2560" spans="1:12" ht="15" x14ac:dyDescent="0.25">
      <c r="A2560">
        <v>84383</v>
      </c>
      <c r="B2560" t="str">
        <f t="shared" si="112"/>
        <v>SEVROLL 04285 Elegant II spodné vedenie 1,7m zlatá</v>
      </c>
      <c r="C2560" s="198">
        <f t="shared" si="113"/>
        <v>10.308299999999999</v>
      </c>
      <c r="D2560" s="526" t="s">
        <v>2762</v>
      </c>
      <c r="E2560" s="526" t="s">
        <v>5191</v>
      </c>
      <c r="F2560" s="526" t="s">
        <v>5192</v>
      </c>
      <c r="G2560" s="526" t="s">
        <v>5193</v>
      </c>
      <c r="H2560" s="412">
        <v>285.78399999999999</v>
      </c>
      <c r="I2560" s="411">
        <v>10.308299999999999</v>
      </c>
      <c r="J2560" s="411">
        <v>39.086399999999998</v>
      </c>
      <c r="K2560" s="411">
        <v>3924.1047100000001</v>
      </c>
      <c r="L2560" s="526" t="s">
        <v>554</v>
      </c>
    </row>
    <row r="2561" spans="1:12" ht="15" x14ac:dyDescent="0.25">
      <c r="A2561">
        <v>84385</v>
      </c>
      <c r="B2561" t="str">
        <f t="shared" si="112"/>
        <v>SEVROLL 04279 Elegant II spodné vedenie  1,7m strieborná</v>
      </c>
      <c r="C2561" s="198">
        <f t="shared" si="113"/>
        <v>8.2672799999999995</v>
      </c>
      <c r="D2561" s="526" t="s">
        <v>2763</v>
      </c>
      <c r="E2561" s="526" t="s">
        <v>5189</v>
      </c>
      <c r="F2561" s="526" t="s">
        <v>5190</v>
      </c>
      <c r="G2561" s="526" t="s">
        <v>2403</v>
      </c>
      <c r="H2561" s="412">
        <v>228.62719999999999</v>
      </c>
      <c r="I2561" s="411">
        <v>8.2672799999999995</v>
      </c>
      <c r="J2561" s="411">
        <v>31.293600000000001</v>
      </c>
      <c r="K2561" s="411">
        <v>3147.1418399999998</v>
      </c>
      <c r="L2561" s="526" t="s">
        <v>710</v>
      </c>
    </row>
    <row r="2562" spans="1:12" ht="15" x14ac:dyDescent="0.25">
      <c r="A2562">
        <v>84386</v>
      </c>
      <c r="B2562" t="str">
        <f t="shared" si="112"/>
        <v>SEVROLL Elegant II spodné vedenie 2,35m zlatá</v>
      </c>
      <c r="C2562" s="198">
        <f t="shared" si="113"/>
        <v>14.24972</v>
      </c>
      <c r="D2562" s="526" t="s">
        <v>2764</v>
      </c>
      <c r="E2562" s="526" t="s">
        <v>4268</v>
      </c>
      <c r="F2562" s="526" t="s">
        <v>4269</v>
      </c>
      <c r="G2562" s="526" t="s">
        <v>4270</v>
      </c>
      <c r="H2562" s="412">
        <v>388.57118000000003</v>
      </c>
      <c r="I2562" s="411">
        <v>14.24972</v>
      </c>
      <c r="J2562" s="411">
        <v>53.968200000000003</v>
      </c>
      <c r="K2562" s="411">
        <v>5424.4978899999996</v>
      </c>
      <c r="L2562" s="526" t="s">
        <v>554</v>
      </c>
    </row>
    <row r="2563" spans="1:12" ht="15" x14ac:dyDescent="0.25">
      <c r="A2563">
        <v>84387</v>
      </c>
      <c r="B2563" t="str">
        <f t="shared" si="112"/>
        <v>SEVROLL 04274 Elegant II spodné vedenie  2,35m oliva</v>
      </c>
      <c r="C2563" s="198">
        <f t="shared" si="113"/>
        <v>14.24972</v>
      </c>
      <c r="D2563" s="526" t="s">
        <v>2765</v>
      </c>
      <c r="E2563" s="526" t="s">
        <v>4280</v>
      </c>
      <c r="F2563" s="526" t="s">
        <v>4281</v>
      </c>
      <c r="G2563" s="526" t="s">
        <v>4282</v>
      </c>
      <c r="H2563" s="412">
        <v>388.57118000000003</v>
      </c>
      <c r="I2563" s="411">
        <v>14.24972</v>
      </c>
      <c r="J2563" s="411">
        <v>53.968200000000003</v>
      </c>
      <c r="K2563" s="411">
        <v>5424.4978899999996</v>
      </c>
      <c r="L2563" s="526" t="s">
        <v>553</v>
      </c>
    </row>
    <row r="2564" spans="1:12" ht="15" x14ac:dyDescent="0.25">
      <c r="A2564">
        <v>84388</v>
      </c>
      <c r="B2564" t="str">
        <f t="shared" si="112"/>
        <v>SEVROLL 04280 Elegant II spodné vedenie  2,35m strieborná</v>
      </c>
      <c r="C2564" s="198">
        <f t="shared" si="113"/>
        <v>11.37912</v>
      </c>
      <c r="D2564" s="526" t="s">
        <v>2766</v>
      </c>
      <c r="E2564" s="526" t="s">
        <v>5206</v>
      </c>
      <c r="F2564" s="526" t="s">
        <v>5207</v>
      </c>
      <c r="G2564" s="526" t="s">
        <v>5208</v>
      </c>
      <c r="H2564" s="412">
        <v>315.07686000000001</v>
      </c>
      <c r="I2564" s="411">
        <v>11.37912</v>
      </c>
      <c r="J2564" s="411">
        <v>43.278599999999997</v>
      </c>
      <c r="K2564" s="411">
        <v>4331.7402099999999</v>
      </c>
      <c r="L2564" s="526" t="s">
        <v>710</v>
      </c>
    </row>
    <row r="2565" spans="1:12" ht="15" x14ac:dyDescent="0.25">
      <c r="A2565">
        <v>84389</v>
      </c>
      <c r="B2565" t="str">
        <f t="shared" si="112"/>
        <v>SEVROLL Elegant II spodné vedenie 3m zlatá</v>
      </c>
      <c r="C2565" s="198">
        <f t="shared" si="113"/>
        <v>18.191120000000002</v>
      </c>
      <c r="D2565" s="526" t="s">
        <v>2767</v>
      </c>
      <c r="E2565" s="526" t="s">
        <v>4421</v>
      </c>
      <c r="F2565" s="526" t="s">
        <v>4422</v>
      </c>
      <c r="G2565" s="526" t="s">
        <v>4423</v>
      </c>
      <c r="H2565" s="412">
        <v>503.6943</v>
      </c>
      <c r="I2565" s="411">
        <v>18.191120000000002</v>
      </c>
      <c r="J2565" s="411">
        <v>68.931600000000003</v>
      </c>
      <c r="K2565" s="411">
        <v>6924.8906999999999</v>
      </c>
      <c r="L2565" s="526" t="s">
        <v>553</v>
      </c>
    </row>
    <row r="2566" spans="1:12" ht="15" x14ac:dyDescent="0.25">
      <c r="A2566">
        <v>84390</v>
      </c>
      <c r="B2566" t="str">
        <f t="shared" si="112"/>
        <v>SEVROLL 04275 Elegant II spodné vedenie  3m oliva</v>
      </c>
      <c r="C2566" s="198">
        <f t="shared" si="113"/>
        <v>18.191120000000002</v>
      </c>
      <c r="D2566" s="526" t="s">
        <v>2768</v>
      </c>
      <c r="E2566" s="526" t="s">
        <v>4432</v>
      </c>
      <c r="F2566" s="526" t="s">
        <v>4433</v>
      </c>
      <c r="G2566" s="526" t="s">
        <v>4434</v>
      </c>
      <c r="H2566" s="412">
        <v>503.6943</v>
      </c>
      <c r="I2566" s="411">
        <v>18.191120000000002</v>
      </c>
      <c r="J2566" s="411">
        <v>68.931600000000003</v>
      </c>
      <c r="K2566" s="411">
        <v>6924.8906999999999</v>
      </c>
      <c r="L2566" s="526" t="s">
        <v>553</v>
      </c>
    </row>
    <row r="2567" spans="1:12" ht="15" x14ac:dyDescent="0.25">
      <c r="A2567">
        <v>84391</v>
      </c>
      <c r="B2567" t="str">
        <f t="shared" si="112"/>
        <v>SEVROLL 04281 Elegant II spodné vedenie  3m strieborná</v>
      </c>
      <c r="C2567" s="198">
        <f t="shared" si="113"/>
        <v>14.444509999999999</v>
      </c>
      <c r="D2567" s="526" t="s">
        <v>2769</v>
      </c>
      <c r="E2567" s="526" t="s">
        <v>5224</v>
      </c>
      <c r="F2567" s="526" t="s">
        <v>5225</v>
      </c>
      <c r="G2567" s="526" t="s">
        <v>5226</v>
      </c>
      <c r="H2567" s="412">
        <v>397.23975999999999</v>
      </c>
      <c r="I2567" s="411">
        <v>14.444509999999999</v>
      </c>
      <c r="J2567" s="411">
        <v>55.212600000000002</v>
      </c>
      <c r="K2567" s="411">
        <v>5498.65787</v>
      </c>
      <c r="L2567" s="526" t="s">
        <v>710</v>
      </c>
    </row>
    <row r="2568" spans="1:12" ht="15" x14ac:dyDescent="0.25">
      <c r="A2568">
        <v>84392</v>
      </c>
      <c r="B2568" t="str">
        <f t="shared" si="112"/>
        <v>SEVROLL 04288 Elegant II spodné vedenie 4,05m zlatá</v>
      </c>
      <c r="C2568" s="198">
        <f t="shared" si="113"/>
        <v>24.558019999999999</v>
      </c>
      <c r="D2568" s="526" t="s">
        <v>2770</v>
      </c>
      <c r="E2568" s="526" t="s">
        <v>4614</v>
      </c>
      <c r="F2568" s="526" t="s">
        <v>4615</v>
      </c>
      <c r="G2568" s="526" t="s">
        <v>4616</v>
      </c>
      <c r="H2568" s="412">
        <v>680.16592000000003</v>
      </c>
      <c r="I2568" s="411">
        <v>24.558019999999999</v>
      </c>
      <c r="J2568" s="411">
        <v>93.075000000000003</v>
      </c>
      <c r="K2568" s="411">
        <v>9348.6025699999991</v>
      </c>
      <c r="L2568" s="526" t="s">
        <v>553</v>
      </c>
    </row>
    <row r="2569" spans="1:12" ht="15" x14ac:dyDescent="0.25">
      <c r="A2569">
        <v>84393</v>
      </c>
      <c r="B2569" t="str">
        <f t="shared" si="112"/>
        <v>SEVROLL 04276 Elegant II spodné vedenie  4,05m oliva</v>
      </c>
      <c r="C2569" s="198">
        <f t="shared" si="113"/>
        <v>24.558019999999999</v>
      </c>
      <c r="D2569" s="526" t="s">
        <v>2771</v>
      </c>
      <c r="E2569" s="526" t="s">
        <v>4636</v>
      </c>
      <c r="F2569" s="526" t="s">
        <v>4637</v>
      </c>
      <c r="G2569" s="526" t="s">
        <v>4638</v>
      </c>
      <c r="H2569" s="412">
        <v>680.16592000000003</v>
      </c>
      <c r="I2569" s="411">
        <v>24.558019999999999</v>
      </c>
      <c r="J2569" s="411">
        <v>93.075000000000003</v>
      </c>
      <c r="K2569" s="411">
        <v>9348.6025699999991</v>
      </c>
      <c r="L2569" s="526" t="s">
        <v>553</v>
      </c>
    </row>
    <row r="2570" spans="1:12" ht="15" x14ac:dyDescent="0.25">
      <c r="A2570">
        <v>84394</v>
      </c>
      <c r="B2570" t="str">
        <f t="shared" si="112"/>
        <v>SEVROLL 04282 Elegant II spodné vedenie  4,05m strieborná</v>
      </c>
      <c r="C2570" s="198">
        <f t="shared" si="113"/>
        <v>19.576750000000001</v>
      </c>
      <c r="D2570" s="526" t="s">
        <v>2772</v>
      </c>
      <c r="E2570" s="526" t="s">
        <v>5239</v>
      </c>
      <c r="F2570" s="526" t="s">
        <v>5240</v>
      </c>
      <c r="G2570" s="526" t="s">
        <v>5241</v>
      </c>
      <c r="H2570" s="412">
        <v>542.27513999999996</v>
      </c>
      <c r="I2570" s="411">
        <v>19.576750000000001</v>
      </c>
      <c r="J2570" s="411">
        <v>74.572199999999995</v>
      </c>
      <c r="K2570" s="411">
        <v>7452.3609999999999</v>
      </c>
      <c r="L2570" s="526" t="s">
        <v>710</v>
      </c>
    </row>
    <row r="2571" spans="1:12" ht="15" x14ac:dyDescent="0.25">
      <c r="A2571">
        <v>84395</v>
      </c>
      <c r="B2571" t="str">
        <f t="shared" si="112"/>
        <v>SEVROLL 02032 profil "U" pre lamino 16mm 3m oliva</v>
      </c>
      <c r="C2571" s="198">
        <f t="shared" si="113"/>
        <v>7.4828700000000001</v>
      </c>
      <c r="D2571" s="526" t="s">
        <v>2773</v>
      </c>
      <c r="E2571" s="526" t="s">
        <v>3906</v>
      </c>
      <c r="F2571" s="526" t="s">
        <v>3907</v>
      </c>
      <c r="G2571" s="526" t="s">
        <v>3908</v>
      </c>
      <c r="H2571" s="412">
        <v>207.1934</v>
      </c>
      <c r="I2571" s="411">
        <v>7.4828700000000001</v>
      </c>
      <c r="J2571" s="411">
        <v>25.646999999999998</v>
      </c>
      <c r="K2571" s="411">
        <v>2848.5365999999999</v>
      </c>
      <c r="L2571" s="526" t="s">
        <v>552</v>
      </c>
    </row>
    <row r="2572" spans="1:12" ht="15" x14ac:dyDescent="0.25">
      <c r="A2572">
        <v>89265</v>
      </c>
      <c r="B2572" t="str">
        <f t="shared" si="112"/>
        <v>SEVROLL 10202 horný vozík 10mm asymetrický L+P</v>
      </c>
      <c r="C2572" s="198">
        <f t="shared" si="113"/>
        <v>5.55023</v>
      </c>
      <c r="D2572" s="526" t="s">
        <v>2774</v>
      </c>
      <c r="E2572" s="526" t="s">
        <v>5420</v>
      </c>
      <c r="F2572" s="526" t="s">
        <v>5421</v>
      </c>
      <c r="G2572" s="526" t="s">
        <v>5422</v>
      </c>
      <c r="H2572" s="412">
        <v>163.00225</v>
      </c>
      <c r="I2572" s="411">
        <v>5.55023</v>
      </c>
      <c r="J2572" s="411">
        <v>27.305399999999999</v>
      </c>
      <c r="K2572" s="411">
        <v>2155.9472999999998</v>
      </c>
      <c r="L2572" s="526" t="s">
        <v>553</v>
      </c>
    </row>
    <row r="2573" spans="1:12" ht="15" x14ac:dyDescent="0.25">
      <c r="A2573">
        <v>89063</v>
      </c>
      <c r="B2573" t="str">
        <f t="shared" si="112"/>
        <v>SEVROLL 20080 pozicionér spodného vozíka HI-TEC</v>
      </c>
      <c r="C2573" s="198">
        <f t="shared" si="113"/>
        <v>0.30964000000000003</v>
      </c>
      <c r="D2573" s="526" t="s">
        <v>2775</v>
      </c>
      <c r="E2573" s="526" t="s">
        <v>6180</v>
      </c>
      <c r="F2573" s="526" t="s">
        <v>6181</v>
      </c>
      <c r="G2573" s="526" t="s">
        <v>6182</v>
      </c>
      <c r="H2573" s="412">
        <v>9.0977999999999994</v>
      </c>
      <c r="I2573" s="411">
        <v>0.30964000000000003</v>
      </c>
      <c r="J2573" s="411">
        <v>1.071</v>
      </c>
      <c r="K2573" s="411">
        <v>120.27615</v>
      </c>
      <c r="L2573" s="526" t="s">
        <v>710</v>
      </c>
    </row>
    <row r="2574" spans="1:12" ht="15" x14ac:dyDescent="0.25">
      <c r="A2574">
        <v>98022</v>
      </c>
      <c r="B2574" t="str">
        <f t="shared" si="112"/>
        <v>Sevroll Smart horný vozík</v>
      </c>
      <c r="C2574" s="198">
        <f t="shared" si="113"/>
        <v>1.5739799999999999</v>
      </c>
      <c r="D2574" s="526" t="s">
        <v>2776</v>
      </c>
      <c r="E2574" s="526" t="s">
        <v>6183</v>
      </c>
      <c r="F2574" s="526" t="s">
        <v>6184</v>
      </c>
      <c r="G2574" s="526" t="s">
        <v>6185</v>
      </c>
      <c r="H2574" s="412">
        <v>46.247149999999998</v>
      </c>
      <c r="I2574" s="411">
        <v>1.5739799999999999</v>
      </c>
      <c r="J2574" s="411">
        <v>6.7144500000000003</v>
      </c>
      <c r="K2574" s="411">
        <v>611.40308000000005</v>
      </c>
      <c r="L2574" s="526" t="s">
        <v>678</v>
      </c>
    </row>
    <row r="2575" spans="1:12" ht="15" x14ac:dyDescent="0.25">
      <c r="A2575">
        <v>98023</v>
      </c>
      <c r="B2575" t="str">
        <f t="shared" si="112"/>
        <v>Sevroll Smart spodný vozík</v>
      </c>
      <c r="C2575" s="198">
        <f t="shared" si="113"/>
        <v>1.5739799999999999</v>
      </c>
      <c r="D2575" s="526" t="s">
        <v>2777</v>
      </c>
      <c r="E2575" s="526" t="s">
        <v>6186</v>
      </c>
      <c r="F2575" s="526" t="s">
        <v>6187</v>
      </c>
      <c r="G2575" s="526" t="s">
        <v>6188</v>
      </c>
      <c r="H2575" s="412">
        <v>46.247149999999998</v>
      </c>
      <c r="I2575" s="411">
        <v>1.5739799999999999</v>
      </c>
      <c r="J2575" s="411">
        <v>6.7144500000000003</v>
      </c>
      <c r="K2575" s="411">
        <v>611.40308000000005</v>
      </c>
      <c r="L2575" s="526" t="s">
        <v>554</v>
      </c>
    </row>
    <row r="2576" spans="1:12" ht="15" x14ac:dyDescent="0.25">
      <c r="A2576">
        <v>84410</v>
      </c>
      <c r="B2576" t="str">
        <f t="shared" si="112"/>
        <v>SEVROLL Gemini II spodné vedenie 1,7m strieborná</v>
      </c>
      <c r="C2576" s="198">
        <f t="shared" si="113"/>
        <v>9.1671999999999993</v>
      </c>
      <c r="D2576" s="526" t="s">
        <v>2778</v>
      </c>
      <c r="E2576" s="526" t="s">
        <v>3977</v>
      </c>
      <c r="F2576" s="526" t="s">
        <v>3978</v>
      </c>
      <c r="G2576" s="526" t="s">
        <v>3979</v>
      </c>
      <c r="H2576" s="412">
        <v>259.34897999999998</v>
      </c>
      <c r="I2576" s="411">
        <v>9.1671999999999993</v>
      </c>
      <c r="J2576" s="411">
        <v>31.688289999999999</v>
      </c>
      <c r="K2576" s="411">
        <v>3525.84692</v>
      </c>
      <c r="L2576" s="526" t="s">
        <v>553</v>
      </c>
    </row>
    <row r="2577" spans="1:12" ht="15" x14ac:dyDescent="0.25">
      <c r="A2577">
        <v>84412</v>
      </c>
      <c r="B2577" t="str">
        <f t="shared" si="112"/>
        <v>SEVROLL 04593 Gemini II spodné vedenie  3m strieborná</v>
      </c>
      <c r="C2577" s="198">
        <f t="shared" si="113"/>
        <v>14.165850000000001</v>
      </c>
      <c r="D2577" s="526" t="s">
        <v>2779</v>
      </c>
      <c r="E2577" s="526" t="s">
        <v>4366</v>
      </c>
      <c r="F2577" s="526" t="s">
        <v>4367</v>
      </c>
      <c r="G2577" s="526" t="s">
        <v>4368</v>
      </c>
      <c r="H2577" s="412">
        <v>392.23854</v>
      </c>
      <c r="I2577" s="411">
        <v>14.165850000000001</v>
      </c>
      <c r="J2577" s="411">
        <v>52.749690000000001</v>
      </c>
      <c r="K2577" s="411">
        <v>5392.5743899999998</v>
      </c>
      <c r="L2577" s="526" t="s">
        <v>553</v>
      </c>
    </row>
    <row r="2578" spans="1:12" ht="15" x14ac:dyDescent="0.25">
      <c r="A2578">
        <v>96400</v>
      </c>
      <c r="B2578" t="str">
        <f t="shared" si="112"/>
        <v>SEVROLL Exclusive horné vedenie 1,8m str.</v>
      </c>
      <c r="C2578" s="198">
        <f t="shared" si="113"/>
        <v>19.352250000000002</v>
      </c>
      <c r="D2578" s="526" t="s">
        <v>2780</v>
      </c>
      <c r="E2578" s="526" t="s">
        <v>5700</v>
      </c>
      <c r="F2578" s="526" t="s">
        <v>1198</v>
      </c>
      <c r="G2578" s="526" t="s">
        <v>5701</v>
      </c>
      <c r="H2578" s="412">
        <v>510.78750000000002</v>
      </c>
      <c r="I2578" s="411">
        <v>19.352250000000002</v>
      </c>
      <c r="J2578" s="411">
        <v>66.586370000000002</v>
      </c>
      <c r="K2578" s="411">
        <v>7126.4422999999997</v>
      </c>
      <c r="L2578" s="526" t="s">
        <v>554</v>
      </c>
    </row>
    <row r="2579" spans="1:12" ht="15" x14ac:dyDescent="0.25">
      <c r="A2579">
        <v>96401</v>
      </c>
      <c r="B2579" t="str">
        <f t="shared" si="112"/>
        <v>SEVROLL MDF VLOŽKA PRE KRYCIU LIŠ. 2,7 m</v>
      </c>
      <c r="C2579" s="198">
        <f t="shared" si="113"/>
        <v>0</v>
      </c>
      <c r="D2579" s="526" t="s">
        <v>2781</v>
      </c>
      <c r="E2579" s="526" t="s">
        <v>3953</v>
      </c>
      <c r="F2579" s="526" t="s">
        <v>3954</v>
      </c>
      <c r="G2579" s="526" t="s">
        <v>3955</v>
      </c>
      <c r="H2579" s="412">
        <v>0</v>
      </c>
      <c r="I2579" s="411">
        <v>0</v>
      </c>
      <c r="J2579" s="411">
        <v>0</v>
      </c>
      <c r="K2579" s="411">
        <v>0</v>
      </c>
      <c r="L2579" s="526" t="s">
        <v>555</v>
      </c>
    </row>
    <row r="2580" spans="1:12" ht="15" x14ac:dyDescent="0.25">
      <c r="A2580">
        <v>98032</v>
      </c>
      <c r="B2580" t="str">
        <f t="shared" si="112"/>
        <v>SEVROLL 00910 First horné/spodné vedenie 1,2m strieborná</v>
      </c>
      <c r="C2580" s="198">
        <f t="shared" si="113"/>
        <v>5.2122099999999998</v>
      </c>
      <c r="D2580" s="526" t="s">
        <v>2782</v>
      </c>
      <c r="E2580" s="526" t="s">
        <v>3716</v>
      </c>
      <c r="F2580" s="526" t="s">
        <v>3717</v>
      </c>
      <c r="G2580" s="526" t="s">
        <v>3718</v>
      </c>
      <c r="H2580" s="412">
        <v>144.32092</v>
      </c>
      <c r="I2580" s="411">
        <v>5.2122099999999998</v>
      </c>
      <c r="J2580" s="411">
        <v>19.757400000000001</v>
      </c>
      <c r="K2580" s="411">
        <v>1984.1532299999999</v>
      </c>
      <c r="L2580" s="526" t="s">
        <v>554</v>
      </c>
    </row>
    <row r="2581" spans="1:12" ht="15" x14ac:dyDescent="0.25">
      <c r="A2581">
        <v>98034</v>
      </c>
      <c r="B2581" t="str">
        <f t="shared" si="112"/>
        <v>SEVROLL 10256-SV Exclusive sada kovania ZPE-10 II</v>
      </c>
      <c r="C2581" s="198">
        <f t="shared" si="113"/>
        <v>39.401179999999997</v>
      </c>
      <c r="D2581" s="526" t="s">
        <v>2783</v>
      </c>
      <c r="E2581" s="526" t="s">
        <v>4934</v>
      </c>
      <c r="F2581" s="526" t="s">
        <v>4935</v>
      </c>
      <c r="G2581" s="526" t="s">
        <v>4936</v>
      </c>
      <c r="H2581" s="412">
        <v>1039.96335</v>
      </c>
      <c r="I2581" s="411">
        <v>39.401179999999997</v>
      </c>
      <c r="J2581" s="411">
        <v>135.56983</v>
      </c>
      <c r="K2581" s="411">
        <v>14509.436540000001</v>
      </c>
      <c r="L2581" s="526" t="s">
        <v>554</v>
      </c>
    </row>
    <row r="2582" spans="1:12" ht="15" x14ac:dyDescent="0.25">
      <c r="A2582">
        <v>98035</v>
      </c>
      <c r="B2582" t="str">
        <f t="shared" si="112"/>
        <v>SEVROLL 20337 Exclusive brzda gumová horná</v>
      </c>
      <c r="C2582" s="198">
        <f t="shared" si="113"/>
        <v>3.9220600000000001</v>
      </c>
      <c r="D2582" s="526" t="s">
        <v>2784</v>
      </c>
      <c r="E2582" s="526" t="s">
        <v>3688</v>
      </c>
      <c r="F2582" s="526" t="s">
        <v>3689</v>
      </c>
      <c r="G2582" s="526" t="s">
        <v>3690</v>
      </c>
      <c r="H2582" s="412">
        <v>103.5196</v>
      </c>
      <c r="I2582" s="411">
        <v>3.9220600000000001</v>
      </c>
      <c r="J2582" s="411">
        <v>13.49484</v>
      </c>
      <c r="K2582" s="411">
        <v>1444.2923000000001</v>
      </c>
      <c r="L2582" s="526" t="s">
        <v>554</v>
      </c>
    </row>
    <row r="2583" spans="1:12" ht="15" x14ac:dyDescent="0.25">
      <c r="A2583">
        <v>98036</v>
      </c>
      <c r="B2583" t="str">
        <f t="shared" si="112"/>
        <v>SEVROLL 20019 Exclusive brzda guľatá spodná</v>
      </c>
      <c r="C2583" s="198">
        <f t="shared" si="113"/>
        <v>1.1611400000000001</v>
      </c>
      <c r="D2583" s="526" t="s">
        <v>2785</v>
      </c>
      <c r="E2583" s="526" t="s">
        <v>6189</v>
      </c>
      <c r="F2583" s="526" t="s">
        <v>6190</v>
      </c>
      <c r="G2583" s="526" t="s">
        <v>6191</v>
      </c>
      <c r="H2583" s="412">
        <v>30.64725</v>
      </c>
      <c r="I2583" s="411">
        <v>1.1611400000000001</v>
      </c>
      <c r="J2583" s="411">
        <v>3.99519</v>
      </c>
      <c r="K2583" s="411">
        <v>427.58654000000001</v>
      </c>
      <c r="L2583" s="526" t="s">
        <v>554</v>
      </c>
    </row>
    <row r="2584" spans="1:12" ht="15" x14ac:dyDescent="0.25">
      <c r="A2584">
        <v>98048</v>
      </c>
      <c r="B2584" t="str">
        <f t="shared" si="112"/>
        <v>SEVROLL 10209 Future horný vozík 10mm L+P</v>
      </c>
      <c r="C2584" s="198">
        <f t="shared" si="113"/>
        <v>6.8506999999999998</v>
      </c>
      <c r="D2584" s="526" t="s">
        <v>2786</v>
      </c>
      <c r="E2584" s="526" t="s">
        <v>3892</v>
      </c>
      <c r="F2584" s="526" t="s">
        <v>3893</v>
      </c>
      <c r="G2584" s="526" t="s">
        <v>3894</v>
      </c>
      <c r="H2584" s="412">
        <v>201.6679</v>
      </c>
      <c r="I2584" s="411">
        <v>6.8506999999999998</v>
      </c>
      <c r="J2584" s="411">
        <v>25.245000000000001</v>
      </c>
      <c r="K2584" s="411">
        <v>2661.10655</v>
      </c>
      <c r="L2584" s="526" t="s">
        <v>553</v>
      </c>
    </row>
    <row r="2585" spans="1:12" ht="15" x14ac:dyDescent="0.25">
      <c r="A2585">
        <v>98049</v>
      </c>
      <c r="B2585" t="str">
        <f t="shared" si="112"/>
        <v>SEVROLL 00901 First horné/spodné vedenie 1,2m oliva</v>
      </c>
      <c r="C2585" s="198">
        <f t="shared" si="113"/>
        <v>5.7798699999999998</v>
      </c>
      <c r="D2585" s="526" t="s">
        <v>2787</v>
      </c>
      <c r="E2585" s="526" t="s">
        <v>3713</v>
      </c>
      <c r="F2585" s="526" t="s">
        <v>3714</v>
      </c>
      <c r="G2585" s="526" t="s">
        <v>3715</v>
      </c>
      <c r="H2585" s="412">
        <v>160.03904</v>
      </c>
      <c r="I2585" s="411">
        <v>5.7798699999999998</v>
      </c>
      <c r="J2585" s="411">
        <v>21.725999999999999</v>
      </c>
      <c r="K2585" s="411">
        <v>2200.2488899999998</v>
      </c>
      <c r="L2585" s="526" t="s">
        <v>554</v>
      </c>
    </row>
    <row r="2586" spans="1:12" ht="15" x14ac:dyDescent="0.25">
      <c r="A2586" t="s">
        <v>70</v>
      </c>
      <c r="B2586" t="str">
        <f t="shared" si="112"/>
        <v>SEVROLL 20106 tesnenie na sklo 18/4-4,5mm asymetrické</v>
      </c>
      <c r="C2586" s="198">
        <f t="shared" si="113"/>
        <v>2.2861500000000001</v>
      </c>
      <c r="D2586" s="526" t="s">
        <v>2788</v>
      </c>
      <c r="E2586" s="526" t="s">
        <v>6192</v>
      </c>
      <c r="F2586" s="526" t="s">
        <v>6193</v>
      </c>
      <c r="G2586" s="526" t="s">
        <v>6194</v>
      </c>
      <c r="H2586" s="412">
        <v>66.958039999999997</v>
      </c>
      <c r="I2586" s="411">
        <v>2.2861500000000001</v>
      </c>
      <c r="J2586" s="411">
        <v>7.6425999999999998</v>
      </c>
      <c r="K2586" s="411">
        <v>888.03769999999997</v>
      </c>
      <c r="L2586" s="526" t="s">
        <v>553</v>
      </c>
    </row>
    <row r="2587" spans="1:12" ht="15" x14ac:dyDescent="0.25">
      <c r="A2587">
        <v>98054</v>
      </c>
      <c r="B2587" t="str">
        <f t="shared" si="112"/>
        <v>SEVROLL Maxim sada kovania pre 2 dvere 1,8m strieborná</v>
      </c>
      <c r="C2587" s="198">
        <f t="shared" si="113"/>
        <v>27.470300000000002</v>
      </c>
      <c r="D2587" s="526" t="s">
        <v>2789</v>
      </c>
      <c r="E2587" s="526" t="s">
        <v>4871</v>
      </c>
      <c r="F2587" s="526" t="s">
        <v>4872</v>
      </c>
      <c r="G2587" s="526" t="s">
        <v>4873</v>
      </c>
      <c r="H2587" s="412">
        <v>0</v>
      </c>
      <c r="I2587" s="411">
        <v>27.470300000000002</v>
      </c>
      <c r="J2587" s="411">
        <v>107.06509</v>
      </c>
      <c r="K2587" s="411">
        <v>0</v>
      </c>
      <c r="L2587" s="526" t="s">
        <v>555</v>
      </c>
    </row>
    <row r="2588" spans="1:12" ht="15" x14ac:dyDescent="0.25">
      <c r="A2588">
        <v>98055</v>
      </c>
      <c r="B2588" t="str">
        <f t="shared" si="112"/>
        <v>SEVROLL Maxim spojovacia lišta H25 1,8m strieborná</v>
      </c>
      <c r="C2588" s="198" t="e">
        <f t="shared" si="113"/>
        <v>#N/A</v>
      </c>
      <c r="D2588" s="526" t="s">
        <v>2790</v>
      </c>
      <c r="E2588" s="526" t="s">
        <v>4315</v>
      </c>
      <c r="F2588" s="526" t="s">
        <v>4316</v>
      </c>
      <c r="G2588" s="526" t="s">
        <v>4317</v>
      </c>
      <c r="H2588" s="412" t="e">
        <v>#N/A</v>
      </c>
      <c r="I2588" s="411" t="e">
        <v>#N/A</v>
      </c>
      <c r="J2588" s="411" t="e">
        <v>#N/A</v>
      </c>
      <c r="K2588" s="411" t="e">
        <v>#N/A</v>
      </c>
      <c r="L2588" s="526" t="e">
        <v>#N/A</v>
      </c>
    </row>
    <row r="2589" spans="1:12" ht="15" x14ac:dyDescent="0.25">
      <c r="A2589">
        <v>96421</v>
      </c>
      <c r="B2589" t="str">
        <f t="shared" si="112"/>
        <v>SEVROLL 04382 Fox II úchytová lišta 2,7m strieborná</v>
      </c>
      <c r="C2589" s="198">
        <f t="shared" si="113"/>
        <v>16.63777</v>
      </c>
      <c r="D2589" s="526" t="s">
        <v>2791</v>
      </c>
      <c r="E2589" s="526" t="s">
        <v>4380</v>
      </c>
      <c r="F2589" s="526" t="s">
        <v>4381</v>
      </c>
      <c r="G2589" s="526" t="s">
        <v>4382</v>
      </c>
      <c r="H2589" s="412">
        <v>460.82670000000002</v>
      </c>
      <c r="I2589" s="411">
        <v>16.63777</v>
      </c>
      <c r="J2589" s="411">
        <v>61.863</v>
      </c>
      <c r="K2589" s="411">
        <v>6333.57377</v>
      </c>
      <c r="L2589" s="526" t="s">
        <v>553</v>
      </c>
    </row>
    <row r="2590" spans="1:12" ht="15" x14ac:dyDescent="0.25">
      <c r="A2590">
        <v>98056</v>
      </c>
      <c r="B2590" t="str">
        <f t="shared" si="112"/>
        <v>SEVROLL Prince sada kovania pre skládacie dvere 1200mm strieborná</v>
      </c>
      <c r="C2590" s="198">
        <f t="shared" si="113"/>
        <v>190.27132</v>
      </c>
      <c r="D2590" s="526" t="s">
        <v>2792</v>
      </c>
      <c r="E2590" s="526" t="s">
        <v>5120</v>
      </c>
      <c r="F2590" s="526" t="s">
        <v>5121</v>
      </c>
      <c r="G2590" s="526" t="s">
        <v>5122</v>
      </c>
      <c r="H2590" s="412">
        <v>5268.4280399999998</v>
      </c>
      <c r="I2590" s="411">
        <v>190.27132</v>
      </c>
      <c r="J2590" s="411">
        <v>642.30799999999999</v>
      </c>
      <c r="K2590" s="411">
        <v>72431.409889999995</v>
      </c>
      <c r="L2590" s="526" t="s">
        <v>554</v>
      </c>
    </row>
    <row r="2591" spans="1:12" ht="15" x14ac:dyDescent="0.25">
      <c r="A2591">
        <v>98057</v>
      </c>
      <c r="B2591" t="str">
        <f t="shared" si="112"/>
        <v>SEVROLL 04592 Gemini II spodné vedenie  2,35m strieborná</v>
      </c>
      <c r="C2591" s="198">
        <f t="shared" si="113"/>
        <v>11.10046</v>
      </c>
      <c r="D2591" s="526" t="s">
        <v>2793</v>
      </c>
      <c r="E2591" s="526" t="s">
        <v>4180</v>
      </c>
      <c r="F2591" s="526" t="s">
        <v>4181</v>
      </c>
      <c r="G2591" s="526" t="s">
        <v>4182</v>
      </c>
      <c r="H2591" s="412">
        <v>307.36068999999998</v>
      </c>
      <c r="I2591" s="411">
        <v>11.10046</v>
      </c>
      <c r="J2591" s="411">
        <v>41.34393</v>
      </c>
      <c r="K2591" s="411">
        <v>4225.6567299999997</v>
      </c>
      <c r="L2591" s="526" t="s">
        <v>553</v>
      </c>
    </row>
    <row r="2592" spans="1:12" ht="15" x14ac:dyDescent="0.25">
      <c r="A2592">
        <v>98058</v>
      </c>
      <c r="B2592" t="str">
        <f t="shared" si="112"/>
        <v>SEVROLL 04594 Gemini II spodné vedenie  4,05m strieborná</v>
      </c>
      <c r="C2592" s="198">
        <f t="shared" si="113"/>
        <v>19.112290000000002</v>
      </c>
      <c r="D2592" s="526" t="s">
        <v>2794</v>
      </c>
      <c r="E2592" s="526" t="s">
        <v>4554</v>
      </c>
      <c r="F2592" s="526" t="s">
        <v>4555</v>
      </c>
      <c r="G2592" s="526" t="s">
        <v>4556</v>
      </c>
      <c r="H2592" s="412">
        <v>529.41485999999998</v>
      </c>
      <c r="I2592" s="411">
        <v>19.112290000000002</v>
      </c>
      <c r="J2592" s="411">
        <v>71.187690000000003</v>
      </c>
      <c r="K2592" s="411">
        <v>7275.5554300000003</v>
      </c>
      <c r="L2592" s="526" t="s">
        <v>553</v>
      </c>
    </row>
    <row r="2593" spans="1:12" ht="15" x14ac:dyDescent="0.25">
      <c r="A2593">
        <v>98060</v>
      </c>
      <c r="B2593" t="str">
        <f t="shared" si="112"/>
        <v>SEVROLL spodný vozík WD 18C HI-TEC</v>
      </c>
      <c r="C2593" s="198">
        <f t="shared" si="113"/>
        <v>0</v>
      </c>
      <c r="D2593" s="526" t="s">
        <v>2795</v>
      </c>
      <c r="E2593" s="526" t="s">
        <v>6195</v>
      </c>
      <c r="F2593" s="526" t="s">
        <v>1128</v>
      </c>
      <c r="G2593" s="526" t="s">
        <v>6196</v>
      </c>
      <c r="H2593" s="412">
        <v>0</v>
      </c>
      <c r="I2593" s="411">
        <v>0</v>
      </c>
      <c r="J2593" s="411">
        <v>0</v>
      </c>
      <c r="K2593" s="411">
        <v>0</v>
      </c>
      <c r="L2593" s="526" t="s">
        <v>555</v>
      </c>
    </row>
    <row r="2594" spans="1:12" ht="15" x14ac:dyDescent="0.25">
      <c r="A2594">
        <v>98062</v>
      </c>
      <c r="B2594" t="str">
        <f t="shared" si="112"/>
        <v>SEVROLL Prince 01 úchytová lišta 2,7m strieborná</v>
      </c>
      <c r="C2594" s="198">
        <f t="shared" si="113"/>
        <v>21.958349999999999</v>
      </c>
      <c r="D2594" s="526" t="s">
        <v>2796</v>
      </c>
      <c r="E2594" s="526" t="s">
        <v>4540</v>
      </c>
      <c r="F2594" s="526" t="s">
        <v>4541</v>
      </c>
      <c r="G2594" s="526" t="s">
        <v>4542</v>
      </c>
      <c r="H2594" s="412">
        <v>608.00545999999997</v>
      </c>
      <c r="I2594" s="411">
        <v>21.958349999999999</v>
      </c>
      <c r="J2594" s="411">
        <v>74.534199999999998</v>
      </c>
      <c r="K2594" s="411">
        <v>8358.9816100000007</v>
      </c>
      <c r="L2594" s="526" t="s">
        <v>554</v>
      </c>
    </row>
    <row r="2595" spans="1:12" ht="15" x14ac:dyDescent="0.25">
      <c r="A2595">
        <v>98064</v>
      </c>
      <c r="B2595" t="str">
        <f t="shared" si="112"/>
        <v>SEVROLL 10199 Micra C sada kovania pre 1 krídlo</v>
      </c>
      <c r="C2595" s="198">
        <f t="shared" si="113"/>
        <v>6.2998099999999999</v>
      </c>
      <c r="D2595" s="526" t="s">
        <v>2797</v>
      </c>
      <c r="E2595" s="526" t="s">
        <v>5491</v>
      </c>
      <c r="F2595" s="526" t="s">
        <v>5492</v>
      </c>
      <c r="G2595" s="526" t="s">
        <v>5493</v>
      </c>
      <c r="H2595" s="412">
        <v>174.32823999999999</v>
      </c>
      <c r="I2595" s="411">
        <v>6.2998099999999999</v>
      </c>
      <c r="J2595" s="411">
        <v>25.214400000000001</v>
      </c>
      <c r="K2595" s="411">
        <v>2398.17346</v>
      </c>
      <c r="L2595" s="526" t="s">
        <v>553</v>
      </c>
    </row>
    <row r="2596" spans="1:12" ht="15" x14ac:dyDescent="0.25">
      <c r="A2596">
        <v>98067</v>
      </c>
      <c r="B2596" t="str">
        <f t="shared" si="112"/>
        <v>SEVROLL dorazová kefa zásuvná 14x4mm sivá</v>
      </c>
      <c r="C2596" s="198">
        <f t="shared" si="113"/>
        <v>0.19361999999999999</v>
      </c>
      <c r="D2596" s="526" t="s">
        <v>2798</v>
      </c>
      <c r="E2596" s="526" t="s">
        <v>5154</v>
      </c>
      <c r="F2596" s="526" t="s">
        <v>5155</v>
      </c>
      <c r="G2596" s="526" t="s">
        <v>5156</v>
      </c>
      <c r="H2596" s="412">
        <v>6.0008400000000002</v>
      </c>
      <c r="I2596" s="411">
        <v>0.19361999999999999</v>
      </c>
      <c r="J2596" s="411">
        <v>1.224</v>
      </c>
      <c r="K2596" s="411">
        <v>54.534199999999998</v>
      </c>
      <c r="L2596" s="526" t="s">
        <v>710</v>
      </c>
    </row>
    <row r="2597" spans="1:12" ht="15" x14ac:dyDescent="0.25">
      <c r="A2597">
        <v>98070</v>
      </c>
      <c r="B2597" t="str">
        <f t="shared" si="112"/>
        <v>SEVROLL Gemini-2 úch.lišta 2,7m strieborná</v>
      </c>
      <c r="C2597" s="198">
        <f t="shared" si="113"/>
        <v>18.732980000000001</v>
      </c>
      <c r="D2597" s="526" t="s">
        <v>2799</v>
      </c>
      <c r="E2597" s="526" t="s">
        <v>5329</v>
      </c>
      <c r="F2597" s="526" t="s">
        <v>1270</v>
      </c>
      <c r="G2597" s="526" t="s">
        <v>5330</v>
      </c>
      <c r="H2597" s="412">
        <v>518.69795999999997</v>
      </c>
      <c r="I2597" s="411">
        <v>18.732980000000001</v>
      </c>
      <c r="J2597" s="411">
        <v>78.988799999999998</v>
      </c>
      <c r="K2597" s="411">
        <v>7131.1641099999997</v>
      </c>
      <c r="L2597" s="526" t="s">
        <v>553</v>
      </c>
    </row>
    <row r="2598" spans="1:12" ht="15" x14ac:dyDescent="0.25">
      <c r="A2598">
        <v>98071</v>
      </c>
      <c r="B2598" t="str">
        <f t="shared" si="112"/>
        <v>SEVROLL Gemini-2 úch.lišta 2,7m oliva</v>
      </c>
      <c r="C2598" s="198">
        <f t="shared" si="113"/>
        <v>23.416219999999999</v>
      </c>
      <c r="D2598" s="526" t="s">
        <v>2800</v>
      </c>
      <c r="E2598" s="526" t="s">
        <v>4565</v>
      </c>
      <c r="F2598" s="526" t="s">
        <v>1271</v>
      </c>
      <c r="G2598" s="526" t="s">
        <v>4566</v>
      </c>
      <c r="H2598" s="412">
        <v>648.72968000000003</v>
      </c>
      <c r="I2598" s="411">
        <v>23.416219999999999</v>
      </c>
      <c r="J2598" s="411">
        <v>86.852999999999994</v>
      </c>
      <c r="K2598" s="411">
        <v>8913.9552500000009</v>
      </c>
      <c r="L2598" s="526" t="s">
        <v>553</v>
      </c>
    </row>
    <row r="2599" spans="1:12" ht="15" x14ac:dyDescent="0.25">
      <c r="A2599">
        <v>98072</v>
      </c>
      <c r="B2599" t="str">
        <f t="shared" si="112"/>
        <v>SEVROLL Gemini Gemini-2 úchytová lišta 2,7m</v>
      </c>
      <c r="C2599" s="198">
        <f t="shared" si="113"/>
        <v>23.416219999999999</v>
      </c>
      <c r="D2599" s="526" t="s">
        <v>2801</v>
      </c>
      <c r="E2599" s="526" t="s">
        <v>4530</v>
      </c>
      <c r="F2599" s="526" t="s">
        <v>1187</v>
      </c>
      <c r="G2599" s="526" t="s">
        <v>4531</v>
      </c>
      <c r="H2599" s="412">
        <v>648.72968000000003</v>
      </c>
      <c r="I2599" s="411">
        <v>23.416219999999999</v>
      </c>
      <c r="J2599" s="411">
        <v>86.852999999999994</v>
      </c>
      <c r="K2599" s="411">
        <v>8913.9552500000009</v>
      </c>
      <c r="L2599" s="526" t="s">
        <v>554</v>
      </c>
    </row>
    <row r="2600" spans="1:12" ht="15" x14ac:dyDescent="0.25">
      <c r="A2600">
        <v>98073</v>
      </c>
      <c r="B2600" t="str">
        <f t="shared" si="112"/>
        <v>SEVROLL System 10 II úch.lišta 2,7m striebor</v>
      </c>
      <c r="C2600" s="198">
        <f t="shared" si="113"/>
        <v>18.732980000000001</v>
      </c>
      <c r="D2600" s="526" t="s">
        <v>2802</v>
      </c>
      <c r="E2600" s="526" t="s">
        <v>5627</v>
      </c>
      <c r="F2600" s="526" t="s">
        <v>1226</v>
      </c>
      <c r="G2600" s="526" t="s">
        <v>5628</v>
      </c>
      <c r="H2600" s="412">
        <v>518.69795999999997</v>
      </c>
      <c r="I2600" s="411">
        <v>18.732980000000001</v>
      </c>
      <c r="J2600" s="411">
        <v>76.000200000000007</v>
      </c>
      <c r="K2600" s="411">
        <v>7131.1641099999997</v>
      </c>
      <c r="L2600" s="526" t="s">
        <v>553</v>
      </c>
    </row>
    <row r="2601" spans="1:12" ht="15" x14ac:dyDescent="0.25">
      <c r="A2601">
        <v>98074</v>
      </c>
      <c r="B2601" t="str">
        <f t="shared" si="112"/>
        <v>SEVROLL System 10 II úch.lišta 2,7m oliva</v>
      </c>
      <c r="C2601" s="198">
        <f t="shared" si="113"/>
        <v>23.32591</v>
      </c>
      <c r="D2601" s="526" t="s">
        <v>2803</v>
      </c>
      <c r="E2601" s="526" t="s">
        <v>4567</v>
      </c>
      <c r="F2601" s="526" t="s">
        <v>1227</v>
      </c>
      <c r="G2601" s="526" t="s">
        <v>4568</v>
      </c>
      <c r="H2601" s="412">
        <v>645.87184000000002</v>
      </c>
      <c r="I2601" s="411">
        <v>23.32591</v>
      </c>
      <c r="J2601" s="411">
        <v>82.701599999999999</v>
      </c>
      <c r="K2601" s="411">
        <v>8879.5760900000005</v>
      </c>
      <c r="L2601" s="526" t="s">
        <v>553</v>
      </c>
    </row>
    <row r="2602" spans="1:12" ht="15" x14ac:dyDescent="0.25">
      <c r="A2602">
        <v>98075</v>
      </c>
      <c r="B2602" t="str">
        <f t="shared" si="112"/>
        <v>SEVROLL System 10 II úchytová lišta 2,7m zlatá</v>
      </c>
      <c r="C2602" s="198">
        <f t="shared" si="113"/>
        <v>23.32591</v>
      </c>
      <c r="D2602" s="526" t="s">
        <v>2804</v>
      </c>
      <c r="E2602" s="526" t="s">
        <v>4532</v>
      </c>
      <c r="F2602" s="526" t="s">
        <v>1121</v>
      </c>
      <c r="G2602" s="526" t="s">
        <v>4533</v>
      </c>
      <c r="H2602" s="412">
        <v>645.87184000000002</v>
      </c>
      <c r="I2602" s="411">
        <v>23.32591</v>
      </c>
      <c r="J2602" s="411">
        <v>82.701599999999999</v>
      </c>
      <c r="K2602" s="411">
        <v>8879.5760900000005</v>
      </c>
      <c r="L2602" s="526" t="s">
        <v>554</v>
      </c>
    </row>
    <row r="2603" spans="1:12" ht="15" x14ac:dyDescent="0.25">
      <c r="A2603">
        <v>96427</v>
      </c>
      <c r="B2603" t="str">
        <f t="shared" si="112"/>
        <v>SEVROLL 04377 Fox II úchytová lišta 2,7m oliva</v>
      </c>
      <c r="C2603" s="198">
        <f t="shared" si="113"/>
        <v>20.616599999999998</v>
      </c>
      <c r="D2603" s="526" t="s">
        <v>2805</v>
      </c>
      <c r="E2603" s="526" t="s">
        <v>4427</v>
      </c>
      <c r="F2603" s="526" t="s">
        <v>2805</v>
      </c>
      <c r="G2603" s="526" t="s">
        <v>4428</v>
      </c>
      <c r="H2603" s="412">
        <v>570.85353999999995</v>
      </c>
      <c r="I2603" s="411">
        <v>20.616599999999998</v>
      </c>
      <c r="J2603" s="411">
        <v>70.060599999999994</v>
      </c>
      <c r="K2603" s="411">
        <v>7848.20939</v>
      </c>
      <c r="L2603" s="526" t="s">
        <v>553</v>
      </c>
    </row>
    <row r="2604" spans="1:12" ht="15" x14ac:dyDescent="0.25">
      <c r="A2604">
        <v>96428</v>
      </c>
      <c r="B2604" t="str">
        <f t="shared" si="112"/>
        <v>SEVROLL Fox úchytová lišta 2,7m zlatá</v>
      </c>
      <c r="C2604" s="198">
        <f t="shared" si="113"/>
        <v>20.616599999999998</v>
      </c>
      <c r="D2604" s="526" t="s">
        <v>2806</v>
      </c>
      <c r="E2604" s="526" t="s">
        <v>4429</v>
      </c>
      <c r="F2604" s="526" t="s">
        <v>4430</v>
      </c>
      <c r="G2604" s="526" t="s">
        <v>4431</v>
      </c>
      <c r="H2604" s="412">
        <v>570.85353999999995</v>
      </c>
      <c r="I2604" s="411">
        <v>20.616599999999998</v>
      </c>
      <c r="J2604" s="411">
        <v>70.060599999999994</v>
      </c>
      <c r="K2604" s="411">
        <v>7848.20939</v>
      </c>
      <c r="L2604" s="526" t="s">
        <v>554</v>
      </c>
    </row>
    <row r="2605" spans="1:12" ht="15" x14ac:dyDescent="0.25">
      <c r="A2605">
        <v>96429</v>
      </c>
      <c r="B2605" t="str">
        <f t="shared" si="112"/>
        <v>SEVROLL 04376-Y Fox II úchytová lišta 2,7m oliva kartáčovaná</v>
      </c>
      <c r="C2605" s="198">
        <f t="shared" si="113"/>
        <v>24.956669999999999</v>
      </c>
      <c r="D2605" s="526" t="s">
        <v>2807</v>
      </c>
      <c r="E2605" s="526" t="s">
        <v>5274</v>
      </c>
      <c r="F2605" s="526" t="s">
        <v>2807</v>
      </c>
      <c r="G2605" s="526" t="s">
        <v>5275</v>
      </c>
      <c r="H2605" s="412">
        <v>690.88282000000004</v>
      </c>
      <c r="I2605" s="411">
        <v>24.956669999999999</v>
      </c>
      <c r="J2605" s="411">
        <v>90.198599999999999</v>
      </c>
      <c r="K2605" s="411">
        <v>9500.3608600000007</v>
      </c>
      <c r="L2605" s="526" t="s">
        <v>553</v>
      </c>
    </row>
    <row r="2606" spans="1:12" ht="15" x14ac:dyDescent="0.25">
      <c r="A2606">
        <v>98077</v>
      </c>
      <c r="B2606" t="str">
        <f t="shared" si="112"/>
        <v>SEVROLL Everest vodiaca lišta 3m strieborná</v>
      </c>
      <c r="C2606" s="198">
        <f t="shared" si="113"/>
        <v>25.390149999999998</v>
      </c>
      <c r="D2606" s="526" t="s">
        <v>2808</v>
      </c>
      <c r="E2606" s="526" t="s">
        <v>4758</v>
      </c>
      <c r="F2606" s="526" t="s">
        <v>1279</v>
      </c>
      <c r="G2606" s="526" t="s">
        <v>4759</v>
      </c>
      <c r="H2606" s="412">
        <v>703.02864</v>
      </c>
      <c r="I2606" s="411">
        <v>25.390149999999998</v>
      </c>
      <c r="J2606" s="411">
        <v>89.321399999999997</v>
      </c>
      <c r="K2606" s="411">
        <v>9665.3792900000008</v>
      </c>
      <c r="L2606" s="526" t="s">
        <v>553</v>
      </c>
    </row>
    <row r="2607" spans="1:12" ht="15" x14ac:dyDescent="0.25">
      <c r="A2607">
        <v>98078</v>
      </c>
      <c r="B2607" t="str">
        <f t="shared" si="112"/>
        <v>SEVROLL 10089 Everest vozík pre šikmé krídlo - 2ks</v>
      </c>
      <c r="C2607" s="198">
        <f t="shared" si="113"/>
        <v>20.027010000000001</v>
      </c>
      <c r="D2607" s="526" t="s">
        <v>2809</v>
      </c>
      <c r="E2607" s="526" t="s">
        <v>4659</v>
      </c>
      <c r="F2607" s="526" t="s">
        <v>4660</v>
      </c>
      <c r="G2607" s="526" t="s">
        <v>4661</v>
      </c>
      <c r="H2607" s="412">
        <v>588.32439999999997</v>
      </c>
      <c r="I2607" s="411">
        <v>20.027010000000001</v>
      </c>
      <c r="J2607" s="411">
        <v>67.640100000000004</v>
      </c>
      <c r="K2607" s="411">
        <v>7779.3515500000003</v>
      </c>
      <c r="L2607" s="526" t="s">
        <v>553</v>
      </c>
    </row>
    <row r="2608" spans="1:12" ht="15" x14ac:dyDescent="0.25">
      <c r="A2608">
        <v>96480</v>
      </c>
      <c r="B2608" t="str">
        <f t="shared" si="112"/>
        <v>SEVROLL Exclusive horné vedenie 3m strieborn</v>
      </c>
      <c r="C2608" s="198">
        <f t="shared" si="113"/>
        <v>32.27955</v>
      </c>
      <c r="D2608" s="526" t="s">
        <v>2810</v>
      </c>
      <c r="E2608" s="526" t="s">
        <v>4821</v>
      </c>
      <c r="F2608" s="526" t="s">
        <v>1196</v>
      </c>
      <c r="G2608" s="526" t="s">
        <v>4822</v>
      </c>
      <c r="H2608" s="412">
        <v>851.99355000000003</v>
      </c>
      <c r="I2608" s="411">
        <v>32.27955</v>
      </c>
      <c r="J2608" s="411">
        <v>111.06605999999999</v>
      </c>
      <c r="K2608" s="411">
        <v>11886.905769999999</v>
      </c>
      <c r="L2608" s="526" t="s">
        <v>554</v>
      </c>
    </row>
    <row r="2609" spans="1:12" ht="15" x14ac:dyDescent="0.25">
      <c r="A2609">
        <v>98079</v>
      </c>
      <c r="B2609" t="str">
        <f t="shared" si="112"/>
        <v>SEVROLL -COMFORT HORNÉ VEDENI 4,05M STR</v>
      </c>
      <c r="C2609" s="198">
        <f t="shared" si="113"/>
        <v>71.009860000000003</v>
      </c>
      <c r="D2609" s="526" t="s">
        <v>2811</v>
      </c>
      <c r="E2609" s="526" t="s">
        <v>5068</v>
      </c>
      <c r="F2609" s="526" t="s">
        <v>1211</v>
      </c>
      <c r="G2609" s="526" t="s">
        <v>5069</v>
      </c>
      <c r="H2609" s="412">
        <v>1966.1939199999999</v>
      </c>
      <c r="I2609" s="411">
        <v>71.009860000000003</v>
      </c>
      <c r="J2609" s="411">
        <v>257.95800000000003</v>
      </c>
      <c r="K2609" s="411">
        <v>27031.630229999999</v>
      </c>
      <c r="L2609" s="526" t="s">
        <v>553</v>
      </c>
    </row>
    <row r="2610" spans="1:12" ht="15" x14ac:dyDescent="0.25">
      <c r="A2610">
        <v>98080</v>
      </c>
      <c r="B2610" t="str">
        <f t="shared" si="112"/>
        <v>SEVROLL Comfort spodné vedenie 4,05m striebo</v>
      </c>
      <c r="C2610" s="198">
        <f t="shared" si="113"/>
        <v>36.072589999999998</v>
      </c>
      <c r="D2610" s="526" t="s">
        <v>1446</v>
      </c>
      <c r="E2610" s="526" t="s">
        <v>4860</v>
      </c>
      <c r="F2610" s="526" t="s">
        <v>1206</v>
      </c>
      <c r="G2610" s="526" t="s">
        <v>4861</v>
      </c>
      <c r="H2610" s="412">
        <v>998.81507999999997</v>
      </c>
      <c r="I2610" s="411">
        <v>36.072589999999998</v>
      </c>
      <c r="J2610" s="411">
        <v>136.2414</v>
      </c>
      <c r="K2610" s="411">
        <v>13731.91077</v>
      </c>
      <c r="L2610" s="526" t="s">
        <v>554</v>
      </c>
    </row>
    <row r="2611" spans="1:12" ht="15" x14ac:dyDescent="0.25">
      <c r="A2611">
        <v>98092</v>
      </c>
      <c r="B2611" t="str">
        <f t="shared" si="112"/>
        <v>SEVROLL 10203 Comfort horný vozík 18mm - 2ks</v>
      </c>
      <c r="C2611" s="198">
        <f t="shared" si="113"/>
        <v>7.1525999999999996</v>
      </c>
      <c r="D2611" s="526" t="s">
        <v>2812</v>
      </c>
      <c r="E2611" s="526" t="s">
        <v>3887</v>
      </c>
      <c r="F2611" s="526" t="s">
        <v>3888</v>
      </c>
      <c r="G2611" s="526" t="s">
        <v>3889</v>
      </c>
      <c r="H2611" s="412">
        <v>210.00755000000001</v>
      </c>
      <c r="I2611" s="411">
        <v>7.1525999999999996</v>
      </c>
      <c r="J2611" s="411">
        <v>25.245000000000001</v>
      </c>
      <c r="K2611" s="411">
        <v>2778.3757799999998</v>
      </c>
      <c r="L2611" s="526" t="s">
        <v>553</v>
      </c>
    </row>
    <row r="2612" spans="1:12" ht="15" x14ac:dyDescent="0.25">
      <c r="A2612">
        <v>98107</v>
      </c>
      <c r="B2612" t="str">
        <f t="shared" si="112"/>
        <v>SEVROLL Doubler ll spodné vedenie 4,05m strieborná</v>
      </c>
      <c r="C2612" s="198">
        <f t="shared" si="113"/>
        <v>34.214779999999998</v>
      </c>
      <c r="D2612" s="526" t="s">
        <v>2813</v>
      </c>
      <c r="E2612" s="526" t="s">
        <v>4866</v>
      </c>
      <c r="F2612" s="526" t="s">
        <v>4867</v>
      </c>
      <c r="G2612" s="526" t="s">
        <v>4868</v>
      </c>
      <c r="H2612" s="412">
        <v>947.37396000000001</v>
      </c>
      <c r="I2612" s="411">
        <v>34.214779999999998</v>
      </c>
      <c r="J2612" s="411">
        <v>127.0206</v>
      </c>
      <c r="K2612" s="411">
        <v>13024.688109999999</v>
      </c>
      <c r="L2612" s="526" t="s">
        <v>553</v>
      </c>
    </row>
    <row r="2613" spans="1:12" ht="15" x14ac:dyDescent="0.25">
      <c r="A2613">
        <v>98110</v>
      </c>
      <c r="B2613" t="str">
        <f t="shared" si="112"/>
        <v>SEVROLL HOR. VEDENIE COMFORT 1,70 M STR.</v>
      </c>
      <c r="C2613" s="198">
        <f t="shared" si="113"/>
        <v>29.82827</v>
      </c>
      <c r="D2613" s="526" t="s">
        <v>2814</v>
      </c>
      <c r="E2613" s="526" t="s">
        <v>4795</v>
      </c>
      <c r="F2613" s="526" t="s">
        <v>4796</v>
      </c>
      <c r="G2613" s="526" t="s">
        <v>4797</v>
      </c>
      <c r="H2613" s="412">
        <v>825.91575999999998</v>
      </c>
      <c r="I2613" s="411">
        <v>29.82827</v>
      </c>
      <c r="J2613" s="411">
        <v>108.3036</v>
      </c>
      <c r="K2613" s="411">
        <v>11354.856309999999</v>
      </c>
      <c r="L2613" s="526" t="s">
        <v>554</v>
      </c>
    </row>
    <row r="2614" spans="1:12" ht="15" x14ac:dyDescent="0.25">
      <c r="A2614">
        <v>98111</v>
      </c>
      <c r="B2614" t="str">
        <f t="shared" si="112"/>
        <v>SEVROLL Comfort horné vedenie 1,7m oliva</v>
      </c>
      <c r="C2614" s="198">
        <f t="shared" si="113"/>
        <v>37.241459999999996</v>
      </c>
      <c r="D2614" s="526" t="s">
        <v>2815</v>
      </c>
      <c r="E2614" s="526" t="s">
        <v>4826</v>
      </c>
      <c r="F2614" s="526" t="s">
        <v>1212</v>
      </c>
      <c r="G2614" s="526" t="s">
        <v>4827</v>
      </c>
      <c r="H2614" s="412">
        <v>1030.96578</v>
      </c>
      <c r="I2614" s="411">
        <v>37.241459999999996</v>
      </c>
      <c r="J2614" s="411">
        <v>126.14400000000001</v>
      </c>
      <c r="K2614" s="411">
        <v>14176.871859999999</v>
      </c>
      <c r="L2614" s="526" t="s">
        <v>554</v>
      </c>
    </row>
    <row r="2615" spans="1:12" ht="15" x14ac:dyDescent="0.25">
      <c r="A2615">
        <v>98113</v>
      </c>
      <c r="B2615" t="str">
        <f t="shared" si="112"/>
        <v>SEVROLL HOR.VEDENIE COMFORT 2,35 M OLIVA</v>
      </c>
      <c r="C2615" s="198">
        <f t="shared" si="113"/>
        <v>51.48086</v>
      </c>
      <c r="D2615" s="526" t="s">
        <v>2816</v>
      </c>
      <c r="E2615" s="526" t="s">
        <v>4963</v>
      </c>
      <c r="F2615" s="526" t="s">
        <v>4964</v>
      </c>
      <c r="G2615" s="526" t="s">
        <v>4965</v>
      </c>
      <c r="H2615" s="412">
        <v>1425.3477</v>
      </c>
      <c r="I2615" s="411">
        <v>51.48086</v>
      </c>
      <c r="J2615" s="411">
        <v>174.3228</v>
      </c>
      <c r="K2615" s="411">
        <v>19597.440709999999</v>
      </c>
      <c r="L2615" s="526" t="s">
        <v>554</v>
      </c>
    </row>
    <row r="2616" spans="1:12" ht="15" x14ac:dyDescent="0.25">
      <c r="A2616">
        <v>98115</v>
      </c>
      <c r="B2616" t="str">
        <f t="shared" si="112"/>
        <v>SEVROLL HOR.VEDENIE COMFORT 3 M OLIVA</v>
      </c>
      <c r="C2616" s="198">
        <f t="shared" si="113"/>
        <v>65.720240000000004</v>
      </c>
      <c r="D2616" s="526" t="s">
        <v>2817</v>
      </c>
      <c r="E2616" s="526" t="s">
        <v>5032</v>
      </c>
      <c r="F2616" s="526" t="s">
        <v>5033</v>
      </c>
      <c r="G2616" s="526" t="s">
        <v>5034</v>
      </c>
      <c r="H2616" s="412">
        <v>1819.7296200000001</v>
      </c>
      <c r="I2616" s="411">
        <v>65.720240000000004</v>
      </c>
      <c r="J2616" s="411">
        <v>222.58799999999999</v>
      </c>
      <c r="K2616" s="411">
        <v>25018.009529999999</v>
      </c>
      <c r="L2616" s="526" t="s">
        <v>554</v>
      </c>
    </row>
    <row r="2617" spans="1:12" ht="15" x14ac:dyDescent="0.25">
      <c r="A2617">
        <v>98117</v>
      </c>
      <c r="B2617" t="str">
        <f t="shared" ref="B2617:B2680" si="114">IF($A$2=1,D2617,IF($A$2=2,F2617,IF($A$2=3,G2617,IF($A$2=4,E2617,"zadat jazyk"))))</f>
        <v>SEVROLL HOR.VEDENIE COMFORT 4,05 M OLIVA</v>
      </c>
      <c r="C2617" s="198">
        <f t="shared" ref="C2617:C2680" si="115">IF($A$2=1,H2617,IF($A$2=2,I2617,IF($A$2=3,J2617,IF($A$2=4,K2617,"zadat jazyk"))))</f>
        <v>88.722319999999996</v>
      </c>
      <c r="D2617" s="526" t="s">
        <v>2818</v>
      </c>
      <c r="E2617" s="526" t="s">
        <v>5085</v>
      </c>
      <c r="F2617" s="526" t="s">
        <v>5086</v>
      </c>
      <c r="G2617" s="526" t="s">
        <v>5087</v>
      </c>
      <c r="H2617" s="412">
        <v>2456.3134799999998</v>
      </c>
      <c r="I2617" s="411">
        <v>88.722319999999996</v>
      </c>
      <c r="J2617" s="411">
        <v>300.4452</v>
      </c>
      <c r="K2617" s="411">
        <v>33774.31293</v>
      </c>
      <c r="L2617" s="526" t="s">
        <v>554</v>
      </c>
    </row>
    <row r="2618" spans="1:12" ht="15" x14ac:dyDescent="0.25">
      <c r="A2618">
        <v>100968</v>
      </c>
      <c r="B2618" t="str">
        <f t="shared" si="114"/>
        <v>SEVROLL Maxim sada kovánia pre 3 dvere 2,5m strieborná</v>
      </c>
      <c r="C2618" s="198" t="e">
        <f t="shared" si="115"/>
        <v>#N/A</v>
      </c>
      <c r="D2618" s="526" t="s">
        <v>2819</v>
      </c>
      <c r="E2618" s="526" t="s">
        <v>4984</v>
      </c>
      <c r="F2618" s="526" t="s">
        <v>4985</v>
      </c>
      <c r="G2618" s="526" t="s">
        <v>4986</v>
      </c>
      <c r="H2618" s="412" t="e">
        <v>#N/A</v>
      </c>
      <c r="I2618" s="411" t="e">
        <v>#N/A</v>
      </c>
      <c r="J2618" s="411" t="e">
        <v>#N/A</v>
      </c>
      <c r="K2618" s="411" t="e">
        <v>#N/A</v>
      </c>
      <c r="L2618" s="526" t="e">
        <v>#N/A</v>
      </c>
    </row>
    <row r="2619" spans="1:12" ht="15" x14ac:dyDescent="0.25">
      <c r="A2619">
        <v>100102</v>
      </c>
      <c r="B2619" t="str">
        <f t="shared" si="114"/>
        <v>SEVROLL 02376 Master úchytová lišta 2,7m strieborná</v>
      </c>
      <c r="C2619" s="198">
        <f t="shared" si="115"/>
        <v>24.99794</v>
      </c>
      <c r="D2619" s="526" t="s">
        <v>2820</v>
      </c>
      <c r="E2619" s="526" t="s">
        <v>4740</v>
      </c>
      <c r="F2619" s="526" t="s">
        <v>4741</v>
      </c>
      <c r="G2619" s="526" t="s">
        <v>4742</v>
      </c>
      <c r="H2619" s="412">
        <v>692.16885000000002</v>
      </c>
      <c r="I2619" s="411">
        <v>24.99794</v>
      </c>
      <c r="J2619" s="411">
        <v>90.78</v>
      </c>
      <c r="K2619" s="411">
        <v>9516.0766500000009</v>
      </c>
      <c r="L2619" s="526" t="s">
        <v>554</v>
      </c>
    </row>
    <row r="2620" spans="1:12" ht="15" x14ac:dyDescent="0.25">
      <c r="A2620">
        <v>100103</v>
      </c>
      <c r="B2620" t="str">
        <f t="shared" si="114"/>
        <v>SEVROLL 02377 Master úchytová lišta 2,7m oliva</v>
      </c>
      <c r="C2620" s="198">
        <f t="shared" si="115"/>
        <v>31.247430000000001</v>
      </c>
      <c r="D2620" s="526" t="s">
        <v>2821</v>
      </c>
      <c r="E2620" s="526" t="s">
        <v>4790</v>
      </c>
      <c r="F2620" s="526" t="s">
        <v>2821</v>
      </c>
      <c r="G2620" s="526" t="s">
        <v>4791</v>
      </c>
      <c r="H2620" s="412">
        <v>865.21105999999997</v>
      </c>
      <c r="I2620" s="411">
        <v>31.247430000000001</v>
      </c>
      <c r="J2620" s="411">
        <v>106.057</v>
      </c>
      <c r="K2620" s="411">
        <v>11895.096009999999</v>
      </c>
      <c r="L2620" s="526" t="s">
        <v>554</v>
      </c>
    </row>
    <row r="2621" spans="1:12" ht="15" x14ac:dyDescent="0.25">
      <c r="A2621">
        <v>100105</v>
      </c>
      <c r="B2621" t="str">
        <f t="shared" si="114"/>
        <v>SEVROLL Master úch.lišta 3m strieborná</v>
      </c>
      <c r="C2621" s="198">
        <f t="shared" si="115"/>
        <v>27.784659999999999</v>
      </c>
      <c r="D2621" s="526" t="s">
        <v>2822</v>
      </c>
      <c r="E2621" s="526" t="s">
        <v>4833</v>
      </c>
      <c r="F2621" s="526" t="s">
        <v>1256</v>
      </c>
      <c r="G2621" s="526" t="s">
        <v>4834</v>
      </c>
      <c r="H2621" s="412">
        <v>769.47342000000003</v>
      </c>
      <c r="I2621" s="411">
        <v>27.784659999999999</v>
      </c>
      <c r="J2621" s="411">
        <v>100.85760000000001</v>
      </c>
      <c r="K2621" s="411">
        <v>10576.91122</v>
      </c>
      <c r="L2621" s="526" t="s">
        <v>553</v>
      </c>
    </row>
    <row r="2622" spans="1:12" ht="15" x14ac:dyDescent="0.25">
      <c r="A2622">
        <v>100106</v>
      </c>
      <c r="B2622" t="str">
        <f t="shared" si="114"/>
        <v>SEVROLL 02380 Master úchytová lišta 3m oliva</v>
      </c>
      <c r="C2622" s="198">
        <f t="shared" si="115"/>
        <v>34.730840000000001</v>
      </c>
      <c r="D2622" s="526" t="s">
        <v>2823</v>
      </c>
      <c r="E2622" s="526" t="s">
        <v>4862</v>
      </c>
      <c r="F2622" s="526" t="s">
        <v>2823</v>
      </c>
      <c r="G2622" s="526" t="s">
        <v>4863</v>
      </c>
      <c r="H2622" s="412">
        <v>961.66315999999995</v>
      </c>
      <c r="I2622" s="411">
        <v>34.730840000000001</v>
      </c>
      <c r="J2622" s="411">
        <v>117.82899999999999</v>
      </c>
      <c r="K2622" s="411">
        <v>13221.13891</v>
      </c>
      <c r="L2622" s="526" t="s">
        <v>554</v>
      </c>
    </row>
    <row r="2623" spans="1:12" ht="15" x14ac:dyDescent="0.25">
      <c r="A2623">
        <v>102820</v>
      </c>
      <c r="B2623" t="str">
        <f t="shared" si="114"/>
        <v>SEVROLL 02021 Maxim vodiaca lišta 1,8m strieborná</v>
      </c>
      <c r="C2623" s="198">
        <f t="shared" si="115"/>
        <v>14.218</v>
      </c>
      <c r="D2623" s="526" t="s">
        <v>2824</v>
      </c>
      <c r="E2623" s="526" t="s">
        <v>4369</v>
      </c>
      <c r="F2623" s="526" t="s">
        <v>4370</v>
      </c>
      <c r="G2623" s="526" t="s">
        <v>4371</v>
      </c>
      <c r="H2623" s="412" t="e">
        <v>#N/A</v>
      </c>
      <c r="I2623" s="411">
        <v>14.218</v>
      </c>
      <c r="J2623" s="411">
        <v>51.122399999999999</v>
      </c>
      <c r="K2623" s="411">
        <v>5468.4623099999999</v>
      </c>
      <c r="L2623" s="526" t="e">
        <v>#N/A</v>
      </c>
    </row>
    <row r="2624" spans="1:12" ht="15" x14ac:dyDescent="0.25">
      <c r="A2624">
        <v>102822</v>
      </c>
      <c r="B2624" t="str">
        <f t="shared" si="114"/>
        <v>SEVROLL Maxim vod. Lišta 2,5m strieborná</v>
      </c>
      <c r="C2624" s="198" t="e">
        <f t="shared" si="115"/>
        <v>#N/A</v>
      </c>
      <c r="D2624" s="526" t="s">
        <v>2825</v>
      </c>
      <c r="E2624" s="526" t="s">
        <v>4606</v>
      </c>
      <c r="F2624" s="526" t="s">
        <v>1252</v>
      </c>
      <c r="G2624" s="526" t="s">
        <v>4607</v>
      </c>
      <c r="H2624" s="412" t="e">
        <v>#N/A</v>
      </c>
      <c r="I2624" s="411" t="e">
        <v>#N/A</v>
      </c>
      <c r="J2624" s="411" t="e">
        <v>#N/A</v>
      </c>
      <c r="K2624" s="411" t="e">
        <v>#N/A</v>
      </c>
      <c r="L2624" s="526" t="e">
        <v>#N/A</v>
      </c>
    </row>
    <row r="2625" spans="1:12" ht="15" x14ac:dyDescent="0.25">
      <c r="A2625">
        <v>102824</v>
      </c>
      <c r="B2625" t="str">
        <f t="shared" si="114"/>
        <v>SEVROLL MAXIM VOD.LIŠTA 3,5 M STRIEBORNA</v>
      </c>
      <c r="C2625" s="198" t="e">
        <f t="shared" si="115"/>
        <v>#N/A</v>
      </c>
      <c r="D2625" s="526" t="s">
        <v>2826</v>
      </c>
      <c r="E2625" s="526" t="s">
        <v>4830</v>
      </c>
      <c r="F2625" s="526" t="s">
        <v>4831</v>
      </c>
      <c r="G2625" s="526" t="s">
        <v>4832</v>
      </c>
      <c r="H2625" s="412" t="e">
        <v>#N/A</v>
      </c>
      <c r="I2625" s="411" t="e">
        <v>#N/A</v>
      </c>
      <c r="J2625" s="411" t="e">
        <v>#N/A</v>
      </c>
      <c r="K2625" s="411" t="e">
        <v>#N/A</v>
      </c>
      <c r="L2625" s="526" t="e">
        <v>#N/A</v>
      </c>
    </row>
    <row r="2626" spans="1:12" ht="15" x14ac:dyDescent="0.25">
      <c r="A2626">
        <v>102825</v>
      </c>
      <c r="B2626" t="str">
        <f t="shared" si="114"/>
        <v>SEVROLL MAXIM VOD.LIŠTA 4,3 M STRIEBORNA</v>
      </c>
      <c r="C2626" s="198" t="e">
        <f t="shared" si="115"/>
        <v>#N/A</v>
      </c>
      <c r="D2626" s="526" t="s">
        <v>2827</v>
      </c>
      <c r="E2626" s="526" t="s">
        <v>4931</v>
      </c>
      <c r="F2626" s="526" t="s">
        <v>4932</v>
      </c>
      <c r="G2626" s="526" t="s">
        <v>4933</v>
      </c>
      <c r="H2626" s="412" t="e">
        <v>#N/A</v>
      </c>
      <c r="I2626" s="411" t="e">
        <v>#N/A</v>
      </c>
      <c r="J2626" s="411" t="e">
        <v>#N/A</v>
      </c>
      <c r="K2626" s="411" t="e">
        <v>#N/A</v>
      </c>
      <c r="L2626" s="526" t="e">
        <v>#N/A</v>
      </c>
    </row>
    <row r="2627" spans="1:12" ht="15" x14ac:dyDescent="0.25">
      <c r="A2627">
        <v>102827</v>
      </c>
      <c r="B2627" t="str">
        <f t="shared" si="114"/>
        <v>SEVROLL 02804 Maxim spodná krycia lišta 1,8m 18mm strieborná</v>
      </c>
      <c r="C2627" s="198">
        <f t="shared" si="115"/>
        <v>20.63252</v>
      </c>
      <c r="D2627" s="526" t="s">
        <v>2828</v>
      </c>
      <c r="E2627" s="526" t="s">
        <v>4598</v>
      </c>
      <c r="F2627" s="526" t="s">
        <v>4599</v>
      </c>
      <c r="G2627" s="526" t="s">
        <v>4600</v>
      </c>
      <c r="H2627" s="412" t="e">
        <v>#N/A</v>
      </c>
      <c r="I2627" s="411">
        <v>20.63252</v>
      </c>
      <c r="J2627" s="411">
        <v>74.174400000000006</v>
      </c>
      <c r="K2627" s="411">
        <v>7935.5838599999997</v>
      </c>
      <c r="L2627" s="526" t="e">
        <v>#N/A</v>
      </c>
    </row>
    <row r="2628" spans="1:12" ht="15" x14ac:dyDescent="0.25">
      <c r="A2628">
        <v>102828</v>
      </c>
      <c r="B2628" t="str">
        <f t="shared" si="114"/>
        <v>SEVROLL Maxim spod.krycia lišta 2,5m 18mm strieborná</v>
      </c>
      <c r="C2628" s="198" t="e">
        <f t="shared" si="115"/>
        <v>#N/A</v>
      </c>
      <c r="D2628" s="526" t="s">
        <v>2829</v>
      </c>
      <c r="E2628" s="526" t="s">
        <v>4847</v>
      </c>
      <c r="F2628" s="526" t="s">
        <v>4848</v>
      </c>
      <c r="G2628" s="526" t="s">
        <v>4849</v>
      </c>
      <c r="H2628" s="412" t="e">
        <v>#N/A</v>
      </c>
      <c r="I2628" s="411" t="e">
        <v>#N/A</v>
      </c>
      <c r="J2628" s="411" t="e">
        <v>#N/A</v>
      </c>
      <c r="K2628" s="411" t="e">
        <v>#N/A</v>
      </c>
      <c r="L2628" s="526" t="e">
        <v>#N/A</v>
      </c>
    </row>
    <row r="2629" spans="1:12" ht="15" x14ac:dyDescent="0.25">
      <c r="A2629">
        <v>102830</v>
      </c>
      <c r="B2629" t="str">
        <f t="shared" si="114"/>
        <v>SEVROLL Maxim spod.krycia lišta 3,5m 18mm strieborná</v>
      </c>
      <c r="C2629" s="198">
        <f t="shared" si="115"/>
        <v>42.224690000000002</v>
      </c>
      <c r="D2629" s="526" t="s">
        <v>2830</v>
      </c>
      <c r="E2629" s="526" t="s">
        <v>4969</v>
      </c>
      <c r="F2629" s="526" t="s">
        <v>4970</v>
      </c>
      <c r="G2629" s="526" t="s">
        <v>4971</v>
      </c>
      <c r="H2629" s="412">
        <v>1115.94129</v>
      </c>
      <c r="I2629" s="411">
        <v>42.224690000000002</v>
      </c>
      <c r="J2629" s="411">
        <v>145.7038</v>
      </c>
      <c r="K2629" s="411">
        <v>16240.26463</v>
      </c>
      <c r="L2629" s="526" t="s">
        <v>555</v>
      </c>
    </row>
    <row r="2630" spans="1:12" ht="15" x14ac:dyDescent="0.25">
      <c r="A2630">
        <v>102831</v>
      </c>
      <c r="B2630" t="str">
        <f t="shared" si="114"/>
        <v>SEVROLL Maxim spod.krycia lišta 4,3m 18mm strieborná</v>
      </c>
      <c r="C2630" s="198">
        <f t="shared" si="115"/>
        <v>51.871720000000003</v>
      </c>
      <c r="D2630" s="526" t="s">
        <v>2831</v>
      </c>
      <c r="E2630" s="526" t="s">
        <v>5038</v>
      </c>
      <c r="F2630" s="526" t="s">
        <v>5039</v>
      </c>
      <c r="G2630" s="526" t="s">
        <v>5040</v>
      </c>
      <c r="H2630" s="412">
        <v>1370.8991699999999</v>
      </c>
      <c r="I2630" s="411">
        <v>51.871720000000003</v>
      </c>
      <c r="J2630" s="411">
        <v>179.00370000000001</v>
      </c>
      <c r="K2630" s="411">
        <v>19950.66</v>
      </c>
      <c r="L2630" s="526" t="s">
        <v>555</v>
      </c>
    </row>
    <row r="2631" spans="1:12" ht="15" x14ac:dyDescent="0.25">
      <c r="A2631">
        <v>102832</v>
      </c>
      <c r="B2631" t="str">
        <f t="shared" si="114"/>
        <v>SEVROLL SPOJ.LIŠTA H25 2,5M str.</v>
      </c>
      <c r="C2631" s="198">
        <f t="shared" si="115"/>
        <v>19.950659999999999</v>
      </c>
      <c r="D2631" s="526" t="s">
        <v>2832</v>
      </c>
      <c r="E2631" s="526" t="s">
        <v>4551</v>
      </c>
      <c r="F2631" s="526" t="s">
        <v>4552</v>
      </c>
      <c r="G2631" s="526" t="s">
        <v>4553</v>
      </c>
      <c r="H2631" s="412">
        <v>527.26891000000001</v>
      </c>
      <c r="I2631" s="411">
        <v>19.950659999999999</v>
      </c>
      <c r="J2631" s="411">
        <v>76.725970000000004</v>
      </c>
      <c r="K2631" s="411">
        <v>7673.3307699999996</v>
      </c>
      <c r="L2631" s="526" t="s">
        <v>555</v>
      </c>
    </row>
    <row r="2632" spans="1:12" ht="15" x14ac:dyDescent="0.25">
      <c r="A2632">
        <v>102833</v>
      </c>
      <c r="B2632" t="str">
        <f t="shared" si="114"/>
        <v>SEVROLL 01881 Maxim spojovacia lišta H18 1,8m strieborná</v>
      </c>
      <c r="C2632" s="198" t="e">
        <f t="shared" si="115"/>
        <v>#N/A</v>
      </c>
      <c r="D2632" s="526" t="s">
        <v>2833</v>
      </c>
      <c r="E2632" s="526" t="s">
        <v>3901</v>
      </c>
      <c r="F2632" s="526" t="s">
        <v>3902</v>
      </c>
      <c r="G2632" s="526" t="s">
        <v>3903</v>
      </c>
      <c r="H2632" s="412" t="e">
        <v>#N/A</v>
      </c>
      <c r="I2632" s="411" t="e">
        <v>#N/A</v>
      </c>
      <c r="J2632" s="411" t="e">
        <v>#N/A</v>
      </c>
      <c r="K2632" s="411" t="e">
        <v>#N/A</v>
      </c>
      <c r="L2632" s="526" t="e">
        <v>#N/A</v>
      </c>
    </row>
    <row r="2633" spans="1:12" ht="15" x14ac:dyDescent="0.25">
      <c r="A2633">
        <v>102834</v>
      </c>
      <c r="B2633" t="str">
        <f t="shared" si="114"/>
        <v>SEVROLL SPOJ.LIŠTA H18 2,5M str.</v>
      </c>
      <c r="C2633" s="198">
        <f t="shared" si="115"/>
        <v>10.30363</v>
      </c>
      <c r="D2633" s="526" t="s">
        <v>2834</v>
      </c>
      <c r="E2633" s="526" t="s">
        <v>4141</v>
      </c>
      <c r="F2633" s="526" t="s">
        <v>4142</v>
      </c>
      <c r="G2633" s="526" t="s">
        <v>4143</v>
      </c>
      <c r="H2633" s="412">
        <v>272.31103000000002</v>
      </c>
      <c r="I2633" s="411">
        <v>10.30363</v>
      </c>
      <c r="J2633" s="411">
        <v>35.524700000000003</v>
      </c>
      <c r="K2633" s="411">
        <v>3962.9353999999998</v>
      </c>
      <c r="L2633" s="526" t="s">
        <v>555</v>
      </c>
    </row>
    <row r="2634" spans="1:12" ht="15" x14ac:dyDescent="0.25">
      <c r="A2634">
        <v>102835</v>
      </c>
      <c r="B2634" t="str">
        <f t="shared" si="114"/>
        <v>SEVROLL 02023 Maxim horné vedenie 1,8m strieborná</v>
      </c>
      <c r="C2634" s="198">
        <f t="shared" si="115"/>
        <v>19.496089999999999</v>
      </c>
      <c r="D2634" s="526" t="s">
        <v>2835</v>
      </c>
      <c r="E2634" s="526" t="s">
        <v>4577</v>
      </c>
      <c r="F2634" s="526" t="s">
        <v>4578</v>
      </c>
      <c r="G2634" s="526" t="s">
        <v>4579</v>
      </c>
      <c r="H2634" s="412" t="e">
        <v>#N/A</v>
      </c>
      <c r="I2634" s="411">
        <v>19.496089999999999</v>
      </c>
      <c r="J2634" s="411">
        <v>70.135199999999998</v>
      </c>
      <c r="K2634" s="411">
        <v>7498.4953999999998</v>
      </c>
      <c r="L2634" s="526" t="e">
        <v>#N/A</v>
      </c>
    </row>
    <row r="2635" spans="1:12" ht="15" x14ac:dyDescent="0.25">
      <c r="A2635">
        <v>102836</v>
      </c>
      <c r="B2635" t="str">
        <f t="shared" si="114"/>
        <v>SEVROLL Maxim horné vedenie 2,5m str.</v>
      </c>
      <c r="C2635" s="198">
        <f t="shared" si="115"/>
        <v>28.511769999999999</v>
      </c>
      <c r="D2635" s="526" t="s">
        <v>2836</v>
      </c>
      <c r="E2635" s="526" t="s">
        <v>4804</v>
      </c>
      <c r="F2635" s="526" t="s">
        <v>1255</v>
      </c>
      <c r="G2635" s="526" t="s">
        <v>4805</v>
      </c>
      <c r="H2635" s="412">
        <v>753.52733999999998</v>
      </c>
      <c r="I2635" s="411">
        <v>28.511769999999999</v>
      </c>
      <c r="J2635" s="411">
        <v>98.313500000000005</v>
      </c>
      <c r="K2635" s="411">
        <v>10966.06386</v>
      </c>
      <c r="L2635" s="526" t="s">
        <v>555</v>
      </c>
    </row>
    <row r="2636" spans="1:12" ht="15" x14ac:dyDescent="0.25">
      <c r="A2636">
        <v>102838</v>
      </c>
      <c r="B2636" t="str">
        <f t="shared" si="114"/>
        <v>SEVROLL HORNÉ VEDENIE MAXIM 3,5M STR.</v>
      </c>
      <c r="C2636" s="198">
        <f t="shared" si="115"/>
        <v>39.825560000000003</v>
      </c>
      <c r="D2636" s="526" t="s">
        <v>2837</v>
      </c>
      <c r="E2636" s="526" t="s">
        <v>4960</v>
      </c>
      <c r="F2636" s="526" t="s">
        <v>4961</v>
      </c>
      <c r="G2636" s="526" t="s">
        <v>4962</v>
      </c>
      <c r="H2636" s="412">
        <v>1052.5355300000001</v>
      </c>
      <c r="I2636" s="411">
        <v>39.825560000000003</v>
      </c>
      <c r="J2636" s="411">
        <v>137.36080000000001</v>
      </c>
      <c r="K2636" s="411">
        <v>15317.52231</v>
      </c>
      <c r="L2636" s="526" t="s">
        <v>555</v>
      </c>
    </row>
    <row r="2637" spans="1:12" ht="15" x14ac:dyDescent="0.25">
      <c r="A2637">
        <v>102839</v>
      </c>
      <c r="B2637" t="str">
        <f t="shared" si="114"/>
        <v>SEVROLL HORNÉ VEDENIE MAXIM 4,3M STR.</v>
      </c>
      <c r="C2637" s="198">
        <f t="shared" si="115"/>
        <v>48.967509999999997</v>
      </c>
      <c r="D2637" s="526" t="s">
        <v>2838</v>
      </c>
      <c r="E2637" s="526" t="s">
        <v>5016</v>
      </c>
      <c r="F2637" s="526" t="s">
        <v>5017</v>
      </c>
      <c r="G2637" s="526" t="s">
        <v>5018</v>
      </c>
      <c r="H2637" s="412">
        <v>1294.14483</v>
      </c>
      <c r="I2637" s="411">
        <v>48.967509999999997</v>
      </c>
      <c r="J2637" s="411">
        <v>168.92</v>
      </c>
      <c r="K2637" s="411">
        <v>18833.656149999999</v>
      </c>
      <c r="L2637" s="526" t="s">
        <v>555</v>
      </c>
    </row>
    <row r="2638" spans="1:12" ht="15" x14ac:dyDescent="0.25">
      <c r="A2638">
        <v>119414</v>
      </c>
      <c r="B2638" t="str">
        <f t="shared" si="114"/>
        <v>SEVROLL horná vodiaca lišta 1,7m oliva kart</v>
      </c>
      <c r="C2638" s="198">
        <f t="shared" si="115"/>
        <v>13.004709999999999</v>
      </c>
      <c r="D2638" s="526" t="s">
        <v>2839</v>
      </c>
      <c r="E2638" s="526" t="s">
        <v>5340</v>
      </c>
      <c r="F2638" s="526" t="s">
        <v>1267</v>
      </c>
      <c r="G2638" s="526" t="s">
        <v>5341</v>
      </c>
      <c r="H2638" s="412">
        <v>360.08784000000003</v>
      </c>
      <c r="I2638" s="411">
        <v>13.004709999999999</v>
      </c>
      <c r="J2638" s="411">
        <v>63.382800000000003</v>
      </c>
      <c r="K2638" s="411">
        <v>4950.5600899999999</v>
      </c>
      <c r="L2638" s="526" t="s">
        <v>553</v>
      </c>
    </row>
    <row r="2639" spans="1:12" ht="15" x14ac:dyDescent="0.25">
      <c r="A2639">
        <v>119415</v>
      </c>
      <c r="B2639" t="str">
        <f t="shared" si="114"/>
        <v>SEVROLL horná vodiaca lišta 2,35m oliva kart</v>
      </c>
      <c r="C2639" s="198">
        <f t="shared" si="115"/>
        <v>18.036300000000001</v>
      </c>
      <c r="D2639" s="526" t="s">
        <v>2840</v>
      </c>
      <c r="E2639" s="526" t="s">
        <v>5356</v>
      </c>
      <c r="F2639" s="526" t="s">
        <v>1265</v>
      </c>
      <c r="G2639" s="526" t="s">
        <v>5357</v>
      </c>
      <c r="H2639" s="412">
        <v>499.40753999999998</v>
      </c>
      <c r="I2639" s="411">
        <v>18.036300000000001</v>
      </c>
      <c r="J2639" s="411">
        <v>87.638400000000004</v>
      </c>
      <c r="K2639" s="411">
        <v>6865.9553900000001</v>
      </c>
      <c r="L2639" s="526" t="s">
        <v>553</v>
      </c>
    </row>
    <row r="2640" spans="1:12" ht="15" x14ac:dyDescent="0.25">
      <c r="A2640">
        <v>119416</v>
      </c>
      <c r="B2640" t="str">
        <f t="shared" si="114"/>
        <v>SEVROLL horná vodiaca lišta 3m oliva kartáč.</v>
      </c>
      <c r="C2640" s="198">
        <f t="shared" si="115"/>
        <v>22.990469999999998</v>
      </c>
      <c r="D2640" s="526" t="s">
        <v>2841</v>
      </c>
      <c r="E2640" s="526" t="s">
        <v>5375</v>
      </c>
      <c r="F2640" s="526" t="s">
        <v>1263</v>
      </c>
      <c r="G2640" s="526" t="s">
        <v>5376</v>
      </c>
      <c r="H2640" s="412">
        <v>636.58385999999996</v>
      </c>
      <c r="I2640" s="411">
        <v>22.990469999999998</v>
      </c>
      <c r="J2640" s="411">
        <v>111.41459999999999</v>
      </c>
      <c r="K2640" s="411">
        <v>8751.88321</v>
      </c>
      <c r="L2640" s="526" t="s">
        <v>553</v>
      </c>
    </row>
    <row r="2641" spans="1:12" ht="15" x14ac:dyDescent="0.25">
      <c r="A2641">
        <v>119417</v>
      </c>
      <c r="B2641" t="str">
        <f t="shared" si="114"/>
        <v>SEVROLL spod. krycia lišta 1,7m 10mm oliva kartáč</v>
      </c>
      <c r="C2641" s="198">
        <f t="shared" si="115"/>
        <v>22.08737</v>
      </c>
      <c r="D2641" s="526" t="s">
        <v>2842</v>
      </c>
      <c r="E2641" s="526" t="s">
        <v>5526</v>
      </c>
      <c r="F2641" s="526" t="s">
        <v>5527</v>
      </c>
      <c r="G2641" s="526" t="s">
        <v>5528</v>
      </c>
      <c r="H2641" s="412">
        <v>611.57776000000001</v>
      </c>
      <c r="I2641" s="411">
        <v>22.08737</v>
      </c>
      <c r="J2641" s="411">
        <v>75.418800000000005</v>
      </c>
      <c r="K2641" s="411">
        <v>8408.0943100000004</v>
      </c>
      <c r="L2641" s="526" t="s">
        <v>553</v>
      </c>
    </row>
    <row r="2642" spans="1:12" ht="15" x14ac:dyDescent="0.25">
      <c r="A2642">
        <v>119421</v>
      </c>
      <c r="B2642" t="str">
        <f t="shared" si="114"/>
        <v>SEVROLL spod.krycia lišta 2,35m 10mm oliva kartáč</v>
      </c>
      <c r="C2642" s="198">
        <f t="shared" si="115"/>
        <v>30.576560000000001</v>
      </c>
      <c r="D2642" s="526" t="s">
        <v>2843</v>
      </c>
      <c r="E2642" s="526" t="s">
        <v>5541</v>
      </c>
      <c r="F2642" s="526" t="s">
        <v>5542</v>
      </c>
      <c r="G2642" s="526" t="s">
        <v>5543</v>
      </c>
      <c r="H2642" s="412">
        <v>846.63509999999997</v>
      </c>
      <c r="I2642" s="411">
        <v>30.576560000000001</v>
      </c>
      <c r="J2642" s="411">
        <v>105.3484</v>
      </c>
      <c r="K2642" s="411">
        <v>11639.7099</v>
      </c>
      <c r="L2642" s="526" t="s">
        <v>553</v>
      </c>
    </row>
    <row r="2643" spans="1:12" ht="15" x14ac:dyDescent="0.25">
      <c r="A2643">
        <v>119422</v>
      </c>
      <c r="B2643" t="str">
        <f t="shared" si="114"/>
        <v>SEVROLL spod.krycia lišta 3m 10mm oliva kartáč.</v>
      </c>
      <c r="C2643" s="198">
        <f t="shared" si="115"/>
        <v>39.065739999999998</v>
      </c>
      <c r="D2643" s="526" t="s">
        <v>2844</v>
      </c>
      <c r="E2643" s="526" t="s">
        <v>5559</v>
      </c>
      <c r="F2643" s="526" t="s">
        <v>5560</v>
      </c>
      <c r="G2643" s="526" t="s">
        <v>5561</v>
      </c>
      <c r="H2643" s="412">
        <v>1081.69244</v>
      </c>
      <c r="I2643" s="411">
        <v>39.065739999999998</v>
      </c>
      <c r="J2643" s="411">
        <v>134.56950000000001</v>
      </c>
      <c r="K2643" s="411">
        <v>14871.325489999999</v>
      </c>
      <c r="L2643" s="526" t="s">
        <v>553</v>
      </c>
    </row>
    <row r="2644" spans="1:12" ht="15" x14ac:dyDescent="0.25">
      <c r="A2644">
        <v>119459</v>
      </c>
      <c r="B2644" t="str">
        <f t="shared" si="114"/>
        <v>SEVROLL Gemini HORNÉ VEDENIE 1,70M OLIVA</v>
      </c>
      <c r="C2644" s="198">
        <f t="shared" si="115"/>
        <v>24.125810000000001</v>
      </c>
      <c r="D2644" s="526" t="s">
        <v>2845</v>
      </c>
      <c r="E2644" s="526" t="s">
        <v>5281</v>
      </c>
      <c r="F2644" s="526" t="s">
        <v>5282</v>
      </c>
      <c r="G2644" s="526" t="s">
        <v>5283</v>
      </c>
      <c r="H2644" s="412">
        <v>668.02009999999996</v>
      </c>
      <c r="I2644" s="411">
        <v>24.125810000000001</v>
      </c>
      <c r="J2644" s="411">
        <v>84.170400000000001</v>
      </c>
      <c r="K2644" s="411">
        <v>9184.0748999999996</v>
      </c>
      <c r="L2644" s="526" t="s">
        <v>553</v>
      </c>
    </row>
    <row r="2645" spans="1:12" ht="15" x14ac:dyDescent="0.25">
      <c r="A2645">
        <v>120832</v>
      </c>
      <c r="B2645" t="str">
        <f t="shared" si="114"/>
        <v>SEVROLL 01713 Exclusive horné vedenie 3m oliva</v>
      </c>
      <c r="C2645" s="198">
        <f t="shared" si="115"/>
        <v>39.168950000000002</v>
      </c>
      <c r="D2645" s="526" t="s">
        <v>2846</v>
      </c>
      <c r="E2645" s="526" t="s">
        <v>4882</v>
      </c>
      <c r="F2645" s="526" t="s">
        <v>4883</v>
      </c>
      <c r="G2645" s="526" t="s">
        <v>4884</v>
      </c>
      <c r="H2645" s="412">
        <v>1033.8339000000001</v>
      </c>
      <c r="I2645" s="411">
        <v>39.168950000000002</v>
      </c>
      <c r="J2645" s="411">
        <v>134.77080000000001</v>
      </c>
      <c r="K2645" s="411">
        <v>14423.91923</v>
      </c>
      <c r="L2645" s="526" t="s">
        <v>554</v>
      </c>
    </row>
    <row r="2646" spans="1:12" ht="15" x14ac:dyDescent="0.25">
      <c r="A2646">
        <v>120864</v>
      </c>
      <c r="B2646" t="str">
        <f t="shared" si="114"/>
        <v>SEVROLL Gemini horné vedenie 2,35M OLIVA</v>
      </c>
      <c r="C2646" s="198">
        <f t="shared" si="115"/>
        <v>33.337479999999999</v>
      </c>
      <c r="D2646" s="526" t="s">
        <v>2847</v>
      </c>
      <c r="E2646" s="526" t="s">
        <v>5292</v>
      </c>
      <c r="F2646" s="526" t="s">
        <v>5293</v>
      </c>
      <c r="G2646" s="526" t="s">
        <v>5294</v>
      </c>
      <c r="H2646" s="412">
        <v>923.08231999999998</v>
      </c>
      <c r="I2646" s="411">
        <v>33.337479999999999</v>
      </c>
      <c r="J2646" s="411">
        <v>116.5962</v>
      </c>
      <c r="K2646" s="411">
        <v>12690.72183</v>
      </c>
      <c r="L2646" s="526" t="s">
        <v>553</v>
      </c>
    </row>
    <row r="2647" spans="1:12" ht="15" x14ac:dyDescent="0.25">
      <c r="A2647">
        <v>120865</v>
      </c>
      <c r="B2647" t="str">
        <f t="shared" si="114"/>
        <v>SEVROLL Gemini horné vedenie 3M OLIVA KA</v>
      </c>
      <c r="C2647" s="198">
        <f t="shared" si="115"/>
        <v>42.549149999999997</v>
      </c>
      <c r="D2647" s="526" t="s">
        <v>2848</v>
      </c>
      <c r="E2647" s="526" t="s">
        <v>5303</v>
      </c>
      <c r="F2647" s="526" t="s">
        <v>5304</v>
      </c>
      <c r="G2647" s="526" t="s">
        <v>5305</v>
      </c>
      <c r="H2647" s="412">
        <v>1178.14454</v>
      </c>
      <c r="I2647" s="411">
        <v>42.549149999999997</v>
      </c>
      <c r="J2647" s="411">
        <v>148.83840000000001</v>
      </c>
      <c r="K2647" s="411">
        <v>16197.36839</v>
      </c>
      <c r="L2647" s="526" t="s">
        <v>553</v>
      </c>
    </row>
    <row r="2648" spans="1:12" ht="15" x14ac:dyDescent="0.25">
      <c r="A2648">
        <v>120867</v>
      </c>
      <c r="B2648" t="str">
        <f t="shared" si="114"/>
        <v>SEVROLL Gemini horné vedenie 4,05M oliva kartáčovaná</v>
      </c>
      <c r="C2648" s="198">
        <f t="shared" si="115"/>
        <v>57.437480000000001</v>
      </c>
      <c r="D2648" s="526" t="s">
        <v>2849</v>
      </c>
      <c r="E2648" s="526" t="s">
        <v>5314</v>
      </c>
      <c r="F2648" s="526" t="s">
        <v>5315</v>
      </c>
      <c r="G2648" s="526" t="s">
        <v>5316</v>
      </c>
      <c r="H2648" s="412">
        <v>1590.38796</v>
      </c>
      <c r="I2648" s="411">
        <v>57.437480000000001</v>
      </c>
      <c r="J2648" s="411">
        <v>200.9196</v>
      </c>
      <c r="K2648" s="411">
        <v>21864.974109999999</v>
      </c>
      <c r="L2648" s="526" t="s">
        <v>554</v>
      </c>
    </row>
    <row r="2649" spans="1:12" ht="15" x14ac:dyDescent="0.25">
      <c r="A2649">
        <v>120868</v>
      </c>
      <c r="B2649" t="str">
        <f t="shared" si="114"/>
        <v>SEVROLL 04333-Y Elegant II spodné vedenie  1,7m oliva kartáčovaná</v>
      </c>
      <c r="C2649" s="198">
        <f t="shared" si="115"/>
        <v>15.404389999999999</v>
      </c>
      <c r="D2649" s="526" t="s">
        <v>2850</v>
      </c>
      <c r="E2649" s="526" t="s">
        <v>5183</v>
      </c>
      <c r="F2649" s="526" t="s">
        <v>5184</v>
      </c>
      <c r="G2649" s="526" t="s">
        <v>5185</v>
      </c>
      <c r="H2649" s="412">
        <v>426.53262000000001</v>
      </c>
      <c r="I2649" s="411">
        <v>15.404389999999999</v>
      </c>
      <c r="J2649" s="411">
        <v>55.386000000000003</v>
      </c>
      <c r="K2649" s="411">
        <v>5864.0565299999998</v>
      </c>
      <c r="L2649" s="526" t="s">
        <v>553</v>
      </c>
    </row>
    <row r="2650" spans="1:12" ht="15" x14ac:dyDescent="0.25">
      <c r="A2650">
        <v>120869</v>
      </c>
      <c r="B2650" t="str">
        <f t="shared" si="114"/>
        <v>SEVROLL 04334-Y Elegant II spodné vedenie  2,35m oliva kartáčovaná</v>
      </c>
      <c r="C2650" s="198">
        <f t="shared" si="115"/>
        <v>21.2836</v>
      </c>
      <c r="D2650" s="526" t="s">
        <v>2851</v>
      </c>
      <c r="E2650" s="526" t="s">
        <v>5200</v>
      </c>
      <c r="F2650" s="526" t="s">
        <v>5201</v>
      </c>
      <c r="G2650" s="526" t="s">
        <v>5202</v>
      </c>
      <c r="H2650" s="412">
        <v>589.32232999999997</v>
      </c>
      <c r="I2650" s="411">
        <v>21.2836</v>
      </c>
      <c r="J2650" s="411">
        <v>76.367400000000004</v>
      </c>
      <c r="K2650" s="411">
        <v>8102.1224899999997</v>
      </c>
      <c r="L2650" s="526" t="s">
        <v>553</v>
      </c>
    </row>
    <row r="2651" spans="1:12" ht="15" x14ac:dyDescent="0.25">
      <c r="A2651">
        <v>120870</v>
      </c>
      <c r="B2651" t="str">
        <f t="shared" si="114"/>
        <v>SEVROLL 04335-Y Elegant II spodné vedenie  3m oliva kartáčovaná</v>
      </c>
      <c r="C2651" s="198">
        <f t="shared" si="115"/>
        <v>27.170559999999998</v>
      </c>
      <c r="D2651" s="526" t="s">
        <v>2852</v>
      </c>
      <c r="E2651" s="526" t="s">
        <v>5218</v>
      </c>
      <c r="F2651" s="526" t="s">
        <v>5219</v>
      </c>
      <c r="G2651" s="526" t="s">
        <v>5220</v>
      </c>
      <c r="H2651" s="412">
        <v>752.32637999999997</v>
      </c>
      <c r="I2651" s="411">
        <v>27.170559999999998</v>
      </c>
      <c r="J2651" s="411">
        <v>97.675200000000004</v>
      </c>
      <c r="K2651" s="411">
        <v>10343.134470000001</v>
      </c>
      <c r="L2651" s="526" t="s">
        <v>553</v>
      </c>
    </row>
    <row r="2652" spans="1:12" ht="15" x14ac:dyDescent="0.25">
      <c r="A2652">
        <v>120871</v>
      </c>
      <c r="B2652" t="str">
        <f t="shared" si="114"/>
        <v>SEVROLL 04336-Y Elegant II spodné vedenie  4,05m oliva kartáčovaná</v>
      </c>
      <c r="C2652" s="198">
        <f t="shared" si="115"/>
        <v>36.680259999999997</v>
      </c>
      <c r="D2652" s="526" t="s">
        <v>2853</v>
      </c>
      <c r="E2652" s="526" t="s">
        <v>5233</v>
      </c>
      <c r="F2652" s="526" t="s">
        <v>5234</v>
      </c>
      <c r="G2652" s="526" t="s">
        <v>5235</v>
      </c>
      <c r="H2652" s="412">
        <v>1015.96212</v>
      </c>
      <c r="I2652" s="411">
        <v>36.680259999999997</v>
      </c>
      <c r="J2652" s="411">
        <v>131.8554</v>
      </c>
      <c r="K2652" s="411">
        <v>13963.23186</v>
      </c>
      <c r="L2652" s="526" t="s">
        <v>554</v>
      </c>
    </row>
    <row r="2653" spans="1:12" ht="15" x14ac:dyDescent="0.25">
      <c r="A2653">
        <v>121028</v>
      </c>
      <c r="B2653" t="str">
        <f t="shared" si="114"/>
        <v>SEVROLL SPOJ.LIŠTA "H 10" 3M OLIVA kartáčovaná</v>
      </c>
      <c r="C2653" s="198">
        <f t="shared" si="115"/>
        <v>21.44229</v>
      </c>
      <c r="D2653" s="526" t="s">
        <v>2854</v>
      </c>
      <c r="E2653" s="526" t="s">
        <v>4574</v>
      </c>
      <c r="F2653" s="526" t="s">
        <v>4575</v>
      </c>
      <c r="G2653" s="526" t="s">
        <v>4576</v>
      </c>
      <c r="H2653" s="412">
        <v>593.71626000000003</v>
      </c>
      <c r="I2653" s="411">
        <v>21.44229</v>
      </c>
      <c r="J2653" s="411">
        <v>72.378100000000003</v>
      </c>
      <c r="K2653" s="411">
        <v>8162.5308100000002</v>
      </c>
      <c r="L2653" s="526" t="s">
        <v>553</v>
      </c>
    </row>
    <row r="2654" spans="1:12" ht="15" x14ac:dyDescent="0.25">
      <c r="A2654">
        <v>128322</v>
      </c>
      <c r="B2654" t="str">
        <f t="shared" si="114"/>
        <v>SEVROLL 10066-SV sada kovania ZSE-10</v>
      </c>
      <c r="C2654" s="198">
        <f t="shared" si="115"/>
        <v>47.211759999999998</v>
      </c>
      <c r="D2654" s="526" t="s">
        <v>1563</v>
      </c>
      <c r="E2654" s="526" t="s">
        <v>1992</v>
      </c>
      <c r="F2654" s="526" t="s">
        <v>6072</v>
      </c>
      <c r="G2654" s="526" t="s">
        <v>2502</v>
      </c>
      <c r="H2654" s="412">
        <v>1307.4618</v>
      </c>
      <c r="I2654" s="411">
        <v>47.211759999999998</v>
      </c>
      <c r="J2654" s="411">
        <v>166.12739999999999</v>
      </c>
      <c r="K2654" s="411">
        <v>17972.30141</v>
      </c>
      <c r="L2654" s="526" t="s">
        <v>554</v>
      </c>
    </row>
    <row r="2655" spans="1:12" ht="15" x14ac:dyDescent="0.25">
      <c r="A2655">
        <v>128328</v>
      </c>
      <c r="B2655" t="str">
        <f t="shared" si="114"/>
        <v>SEVROLL 01971 Exclusive horné vedenie 1,2m strieborná</v>
      </c>
      <c r="C2655" s="198">
        <f t="shared" si="115"/>
        <v>12.9015</v>
      </c>
      <c r="D2655" s="526" t="s">
        <v>2855</v>
      </c>
      <c r="E2655" s="526" t="s">
        <v>4228</v>
      </c>
      <c r="F2655" s="526" t="s">
        <v>4229</v>
      </c>
      <c r="G2655" s="526" t="s">
        <v>4230</v>
      </c>
      <c r="H2655" s="412">
        <v>340.52499999999998</v>
      </c>
      <c r="I2655" s="411">
        <v>12.9015</v>
      </c>
      <c r="J2655" s="411">
        <v>44.390920000000001</v>
      </c>
      <c r="K2655" s="411">
        <v>4750.9615400000002</v>
      </c>
      <c r="L2655" s="526" t="s">
        <v>554</v>
      </c>
    </row>
    <row r="2656" spans="1:12" ht="15" x14ac:dyDescent="0.25">
      <c r="A2656">
        <v>128842</v>
      </c>
      <c r="B2656" t="str">
        <f t="shared" si="114"/>
        <v>SEVROLL 20144 vrták stupňovitý 6,5/9,5mm</v>
      </c>
      <c r="C2656" s="198">
        <f t="shared" si="115"/>
        <v>26.752659999999999</v>
      </c>
      <c r="D2656" s="526" t="s">
        <v>2856</v>
      </c>
      <c r="E2656" s="526" t="s">
        <v>5732</v>
      </c>
      <c r="F2656" s="526" t="s">
        <v>2856</v>
      </c>
      <c r="G2656" s="526" t="s">
        <v>5733</v>
      </c>
      <c r="H2656" s="412">
        <v>671.23099999999999</v>
      </c>
      <c r="I2656" s="411">
        <v>26.752659999999999</v>
      </c>
      <c r="J2656" s="411">
        <v>116.85122</v>
      </c>
      <c r="K2656" s="411">
        <v>10898.66318</v>
      </c>
      <c r="L2656" s="526" t="s">
        <v>553</v>
      </c>
    </row>
    <row r="2657" spans="1:12" ht="15" x14ac:dyDescent="0.25">
      <c r="A2657">
        <v>128850</v>
      </c>
      <c r="B2657" t="str">
        <f t="shared" si="114"/>
        <v>SEVROLL 20016 montažný prípravok pre lamino 10mm veľký</v>
      </c>
      <c r="C2657" s="198">
        <f t="shared" si="115"/>
        <v>110.13077</v>
      </c>
      <c r="D2657" s="526" t="s">
        <v>2857</v>
      </c>
      <c r="E2657" s="526" t="s">
        <v>5751</v>
      </c>
      <c r="F2657" s="526" t="s">
        <v>5752</v>
      </c>
      <c r="G2657" s="526" t="s">
        <v>5753</v>
      </c>
      <c r="H2657" s="412">
        <v>2763.2087999999999</v>
      </c>
      <c r="I2657" s="411">
        <v>110.13077</v>
      </c>
      <c r="J2657" s="411">
        <v>506.41131999999999</v>
      </c>
      <c r="K2657" s="411">
        <v>47232.767570000004</v>
      </c>
      <c r="L2657" s="526" t="s">
        <v>554</v>
      </c>
    </row>
    <row r="2658" spans="1:12" ht="15" x14ac:dyDescent="0.25">
      <c r="A2658">
        <v>129677</v>
      </c>
      <c r="B2658" t="str">
        <f t="shared" si="114"/>
        <v>SEVROLL 20173 montážny prípravok pre lamino 10mm malý</v>
      </c>
      <c r="C2658" s="198">
        <f t="shared" si="115"/>
        <v>5.0214600000000003</v>
      </c>
      <c r="D2658" s="526" t="s">
        <v>2858</v>
      </c>
      <c r="E2658" s="526" t="s">
        <v>5760</v>
      </c>
      <c r="F2658" s="526" t="s">
        <v>5761</v>
      </c>
      <c r="G2658" s="526" t="s">
        <v>5762</v>
      </c>
      <c r="H2658" s="412">
        <v>125.9896</v>
      </c>
      <c r="I2658" s="411">
        <v>5.0214600000000003</v>
      </c>
      <c r="J2658" s="411">
        <v>21.91311</v>
      </c>
      <c r="K2658" s="411">
        <v>2043.8259700000001</v>
      </c>
      <c r="L2658" s="526" t="s">
        <v>553</v>
      </c>
    </row>
    <row r="2659" spans="1:12" ht="15" x14ac:dyDescent="0.25">
      <c r="A2659">
        <v>130609</v>
      </c>
      <c r="B2659" t="str">
        <f t="shared" si="114"/>
        <v>SEVROLL 01863 Prince 02 úchytová lišta 2,7m strieborná</v>
      </c>
      <c r="C2659" s="198">
        <f t="shared" si="115"/>
        <v>16.02366</v>
      </c>
      <c r="D2659" s="526" t="s">
        <v>2859</v>
      </c>
      <c r="E2659" s="526" t="s">
        <v>4324</v>
      </c>
      <c r="F2659" s="526" t="s">
        <v>4325</v>
      </c>
      <c r="G2659" s="526" t="s">
        <v>4326</v>
      </c>
      <c r="H2659" s="412">
        <v>443.67966000000001</v>
      </c>
      <c r="I2659" s="411">
        <v>16.02366</v>
      </c>
      <c r="J2659" s="411">
        <v>54.412799999999997</v>
      </c>
      <c r="K2659" s="411">
        <v>6099.7974100000001</v>
      </c>
      <c r="L2659" s="526" t="s">
        <v>554</v>
      </c>
    </row>
    <row r="2660" spans="1:12" ht="15" x14ac:dyDescent="0.25">
      <c r="A2660">
        <v>130612</v>
      </c>
      <c r="B2660" t="str">
        <f t="shared" si="114"/>
        <v>SEVROLL 00691 spojovacia lišta T04 3m strieborná</v>
      </c>
      <c r="C2660" s="198">
        <f t="shared" si="115"/>
        <v>7.1216299999999997</v>
      </c>
      <c r="D2660" s="526" t="s">
        <v>2860</v>
      </c>
      <c r="E2660" s="526" t="s">
        <v>3840</v>
      </c>
      <c r="F2660" s="526" t="s">
        <v>3841</v>
      </c>
      <c r="G2660" s="526" t="s">
        <v>3842</v>
      </c>
      <c r="H2660" s="412">
        <v>197.19095999999999</v>
      </c>
      <c r="I2660" s="411">
        <v>7.1216299999999997</v>
      </c>
      <c r="J2660" s="411">
        <v>24.019600000000001</v>
      </c>
      <c r="K2660" s="411">
        <v>2711.0211100000001</v>
      </c>
      <c r="L2660" s="526" t="s">
        <v>554</v>
      </c>
    </row>
    <row r="2661" spans="1:12" ht="15" x14ac:dyDescent="0.25">
      <c r="A2661">
        <v>130994</v>
      </c>
      <c r="B2661" t="str">
        <f t="shared" si="114"/>
        <v>SEVROLL 01711 SPOJOVACia LIŠTA H04/18 3M OLIVA</v>
      </c>
      <c r="C2661" s="198">
        <f t="shared" si="115"/>
        <v>10.295400000000001</v>
      </c>
      <c r="D2661" s="526" t="s">
        <v>4082</v>
      </c>
      <c r="E2661" s="526" t="s">
        <v>4083</v>
      </c>
      <c r="F2661" s="526" t="s">
        <v>4084</v>
      </c>
      <c r="G2661" s="526" t="s">
        <v>4085</v>
      </c>
      <c r="H2661" s="412">
        <v>285.06954000000002</v>
      </c>
      <c r="I2661" s="411">
        <v>10.295400000000001</v>
      </c>
      <c r="J2661" s="411">
        <v>34.912700000000001</v>
      </c>
      <c r="K2661" s="411">
        <v>3919.1933899999999</v>
      </c>
      <c r="L2661" s="526" t="s">
        <v>553</v>
      </c>
    </row>
    <row r="2662" spans="1:12" ht="15" x14ac:dyDescent="0.25">
      <c r="A2662">
        <v>131030</v>
      </c>
      <c r="B2662" t="str">
        <f t="shared" si="114"/>
        <v>SEVROLL 00883 Comfort spodné vedenie 1,7m strieborná</v>
      </c>
      <c r="C2662" s="198">
        <f t="shared" si="115"/>
        <v>15.14636</v>
      </c>
      <c r="D2662" s="526" t="s">
        <v>2861</v>
      </c>
      <c r="E2662" s="526" t="s">
        <v>4310</v>
      </c>
      <c r="F2662" s="526" t="s">
        <v>4311</v>
      </c>
      <c r="G2662" s="526" t="s">
        <v>4312</v>
      </c>
      <c r="H2662" s="412">
        <v>419.38801999999998</v>
      </c>
      <c r="I2662" s="411">
        <v>15.14636</v>
      </c>
      <c r="J2662" s="411">
        <v>57.191400000000002</v>
      </c>
      <c r="K2662" s="411">
        <v>5765.8311299999996</v>
      </c>
      <c r="L2662" s="526" t="s">
        <v>554</v>
      </c>
    </row>
    <row r="2663" spans="1:12" ht="15" x14ac:dyDescent="0.25">
      <c r="A2663">
        <v>132953</v>
      </c>
      <c r="B2663" t="str">
        <f t="shared" si="114"/>
        <v>SEVROLL 20171 tesnenie na sklo 10,1/8mm</v>
      </c>
      <c r="C2663" s="198">
        <f t="shared" si="115"/>
        <v>0.79988999999999999</v>
      </c>
      <c r="D2663" s="526" t="s">
        <v>2862</v>
      </c>
      <c r="E2663" s="526" t="s">
        <v>6197</v>
      </c>
      <c r="F2663" s="526" t="s">
        <v>6198</v>
      </c>
      <c r="G2663" s="526" t="s">
        <v>6199</v>
      </c>
      <c r="H2663" s="412">
        <v>23.502649999999999</v>
      </c>
      <c r="I2663" s="411">
        <v>0.79988999999999999</v>
      </c>
      <c r="J2663" s="411">
        <v>2.7501000000000002</v>
      </c>
      <c r="K2663" s="411">
        <v>310.71307999999999</v>
      </c>
      <c r="L2663" s="526" t="s">
        <v>553</v>
      </c>
    </row>
    <row r="2664" spans="1:12" ht="15" x14ac:dyDescent="0.25">
      <c r="A2664">
        <v>132956</v>
      </c>
      <c r="B2664" t="str">
        <f t="shared" si="114"/>
        <v>SEVROLL SP.VOZÍK WD10 V DUO 60 KG</v>
      </c>
      <c r="C2664" s="198">
        <f t="shared" si="115"/>
        <v>0</v>
      </c>
      <c r="D2664" s="526" t="s">
        <v>2863</v>
      </c>
      <c r="E2664" s="526" t="s">
        <v>4092</v>
      </c>
      <c r="F2664" s="526" t="s">
        <v>4093</v>
      </c>
      <c r="G2664" s="526" t="s">
        <v>4094</v>
      </c>
      <c r="H2664" s="412">
        <v>0</v>
      </c>
      <c r="I2664" s="411">
        <v>0</v>
      </c>
      <c r="J2664" s="411">
        <v>0</v>
      </c>
      <c r="K2664" s="411">
        <v>0</v>
      </c>
      <c r="L2664" s="526" t="s">
        <v>555</v>
      </c>
    </row>
    <row r="2665" spans="1:12" ht="15" x14ac:dyDescent="0.25">
      <c r="A2665">
        <v>133570</v>
      </c>
      <c r="B2665" t="str">
        <f t="shared" si="114"/>
        <v>SEVROLL 222618 Wilson Držiak tyče</v>
      </c>
      <c r="C2665" s="198">
        <f t="shared" si="115"/>
        <v>2.47709</v>
      </c>
      <c r="D2665" s="526" t="s">
        <v>1727</v>
      </c>
      <c r="E2665" s="526" t="s">
        <v>2159</v>
      </c>
      <c r="F2665" s="526" t="s">
        <v>6160</v>
      </c>
      <c r="G2665" s="526" t="s">
        <v>2635</v>
      </c>
      <c r="H2665" s="412">
        <v>68.588160000000002</v>
      </c>
      <c r="I2665" s="411">
        <v>2.47709</v>
      </c>
      <c r="J2665" s="411">
        <v>8.3635999999999999</v>
      </c>
      <c r="K2665" s="411">
        <v>942.96391000000006</v>
      </c>
      <c r="L2665" s="526" t="s">
        <v>554</v>
      </c>
    </row>
    <row r="2666" spans="1:12" ht="15" x14ac:dyDescent="0.25">
      <c r="A2666">
        <v>133547</v>
      </c>
      <c r="B2666" t="str">
        <f t="shared" si="114"/>
        <v>SEVROLL 222615 Wilson nosník 2108mm strieborný</v>
      </c>
      <c r="C2666" s="198">
        <f t="shared" si="115"/>
        <v>16.15268</v>
      </c>
      <c r="D2666" s="526" t="s">
        <v>1728</v>
      </c>
      <c r="E2666" s="526" t="s">
        <v>2160</v>
      </c>
      <c r="F2666" s="526" t="s">
        <v>6161</v>
      </c>
      <c r="G2666" s="526" t="s">
        <v>6162</v>
      </c>
      <c r="H2666" s="412">
        <v>447.25196</v>
      </c>
      <c r="I2666" s="411">
        <v>16.15268</v>
      </c>
      <c r="J2666" s="411">
        <v>54.538499999999999</v>
      </c>
      <c r="K2666" s="411">
        <v>6148.9101099999998</v>
      </c>
      <c r="L2666" s="526" t="s">
        <v>554</v>
      </c>
    </row>
    <row r="2667" spans="1:12" ht="15" x14ac:dyDescent="0.25">
      <c r="A2667">
        <v>133548</v>
      </c>
      <c r="B2667" t="str">
        <f t="shared" si="114"/>
        <v>SEVROLL 222616 Wilson konzola 300mm strieborná</v>
      </c>
      <c r="C2667" s="198">
        <f t="shared" si="115"/>
        <v>3.8962500000000002</v>
      </c>
      <c r="D2667" s="526" t="s">
        <v>1729</v>
      </c>
      <c r="E2667" s="526" t="s">
        <v>2161</v>
      </c>
      <c r="F2667" s="526" t="s">
        <v>6163</v>
      </c>
      <c r="G2667" s="526" t="s">
        <v>2636</v>
      </c>
      <c r="H2667" s="412">
        <v>107.88346</v>
      </c>
      <c r="I2667" s="411">
        <v>3.8962500000000002</v>
      </c>
      <c r="J2667" s="411">
        <v>13.122199999999999</v>
      </c>
      <c r="K2667" s="411">
        <v>1483.20361</v>
      </c>
      <c r="L2667" s="526" t="s">
        <v>554</v>
      </c>
    </row>
    <row r="2668" spans="1:12" ht="15" x14ac:dyDescent="0.25">
      <c r="A2668">
        <v>133549</v>
      </c>
      <c r="B2668" t="str">
        <f t="shared" si="114"/>
        <v>SEVROLL 222617 Wilson konzola 500mm strieborná</v>
      </c>
      <c r="C2668" s="198">
        <f t="shared" si="115"/>
        <v>6.3475400000000004</v>
      </c>
      <c r="D2668" s="526" t="s">
        <v>1730</v>
      </c>
      <c r="E2668" s="526" t="s">
        <v>2162</v>
      </c>
      <c r="F2668" s="526" t="s">
        <v>6164</v>
      </c>
      <c r="G2668" s="526" t="s">
        <v>2637</v>
      </c>
      <c r="H2668" s="412">
        <v>175.75716</v>
      </c>
      <c r="I2668" s="411">
        <v>6.3475400000000004</v>
      </c>
      <c r="J2668" s="411">
        <v>21.413699999999999</v>
      </c>
      <c r="K2668" s="411">
        <v>2416.3449099999998</v>
      </c>
      <c r="L2668" s="526" t="s">
        <v>554</v>
      </c>
    </row>
    <row r="2669" spans="1:12" ht="15" x14ac:dyDescent="0.25">
      <c r="A2669">
        <v>133553</v>
      </c>
      <c r="B2669" t="str">
        <f t="shared" si="114"/>
        <v>SEVROLL 222619 Wilson tyč priemer 25mm 1,2m strieborná</v>
      </c>
      <c r="C2669" s="198">
        <f t="shared" si="115"/>
        <v>7.0184199999999999</v>
      </c>
      <c r="D2669" s="526" t="s">
        <v>1731</v>
      </c>
      <c r="E2669" s="526" t="s">
        <v>2163</v>
      </c>
      <c r="F2669" s="526" t="s">
        <v>6165</v>
      </c>
      <c r="G2669" s="526" t="s">
        <v>2638</v>
      </c>
      <c r="H2669" s="412">
        <v>194.33312000000001</v>
      </c>
      <c r="I2669" s="411">
        <v>7.0184199999999999</v>
      </c>
      <c r="J2669" s="411">
        <v>23.710599999999999</v>
      </c>
      <c r="K2669" s="411">
        <v>2671.7310299999999</v>
      </c>
      <c r="L2669" s="526" t="s">
        <v>554</v>
      </c>
    </row>
    <row r="2670" spans="1:12" ht="15" x14ac:dyDescent="0.25">
      <c r="A2670">
        <v>133562</v>
      </c>
      <c r="B2670" t="str">
        <f t="shared" si="114"/>
        <v>SEVROLL 222620 Wilson montažný klip silver</v>
      </c>
      <c r="C2670" s="198">
        <f t="shared" si="115"/>
        <v>0.43864999999999998</v>
      </c>
      <c r="D2670" s="526" t="s">
        <v>1732</v>
      </c>
      <c r="E2670" s="526" t="s">
        <v>2164</v>
      </c>
      <c r="F2670" s="526" t="s">
        <v>6166</v>
      </c>
      <c r="G2670" s="526" t="s">
        <v>6167</v>
      </c>
      <c r="H2670" s="412">
        <v>12.145820000000001</v>
      </c>
      <c r="I2670" s="411">
        <v>0.43864999999999998</v>
      </c>
      <c r="J2670" s="411">
        <v>1.4872000000000001</v>
      </c>
      <c r="K2670" s="411">
        <v>166.98333</v>
      </c>
      <c r="L2670" s="526" t="s">
        <v>554</v>
      </c>
    </row>
    <row r="2671" spans="1:12" ht="15" x14ac:dyDescent="0.25">
      <c r="A2671">
        <v>133563</v>
      </c>
      <c r="B2671" t="str">
        <f t="shared" si="114"/>
        <v>SEVROLL 222621 Wilson záslepka tyče</v>
      </c>
      <c r="C2671" s="198">
        <f t="shared" si="115"/>
        <v>1.1869400000000001</v>
      </c>
      <c r="D2671" s="526" t="s">
        <v>1733</v>
      </c>
      <c r="E2671" s="526" t="s">
        <v>2165</v>
      </c>
      <c r="F2671" s="526" t="s">
        <v>1733</v>
      </c>
      <c r="G2671" s="526" t="s">
        <v>2639</v>
      </c>
      <c r="H2671" s="412">
        <v>34.874899999999997</v>
      </c>
      <c r="I2671" s="411">
        <v>1.1869400000000001</v>
      </c>
      <c r="J2671" s="411">
        <v>4.0144000000000002</v>
      </c>
      <c r="K2671" s="411">
        <v>461.05808000000002</v>
      </c>
      <c r="L2671" s="526" t="s">
        <v>554</v>
      </c>
    </row>
    <row r="2672" spans="1:12" ht="15" x14ac:dyDescent="0.25">
      <c r="A2672">
        <v>134300</v>
      </c>
      <c r="B2672" t="str">
        <f t="shared" si="114"/>
        <v>SEVROLL okrasná lišta S20 3m strieborná</v>
      </c>
      <c r="C2672" s="198">
        <f t="shared" si="115"/>
        <v>6.1669200000000002</v>
      </c>
      <c r="D2672" s="526" t="s">
        <v>2864</v>
      </c>
      <c r="E2672" s="526" t="s">
        <v>3861</v>
      </c>
      <c r="F2672" s="526" t="s">
        <v>1242</v>
      </c>
      <c r="G2672" s="526" t="s">
        <v>3862</v>
      </c>
      <c r="H2672" s="412">
        <v>170.75594000000001</v>
      </c>
      <c r="I2672" s="411">
        <v>6.1669200000000002</v>
      </c>
      <c r="J2672" s="411">
        <v>21.725999999999999</v>
      </c>
      <c r="K2672" s="411">
        <v>2347.5869899999998</v>
      </c>
      <c r="L2672" s="526" t="s">
        <v>553</v>
      </c>
    </row>
    <row r="2673" spans="1:12" ht="15" x14ac:dyDescent="0.25">
      <c r="A2673">
        <v>134487</v>
      </c>
      <c r="B2673" t="str">
        <f t="shared" si="114"/>
        <v>SEVROLL 50244 Ursus horné vedenie 1,8m surová</v>
      </c>
      <c r="C2673" s="198">
        <f t="shared" si="115"/>
        <v>22.52657</v>
      </c>
      <c r="D2673" s="526" t="s">
        <v>2865</v>
      </c>
      <c r="E2673" s="526" t="s">
        <v>4492</v>
      </c>
      <c r="F2673" s="526" t="s">
        <v>4493</v>
      </c>
      <c r="G2673" s="526" t="s">
        <v>4494</v>
      </c>
      <c r="H2673" s="412" t="e">
        <v>#N/A</v>
      </c>
      <c r="I2673" s="411">
        <v>22.52657</v>
      </c>
      <c r="J2673" s="411">
        <v>79.193380000000005</v>
      </c>
      <c r="K2673" s="411">
        <v>8475.7153999999991</v>
      </c>
      <c r="L2673" s="526" t="e">
        <v>#N/A</v>
      </c>
    </row>
    <row r="2674" spans="1:12" ht="15" x14ac:dyDescent="0.25">
      <c r="A2674">
        <v>134488</v>
      </c>
      <c r="B2674" t="str">
        <f t="shared" si="114"/>
        <v>SEVROLL 50245 Ursus horné vedenie 3m surová</v>
      </c>
      <c r="C2674" s="198">
        <f t="shared" si="115"/>
        <v>38.394860000000001</v>
      </c>
      <c r="D2674" s="526" t="s">
        <v>2866</v>
      </c>
      <c r="E2674" s="526" t="s">
        <v>4809</v>
      </c>
      <c r="F2674" s="526" t="s">
        <v>4810</v>
      </c>
      <c r="G2674" s="526" t="s">
        <v>4811</v>
      </c>
      <c r="H2674" s="412">
        <v>1013.4023999999999</v>
      </c>
      <c r="I2674" s="411">
        <v>38.394860000000001</v>
      </c>
      <c r="J2674" s="411">
        <v>132.10735</v>
      </c>
      <c r="K2674" s="411">
        <v>14138.86154</v>
      </c>
      <c r="L2674" s="526" t="s">
        <v>554</v>
      </c>
    </row>
    <row r="2675" spans="1:12" ht="15" x14ac:dyDescent="0.25">
      <c r="A2675">
        <v>134489</v>
      </c>
      <c r="B2675" t="str">
        <f t="shared" si="114"/>
        <v>SEVROLL 10022-SV Ursus sada kovania ZP-18 pro 1 krídlo</v>
      </c>
      <c r="C2675" s="198">
        <f t="shared" si="115"/>
        <v>38.158790000000003</v>
      </c>
      <c r="D2675" s="526" t="s">
        <v>2867</v>
      </c>
      <c r="E2675" s="526" t="s">
        <v>4944</v>
      </c>
      <c r="F2675" s="526" t="s">
        <v>4945</v>
      </c>
      <c r="G2675" s="526" t="s">
        <v>4946</v>
      </c>
      <c r="H2675" s="412" t="e">
        <v>#N/A</v>
      </c>
      <c r="I2675" s="411">
        <v>38.158790000000003</v>
      </c>
      <c r="J2675" s="411">
        <v>134.14932999999999</v>
      </c>
      <c r="K2675" s="411">
        <v>14357.405769999999</v>
      </c>
      <c r="L2675" s="526" t="e">
        <v>#N/A</v>
      </c>
    </row>
    <row r="2676" spans="1:12" ht="15" x14ac:dyDescent="0.25">
      <c r="A2676">
        <v>134933</v>
      </c>
      <c r="B2676" t="str">
        <f t="shared" si="114"/>
        <v>SEVROLL 01391 Gemini horné vedenie 6m strieborná</v>
      </c>
      <c r="C2676" s="198">
        <f t="shared" si="115"/>
        <v>49.464350000000003</v>
      </c>
      <c r="D2676" s="526" t="s">
        <v>2868</v>
      </c>
      <c r="E2676" s="526" t="s">
        <v>4972</v>
      </c>
      <c r="F2676" s="526" t="s">
        <v>4973</v>
      </c>
      <c r="G2676" s="526" t="s">
        <v>4974</v>
      </c>
      <c r="H2676" s="412">
        <v>1369.6198199999999</v>
      </c>
      <c r="I2676" s="411">
        <v>49.464350000000003</v>
      </c>
      <c r="J2676" s="411">
        <v>184.17554999999999</v>
      </c>
      <c r="K2676" s="411">
        <v>18829.80933</v>
      </c>
      <c r="L2676" s="526" t="s">
        <v>553</v>
      </c>
    </row>
    <row r="2677" spans="1:12" ht="15" x14ac:dyDescent="0.25">
      <c r="A2677">
        <v>134934</v>
      </c>
      <c r="B2677" t="str">
        <f t="shared" si="114"/>
        <v>SEVROLL Gemini horné vedenie 6m oliva</v>
      </c>
      <c r="C2677" s="198">
        <f t="shared" si="115"/>
        <v>61.927199999999999</v>
      </c>
      <c r="D2677" s="526" t="s">
        <v>2869</v>
      </c>
      <c r="E2677" s="526" t="s">
        <v>5041</v>
      </c>
      <c r="F2677" s="526" t="s">
        <v>1272</v>
      </c>
      <c r="G2677" s="526" t="s">
        <v>5042</v>
      </c>
      <c r="H2677" s="412">
        <v>1714.704</v>
      </c>
      <c r="I2677" s="411">
        <v>61.927199999999999</v>
      </c>
      <c r="J2677" s="411">
        <v>214.22382999999999</v>
      </c>
      <c r="K2677" s="411">
        <v>23574.096000000001</v>
      </c>
      <c r="L2677" s="526" t="s">
        <v>553</v>
      </c>
    </row>
    <row r="2678" spans="1:12" ht="15" x14ac:dyDescent="0.25">
      <c r="A2678">
        <v>134935</v>
      </c>
      <c r="B2678" t="str">
        <f t="shared" si="114"/>
        <v>SEVROLL 01392 Gemini horné vedenie 6m zlatá</v>
      </c>
      <c r="C2678" s="198">
        <f t="shared" si="115"/>
        <v>61.927199999999999</v>
      </c>
      <c r="D2678" s="526" t="s">
        <v>2870</v>
      </c>
      <c r="E2678" s="526" t="s">
        <v>5021</v>
      </c>
      <c r="F2678" s="526" t="s">
        <v>5022</v>
      </c>
      <c r="G2678" s="526" t="s">
        <v>5023</v>
      </c>
      <c r="H2678" s="412">
        <v>1714.704</v>
      </c>
      <c r="I2678" s="411">
        <v>61.927199999999999</v>
      </c>
      <c r="J2678" s="411">
        <v>214.22382999999999</v>
      </c>
      <c r="K2678" s="411">
        <v>23574.096000000001</v>
      </c>
      <c r="L2678" s="526" t="s">
        <v>554</v>
      </c>
    </row>
    <row r="2679" spans="1:12" ht="15" x14ac:dyDescent="0.25">
      <c r="A2679">
        <v>135115</v>
      </c>
      <c r="B2679" t="str">
        <f t="shared" si="114"/>
        <v>SEVROLL Cleft spodné vedenie 6m strieborná</v>
      </c>
      <c r="C2679" s="198">
        <f t="shared" si="115"/>
        <v>0</v>
      </c>
      <c r="D2679" s="526" t="s">
        <v>2871</v>
      </c>
      <c r="E2679" s="526" t="s">
        <v>5140</v>
      </c>
      <c r="F2679" s="526" t="s">
        <v>1086</v>
      </c>
      <c r="G2679" s="526" t="s">
        <v>5141</v>
      </c>
      <c r="H2679" s="412">
        <v>0</v>
      </c>
      <c r="I2679" s="411">
        <v>0</v>
      </c>
      <c r="J2679" s="411">
        <v>0</v>
      </c>
      <c r="K2679" s="411">
        <v>0</v>
      </c>
      <c r="L2679" s="526" t="s">
        <v>555</v>
      </c>
    </row>
    <row r="2680" spans="1:12" ht="15" x14ac:dyDescent="0.25">
      <c r="A2680">
        <v>135118</v>
      </c>
      <c r="B2680" t="str">
        <f t="shared" si="114"/>
        <v>SEVROLL 04076 maska Cleft 6m strieborná</v>
      </c>
      <c r="C2680" s="198">
        <f t="shared" si="115"/>
        <v>3.8414600000000001</v>
      </c>
      <c r="D2680" s="526" t="s">
        <v>2872</v>
      </c>
      <c r="E2680" s="526" t="s">
        <v>5453</v>
      </c>
      <c r="F2680" s="526" t="s">
        <v>5454</v>
      </c>
      <c r="G2680" s="526" t="s">
        <v>5455</v>
      </c>
      <c r="H2680" s="412">
        <v>87.75609</v>
      </c>
      <c r="I2680" s="411">
        <v>3.8414600000000001</v>
      </c>
      <c r="J2680" s="411">
        <v>17.19848</v>
      </c>
      <c r="K2680" s="411">
        <v>1464.5577000000001</v>
      </c>
      <c r="L2680" s="526" t="s">
        <v>555</v>
      </c>
    </row>
    <row r="2681" spans="1:12" ht="15" x14ac:dyDescent="0.25">
      <c r="A2681">
        <v>135136</v>
      </c>
      <c r="B2681" t="str">
        <f t="shared" ref="B2681:B2744" si="116">IF($A$2=1,D2681,IF($A$2=2,F2681,IF($A$2=3,G2681,IF($A$2=4,E2681,"zadat jazyk"))))</f>
        <v>SEVROLL 05546 Factor 18 II úchytová lišta 2,7m strieborná</v>
      </c>
      <c r="C2681" s="198">
        <f t="shared" ref="C2681:C2744" si="117">IF($A$2=1,H2681,IF($A$2=2,I2681,IF($A$2=3,J2681,IF($A$2=4,K2681,"zadat jazyk"))))</f>
        <v>10.321199999999999</v>
      </c>
      <c r="D2681" s="526" t="s">
        <v>2873</v>
      </c>
      <c r="E2681" s="526" t="s">
        <v>4031</v>
      </c>
      <c r="F2681" s="526" t="s">
        <v>4032</v>
      </c>
      <c r="G2681" s="526" t="s">
        <v>4033</v>
      </c>
      <c r="H2681" s="412">
        <v>285.78399999999999</v>
      </c>
      <c r="I2681" s="411">
        <v>10.321199999999999</v>
      </c>
      <c r="J2681" s="411">
        <v>45.462009999999999</v>
      </c>
      <c r="K2681" s="411">
        <v>3929.0160000000001</v>
      </c>
      <c r="L2681" s="526" t="s">
        <v>710</v>
      </c>
    </row>
    <row r="2682" spans="1:12" ht="15" x14ac:dyDescent="0.25">
      <c r="A2682">
        <v>135149</v>
      </c>
      <c r="B2682" t="str">
        <f t="shared" si="116"/>
        <v>SEVROLL 01710 SPOJOVACIA LIŠTA H04/18 3M STRIEBN</v>
      </c>
      <c r="C2682" s="198">
        <f t="shared" si="117"/>
        <v>8.4633800000000008</v>
      </c>
      <c r="D2682" s="526" t="s">
        <v>4022</v>
      </c>
      <c r="E2682" s="526" t="s">
        <v>4023</v>
      </c>
      <c r="F2682" s="526" t="s">
        <v>4024</v>
      </c>
      <c r="G2682" s="526" t="s">
        <v>4025</v>
      </c>
      <c r="H2682" s="412">
        <v>234.34288000000001</v>
      </c>
      <c r="I2682" s="411">
        <v>8.4633800000000008</v>
      </c>
      <c r="J2682" s="411">
        <v>29.712599999999998</v>
      </c>
      <c r="K2682" s="411">
        <v>3221.79297</v>
      </c>
      <c r="L2682" s="526" t="s">
        <v>553</v>
      </c>
    </row>
    <row r="2683" spans="1:12" ht="15" x14ac:dyDescent="0.25">
      <c r="A2683">
        <v>135151</v>
      </c>
      <c r="B2683" t="str">
        <f t="shared" si="116"/>
        <v>SEVROLL 01877 spojovacia lišta H08/18 3m oliva</v>
      </c>
      <c r="C2683" s="198">
        <f t="shared" si="117"/>
        <v>10.68244</v>
      </c>
      <c r="D2683" s="526" t="s">
        <v>2874</v>
      </c>
      <c r="E2683" s="526" t="s">
        <v>4005</v>
      </c>
      <c r="F2683" s="526" t="s">
        <v>4006</v>
      </c>
      <c r="G2683" s="526" t="s">
        <v>4007</v>
      </c>
      <c r="H2683" s="412">
        <v>295.78644000000003</v>
      </c>
      <c r="I2683" s="411">
        <v>10.68244</v>
      </c>
      <c r="J2683" s="411">
        <v>36.606200000000001</v>
      </c>
      <c r="K2683" s="411">
        <v>4066.5314899999998</v>
      </c>
      <c r="L2683" s="526" t="s">
        <v>554</v>
      </c>
    </row>
    <row r="2684" spans="1:12" ht="15" x14ac:dyDescent="0.25">
      <c r="A2684">
        <v>135152</v>
      </c>
      <c r="B2684" t="str">
        <f t="shared" si="116"/>
        <v>SEVROLL spojovacia lišta H08/18 3m strieborn</v>
      </c>
      <c r="C2684" s="198">
        <f t="shared" si="117"/>
        <v>8.7472200000000004</v>
      </c>
      <c r="D2684" s="526" t="s">
        <v>2875</v>
      </c>
      <c r="E2684" s="526" t="s">
        <v>4026</v>
      </c>
      <c r="F2684" s="526" t="s">
        <v>1233</v>
      </c>
      <c r="G2684" s="526" t="s">
        <v>4027</v>
      </c>
      <c r="H2684" s="412">
        <v>242.20194000000001</v>
      </c>
      <c r="I2684" s="411">
        <v>8.7472200000000004</v>
      </c>
      <c r="J2684" s="411">
        <v>39.694769999999998</v>
      </c>
      <c r="K2684" s="411">
        <v>3329.8409900000001</v>
      </c>
      <c r="L2684" s="526" t="s">
        <v>553</v>
      </c>
    </row>
    <row r="2685" spans="1:12" ht="15" x14ac:dyDescent="0.25">
      <c r="A2685">
        <v>135154</v>
      </c>
      <c r="B2685" t="str">
        <f t="shared" si="116"/>
        <v>SEVROLL okrasná lišta S20 3m oliva</v>
      </c>
      <c r="C2685" s="198">
        <f t="shared" si="117"/>
        <v>7.5602799999999997</v>
      </c>
      <c r="D2685" s="526" t="s">
        <v>2876</v>
      </c>
      <c r="E2685" s="526" t="s">
        <v>3904</v>
      </c>
      <c r="F2685" s="526" t="s">
        <v>1243</v>
      </c>
      <c r="G2685" s="526" t="s">
        <v>3905</v>
      </c>
      <c r="H2685" s="412">
        <v>209.33678</v>
      </c>
      <c r="I2685" s="411">
        <v>7.5602799999999997</v>
      </c>
      <c r="J2685" s="411">
        <v>25.680399999999999</v>
      </c>
      <c r="K2685" s="411">
        <v>2878.00407</v>
      </c>
      <c r="L2685" s="526" t="s">
        <v>553</v>
      </c>
    </row>
    <row r="2686" spans="1:12" ht="15" x14ac:dyDescent="0.25">
      <c r="A2686">
        <v>135156</v>
      </c>
      <c r="B2686" t="str">
        <f t="shared" si="116"/>
        <v>SEVROLL okrasná lišta S10 3m strieborná</v>
      </c>
      <c r="C2686" s="198">
        <f t="shared" si="117"/>
        <v>3.3801899999999998</v>
      </c>
      <c r="D2686" s="526" t="s">
        <v>2877</v>
      </c>
      <c r="E2686" s="526" t="s">
        <v>3650</v>
      </c>
      <c r="F2686" s="526" t="s">
        <v>1244</v>
      </c>
      <c r="G2686" s="526" t="s">
        <v>3651</v>
      </c>
      <c r="H2686" s="412">
        <v>93.594260000000006</v>
      </c>
      <c r="I2686" s="411">
        <v>3.3801899999999998</v>
      </c>
      <c r="J2686" s="411">
        <v>12.0054</v>
      </c>
      <c r="K2686" s="411">
        <v>1286.75281</v>
      </c>
      <c r="L2686" s="526" t="s">
        <v>553</v>
      </c>
    </row>
    <row r="2687" spans="1:12" ht="15" x14ac:dyDescent="0.25">
      <c r="A2687">
        <v>135157</v>
      </c>
      <c r="B2687" t="str">
        <f t="shared" si="116"/>
        <v>SEVROLL okrasná lišta S10 3m oliva</v>
      </c>
      <c r="C2687" s="198">
        <f t="shared" si="117"/>
        <v>4.22525</v>
      </c>
      <c r="D2687" s="526" t="s">
        <v>2878</v>
      </c>
      <c r="E2687" s="526" t="s">
        <v>3691</v>
      </c>
      <c r="F2687" s="526" t="s">
        <v>1245</v>
      </c>
      <c r="G2687" s="526" t="s">
        <v>3692</v>
      </c>
      <c r="H2687" s="412">
        <v>117.17144</v>
      </c>
      <c r="I2687" s="411">
        <v>4.22525</v>
      </c>
      <c r="J2687" s="411">
        <v>14.555400000000001</v>
      </c>
      <c r="K2687" s="411">
        <v>1608.4412199999999</v>
      </c>
      <c r="L2687" s="526" t="s">
        <v>553</v>
      </c>
    </row>
    <row r="2688" spans="1:12" ht="15" x14ac:dyDescent="0.25">
      <c r="A2688">
        <v>135164</v>
      </c>
      <c r="B2688" t="str">
        <f t="shared" si="116"/>
        <v>SEVROLL 20032-SV tesnenie na sklo 10/4,5mm</v>
      </c>
      <c r="C2688" s="198">
        <f t="shared" si="117"/>
        <v>0.79988999999999999</v>
      </c>
      <c r="D2688" s="526" t="s">
        <v>2879</v>
      </c>
      <c r="E2688" s="526" t="s">
        <v>5629</v>
      </c>
      <c r="F2688" s="526" t="s">
        <v>5630</v>
      </c>
      <c r="G2688" s="526" t="s">
        <v>5631</v>
      </c>
      <c r="H2688" s="412">
        <v>23.502649999999999</v>
      </c>
      <c r="I2688" s="411">
        <v>0.79988999999999999</v>
      </c>
      <c r="J2688" s="411">
        <v>2.7501000000000002</v>
      </c>
      <c r="K2688" s="411">
        <v>310.71307999999999</v>
      </c>
      <c r="L2688" s="526" t="s">
        <v>553</v>
      </c>
    </row>
    <row r="2689" spans="1:12" ht="15" x14ac:dyDescent="0.25">
      <c r="A2689">
        <v>135342</v>
      </c>
      <c r="B2689" t="str">
        <f t="shared" si="116"/>
        <v>SEVROLL Julia II úch.lišta 2,7m oliva</v>
      </c>
      <c r="C2689" s="198">
        <f t="shared" si="117"/>
        <v>21.597110000000001</v>
      </c>
      <c r="D2689" s="526" t="s">
        <v>2880</v>
      </c>
      <c r="E2689" s="526" t="s">
        <v>4512</v>
      </c>
      <c r="F2689" s="526" t="s">
        <v>1261</v>
      </c>
      <c r="G2689" s="526" t="s">
        <v>4513</v>
      </c>
      <c r="H2689" s="412">
        <v>598.00301999999999</v>
      </c>
      <c r="I2689" s="411">
        <v>21.597110000000001</v>
      </c>
      <c r="J2689" s="411">
        <v>72.893100000000004</v>
      </c>
      <c r="K2689" s="411">
        <v>8221.4661300000007</v>
      </c>
      <c r="L2689" s="526" t="s">
        <v>553</v>
      </c>
    </row>
    <row r="2690" spans="1:12" ht="15" x14ac:dyDescent="0.25">
      <c r="A2690">
        <v>135344</v>
      </c>
      <c r="B2690" t="str">
        <f t="shared" si="116"/>
        <v>SEVROLL Julia II úch.lišta 2,7m strieborná</v>
      </c>
      <c r="C2690" s="198">
        <f t="shared" si="117"/>
        <v>17.27769</v>
      </c>
      <c r="D2690" s="526" t="s">
        <v>2881</v>
      </c>
      <c r="E2690" s="526" t="s">
        <v>4457</v>
      </c>
      <c r="F2690" s="526" t="s">
        <v>1260</v>
      </c>
      <c r="G2690" s="526" t="s">
        <v>4458</v>
      </c>
      <c r="H2690" s="412">
        <v>478.68819999999999</v>
      </c>
      <c r="I2690" s="411">
        <v>17.27769</v>
      </c>
      <c r="J2690" s="411">
        <v>65.637</v>
      </c>
      <c r="K2690" s="411">
        <v>6577.1727600000004</v>
      </c>
      <c r="L2690" s="526" t="s">
        <v>553</v>
      </c>
    </row>
    <row r="2691" spans="1:12" ht="15" x14ac:dyDescent="0.25">
      <c r="A2691">
        <v>135345</v>
      </c>
      <c r="B2691" t="str">
        <f t="shared" si="116"/>
        <v>SEVROLL Julia II úch.lišta 2,7m zlatá</v>
      </c>
      <c r="C2691" s="198">
        <f t="shared" si="117"/>
        <v>13.655749999999999</v>
      </c>
      <c r="D2691" s="526" t="s">
        <v>2882</v>
      </c>
      <c r="E2691" s="526" t="s">
        <v>4488</v>
      </c>
      <c r="F2691" s="526" t="s">
        <v>1170</v>
      </c>
      <c r="G2691" s="526" t="s">
        <v>4489</v>
      </c>
      <c r="H2691" s="412" t="e">
        <v>#N/A</v>
      </c>
      <c r="I2691" s="411">
        <v>13.655749999999999</v>
      </c>
      <c r="J2691" s="411">
        <v>0</v>
      </c>
      <c r="K2691" s="411">
        <v>0</v>
      </c>
      <c r="L2691" s="526" t="e">
        <v>#N/A</v>
      </c>
    </row>
    <row r="2692" spans="1:12" ht="15" x14ac:dyDescent="0.25">
      <c r="A2692">
        <v>135365</v>
      </c>
      <c r="B2692" t="str">
        <f t="shared" si="116"/>
        <v>SEVROLL Romeo II úch.lišta 2,7m oliva</v>
      </c>
      <c r="C2692" s="198">
        <f t="shared" si="117"/>
        <v>22.11317</v>
      </c>
      <c r="D2692" s="526" t="s">
        <v>2883</v>
      </c>
      <c r="E2692" s="526" t="s">
        <v>4514</v>
      </c>
      <c r="F2692" s="526" t="s">
        <v>1236</v>
      </c>
      <c r="G2692" s="526" t="s">
        <v>4515</v>
      </c>
      <c r="H2692" s="412">
        <v>612.29222000000004</v>
      </c>
      <c r="I2692" s="411">
        <v>22.11317</v>
      </c>
      <c r="J2692" s="411">
        <v>75.016199999999998</v>
      </c>
      <c r="K2692" s="411">
        <v>8417.9169299999994</v>
      </c>
      <c r="L2692" s="526" t="s">
        <v>553</v>
      </c>
    </row>
    <row r="2693" spans="1:12" ht="15" x14ac:dyDescent="0.25">
      <c r="A2693">
        <v>135366</v>
      </c>
      <c r="B2693" t="str">
        <f t="shared" si="116"/>
        <v>SEVROLL ROMEO II ÚCH.LIŠTA 2,7 M STR.</v>
      </c>
      <c r="C2693" s="198">
        <f t="shared" si="117"/>
        <v>17.27769</v>
      </c>
      <c r="D2693" s="526" t="s">
        <v>2884</v>
      </c>
      <c r="E2693" s="526" t="s">
        <v>4459</v>
      </c>
      <c r="F2693" s="526" t="s">
        <v>2203</v>
      </c>
      <c r="G2693" s="526" t="s">
        <v>4460</v>
      </c>
      <c r="H2693" s="412">
        <v>478.68819999999999</v>
      </c>
      <c r="I2693" s="411">
        <v>17.27769</v>
      </c>
      <c r="J2693" s="411">
        <v>65.637</v>
      </c>
      <c r="K2693" s="411">
        <v>6577.1727600000004</v>
      </c>
      <c r="L2693" s="526" t="s">
        <v>553</v>
      </c>
    </row>
    <row r="2694" spans="1:12" ht="15" x14ac:dyDescent="0.25">
      <c r="A2694">
        <v>135367</v>
      </c>
      <c r="B2694" t="str">
        <f t="shared" si="116"/>
        <v>SEVROLL Romeo II úchytová lišta 2,7m zlatá</v>
      </c>
      <c r="C2694" s="198">
        <f t="shared" si="117"/>
        <v>13.655749999999999</v>
      </c>
      <c r="D2694" s="526" t="s">
        <v>2885</v>
      </c>
      <c r="E2694" s="526" t="s">
        <v>4490</v>
      </c>
      <c r="F2694" s="526" t="s">
        <v>1129</v>
      </c>
      <c r="G2694" s="526" t="s">
        <v>4491</v>
      </c>
      <c r="H2694" s="412" t="e">
        <v>#N/A</v>
      </c>
      <c r="I2694" s="411">
        <v>13.655749999999999</v>
      </c>
      <c r="J2694" s="411">
        <v>0</v>
      </c>
      <c r="K2694" s="411">
        <v>0</v>
      </c>
      <c r="L2694" s="526" t="e">
        <v>#N/A</v>
      </c>
    </row>
    <row r="2695" spans="1:12" ht="15" x14ac:dyDescent="0.25">
      <c r="A2695">
        <v>135503</v>
      </c>
      <c r="B2695" t="str">
        <f t="shared" si="116"/>
        <v>SEVROLL 04548 Factor 18 II úchytová lišta 2,7m oliva</v>
      </c>
      <c r="C2695" s="198">
        <f t="shared" si="117"/>
        <v>12.54026</v>
      </c>
      <c r="D2695" s="526" t="s">
        <v>2886</v>
      </c>
      <c r="E2695" s="526" t="s">
        <v>4124</v>
      </c>
      <c r="F2695" s="526" t="s">
        <v>2886</v>
      </c>
      <c r="G2695" s="526" t="s">
        <v>4125</v>
      </c>
      <c r="H2695" s="412">
        <v>347.22755999999998</v>
      </c>
      <c r="I2695" s="411">
        <v>12.54026</v>
      </c>
      <c r="J2695" s="411">
        <v>42.2928</v>
      </c>
      <c r="K2695" s="411">
        <v>4773.7545099999998</v>
      </c>
      <c r="L2695" s="526" t="s">
        <v>553</v>
      </c>
    </row>
    <row r="2696" spans="1:12" ht="15" x14ac:dyDescent="0.25">
      <c r="A2696">
        <v>135504</v>
      </c>
      <c r="B2696" t="str">
        <f t="shared" si="116"/>
        <v>SEVROLL Factor 18 II-úchytová lišta zlatá 2,</v>
      </c>
      <c r="C2696" s="198">
        <f t="shared" si="117"/>
        <v>7.3723099999999997</v>
      </c>
      <c r="D2696" s="526" t="s">
        <v>2887</v>
      </c>
      <c r="E2696" s="526" t="s">
        <v>4097</v>
      </c>
      <c r="F2696" s="526" t="s">
        <v>1085</v>
      </c>
      <c r="G2696" s="526" t="s">
        <v>4098</v>
      </c>
      <c r="H2696" s="412" t="e">
        <v>#N/A</v>
      </c>
      <c r="I2696" s="411">
        <v>7.3723099999999997</v>
      </c>
      <c r="J2696" s="411">
        <v>0</v>
      </c>
      <c r="K2696" s="411">
        <v>0</v>
      </c>
      <c r="L2696" s="526" t="e">
        <v>#N/A</v>
      </c>
    </row>
    <row r="2697" spans="1:12" ht="15" x14ac:dyDescent="0.25">
      <c r="A2697">
        <v>135505</v>
      </c>
      <c r="B2697" t="str">
        <f t="shared" si="116"/>
        <v>SEVROLL 04545 Factor 16 II úchytová lišta 2,7m oliva</v>
      </c>
      <c r="C2697" s="198">
        <f t="shared" si="117"/>
        <v>12.675739999999999</v>
      </c>
      <c r="D2697" s="526" t="s">
        <v>2888</v>
      </c>
      <c r="E2697" s="526" t="s">
        <v>4095</v>
      </c>
      <c r="F2697" s="526" t="s">
        <v>2888</v>
      </c>
      <c r="G2697" s="526" t="s">
        <v>4096</v>
      </c>
      <c r="H2697" s="412">
        <v>350.79986000000002</v>
      </c>
      <c r="I2697" s="411">
        <v>12.675739999999999</v>
      </c>
      <c r="J2697" s="411">
        <v>79.866</v>
      </c>
      <c r="K2697" s="411">
        <v>4825.32287</v>
      </c>
      <c r="L2697" s="526" t="s">
        <v>554</v>
      </c>
    </row>
    <row r="2698" spans="1:12" ht="15" x14ac:dyDescent="0.25">
      <c r="A2698">
        <v>135506</v>
      </c>
      <c r="B2698" t="str">
        <f t="shared" si="116"/>
        <v>SEVROLL 04546 Factor 16 II úchytová lišta 2,7m strieborná</v>
      </c>
      <c r="C2698" s="198">
        <f t="shared" si="117"/>
        <v>10.14058</v>
      </c>
      <c r="D2698" s="526" t="s">
        <v>2889</v>
      </c>
      <c r="E2698" s="526" t="s">
        <v>3992</v>
      </c>
      <c r="F2698" s="526" t="s">
        <v>3993</v>
      </c>
      <c r="G2698" s="526" t="s">
        <v>3994</v>
      </c>
      <c r="H2698" s="412">
        <v>280.78278</v>
      </c>
      <c r="I2698" s="411">
        <v>10.14058</v>
      </c>
      <c r="J2698" s="411">
        <v>72.593400000000003</v>
      </c>
      <c r="K2698" s="411">
        <v>3860.2580699999999</v>
      </c>
      <c r="L2698" s="526" t="s">
        <v>554</v>
      </c>
    </row>
    <row r="2699" spans="1:12" ht="15" x14ac:dyDescent="0.25">
      <c r="A2699">
        <v>135532</v>
      </c>
      <c r="B2699" t="str">
        <f t="shared" si="116"/>
        <v>SEVROLL 05544 Victoria II úchytová lišta 18mm 2,7m strieborná</v>
      </c>
      <c r="C2699" s="198">
        <f t="shared" si="117"/>
        <v>16.359100000000002</v>
      </c>
      <c r="D2699" s="526" t="s">
        <v>2890</v>
      </c>
      <c r="E2699" s="526" t="s">
        <v>4446</v>
      </c>
      <c r="F2699" s="526" t="s">
        <v>4447</v>
      </c>
      <c r="G2699" s="526" t="s">
        <v>4448</v>
      </c>
      <c r="H2699" s="412">
        <v>452.96764000000002</v>
      </c>
      <c r="I2699" s="411">
        <v>16.359100000000002</v>
      </c>
      <c r="J2699" s="411">
        <v>58.884599999999999</v>
      </c>
      <c r="K2699" s="411">
        <v>6227.4902899999997</v>
      </c>
      <c r="L2699" s="526" t="s">
        <v>553</v>
      </c>
    </row>
    <row r="2700" spans="1:12" ht="15" x14ac:dyDescent="0.25">
      <c r="A2700">
        <v>135534</v>
      </c>
      <c r="B2700" t="str">
        <f t="shared" si="116"/>
        <v>SEVROLL 04542 Victoria II úchytová lišta 18mm 2,7m oliva</v>
      </c>
      <c r="C2700" s="198">
        <f t="shared" si="117"/>
        <v>20.448879999999999</v>
      </c>
      <c r="D2700" s="526" t="s">
        <v>2891</v>
      </c>
      <c r="E2700" s="526" t="s">
        <v>4508</v>
      </c>
      <c r="F2700" s="526" t="s">
        <v>2891</v>
      </c>
      <c r="G2700" s="526" t="s">
        <v>4509</v>
      </c>
      <c r="H2700" s="412">
        <v>566.56677999999999</v>
      </c>
      <c r="I2700" s="411">
        <v>20.448879999999999</v>
      </c>
      <c r="J2700" s="411">
        <v>69.193200000000004</v>
      </c>
      <c r="K2700" s="411">
        <v>7784.3631500000001</v>
      </c>
      <c r="L2700" s="526" t="s">
        <v>553</v>
      </c>
    </row>
    <row r="2701" spans="1:12" ht="15" x14ac:dyDescent="0.25">
      <c r="A2701">
        <v>135538</v>
      </c>
      <c r="B2701" t="str">
        <f t="shared" si="116"/>
        <v>SEVROLL Viktoria II úch.list.18mm 2,7m zlatá</v>
      </c>
      <c r="C2701" s="198">
        <f t="shared" si="117"/>
        <v>13.13405</v>
      </c>
      <c r="D2701" s="526" t="s">
        <v>2892</v>
      </c>
      <c r="E2701" s="526" t="s">
        <v>4480</v>
      </c>
      <c r="F2701" s="526" t="s">
        <v>1069</v>
      </c>
      <c r="G2701" s="526" t="s">
        <v>4481</v>
      </c>
      <c r="H2701" s="412" t="e">
        <v>#N/A</v>
      </c>
      <c r="I2701" s="411">
        <v>13.13405</v>
      </c>
      <c r="J2701" s="411">
        <v>0</v>
      </c>
      <c r="K2701" s="411">
        <v>0</v>
      </c>
      <c r="L2701" s="526" t="e">
        <v>#N/A</v>
      </c>
    </row>
    <row r="2702" spans="1:12" ht="15" x14ac:dyDescent="0.25">
      <c r="A2702">
        <v>135552</v>
      </c>
      <c r="B2702" t="str">
        <f t="shared" si="116"/>
        <v>SEVROLL Minicomfort II úch.lišta 2,7m str.</v>
      </c>
      <c r="C2702" s="198">
        <f t="shared" si="117"/>
        <v>16.410710000000002</v>
      </c>
      <c r="D2702" s="526" t="s">
        <v>2893</v>
      </c>
      <c r="E2702" s="526" t="s">
        <v>4410</v>
      </c>
      <c r="F2702" s="526" t="s">
        <v>1248</v>
      </c>
      <c r="G2702" s="526" t="s">
        <v>4411</v>
      </c>
      <c r="H2702" s="412">
        <v>454.39656000000002</v>
      </c>
      <c r="I2702" s="411">
        <v>16.410710000000002</v>
      </c>
      <c r="J2702" s="411">
        <v>64.535399999999996</v>
      </c>
      <c r="K2702" s="411">
        <v>6247.1355100000001</v>
      </c>
      <c r="L2702" s="526" t="s">
        <v>553</v>
      </c>
    </row>
    <row r="2703" spans="1:12" ht="15" x14ac:dyDescent="0.25">
      <c r="A2703">
        <v>135553</v>
      </c>
      <c r="B2703" t="str">
        <f t="shared" si="116"/>
        <v>SEVROLL 02740 Minicomfort II úchytová lišta 2,7m oliva</v>
      </c>
      <c r="C2703" s="198">
        <f t="shared" si="117"/>
        <v>19.69286</v>
      </c>
      <c r="D2703" s="526" t="s">
        <v>2894</v>
      </c>
      <c r="E2703" s="526" t="s">
        <v>4455</v>
      </c>
      <c r="F2703" s="526" t="s">
        <v>2894</v>
      </c>
      <c r="G2703" s="526" t="s">
        <v>4456</v>
      </c>
      <c r="H2703" s="412">
        <v>545.13297999999998</v>
      </c>
      <c r="I2703" s="411">
        <v>19.69286</v>
      </c>
      <c r="J2703" s="411">
        <v>71.002200000000002</v>
      </c>
      <c r="K2703" s="411">
        <v>7496.5624100000005</v>
      </c>
      <c r="L2703" s="526" t="s">
        <v>554</v>
      </c>
    </row>
    <row r="2704" spans="1:12" ht="15" x14ac:dyDescent="0.25">
      <c r="A2704">
        <v>135555</v>
      </c>
      <c r="B2704" t="str">
        <f t="shared" si="116"/>
        <v>SEVROLL Comfort 18 II úch.lišta 2,7m str,</v>
      </c>
      <c r="C2704" s="198">
        <f t="shared" si="117"/>
        <v>23.563310000000001</v>
      </c>
      <c r="D2704" s="526" t="s">
        <v>2895</v>
      </c>
      <c r="E2704" s="526" t="s">
        <v>4655</v>
      </c>
      <c r="F2704" s="526" t="s">
        <v>1286</v>
      </c>
      <c r="G2704" s="526" t="s">
        <v>4656</v>
      </c>
      <c r="H2704" s="412">
        <v>652.30197999999996</v>
      </c>
      <c r="I2704" s="411">
        <v>23.563310000000001</v>
      </c>
      <c r="J2704" s="411">
        <v>92.779200000000003</v>
      </c>
      <c r="K2704" s="411">
        <v>8969.9434099999999</v>
      </c>
      <c r="L2704" s="526" t="s">
        <v>553</v>
      </c>
    </row>
    <row r="2705" spans="1:12" ht="15" x14ac:dyDescent="0.25">
      <c r="A2705">
        <v>135556</v>
      </c>
      <c r="B2705" t="str">
        <f t="shared" si="116"/>
        <v>SEVROLL 02721 Comfort 18 II úchytová lišta 2,7m oliva</v>
      </c>
      <c r="C2705" s="198">
        <f t="shared" si="117"/>
        <v>30.189509999999999</v>
      </c>
      <c r="D2705" s="526" t="s">
        <v>2896</v>
      </c>
      <c r="E2705" s="526" t="s">
        <v>4703</v>
      </c>
      <c r="F2705" s="526" t="s">
        <v>2896</v>
      </c>
      <c r="G2705" s="526" t="s">
        <v>4704</v>
      </c>
      <c r="H2705" s="412">
        <v>835.91819999999996</v>
      </c>
      <c r="I2705" s="411">
        <v>30.189509999999999</v>
      </c>
      <c r="J2705" s="411">
        <v>103.0515</v>
      </c>
      <c r="K2705" s="411">
        <v>11492.371800000001</v>
      </c>
      <c r="L2705" s="526" t="s">
        <v>554</v>
      </c>
    </row>
    <row r="2706" spans="1:12" ht="15" x14ac:dyDescent="0.25">
      <c r="A2706">
        <v>135684</v>
      </c>
      <c r="B2706" t="str">
        <f t="shared" si="116"/>
        <v>SEVROLL Unicomfort II úch.lišta 2,7m str.</v>
      </c>
      <c r="C2706" s="198">
        <f t="shared" si="117"/>
        <v>26.21585</v>
      </c>
      <c r="D2706" s="526" t="s">
        <v>2897</v>
      </c>
      <c r="E2706" s="526" t="s">
        <v>4714</v>
      </c>
      <c r="F2706" s="526" t="s">
        <v>1219</v>
      </c>
      <c r="G2706" s="526" t="s">
        <v>4715</v>
      </c>
      <c r="H2706" s="412">
        <v>725.89135999999996</v>
      </c>
      <c r="I2706" s="411">
        <v>26.21585</v>
      </c>
      <c r="J2706" s="411">
        <v>89.851799999999997</v>
      </c>
      <c r="K2706" s="411">
        <v>9979.7007099999992</v>
      </c>
      <c r="L2706" s="526" t="s">
        <v>553</v>
      </c>
    </row>
    <row r="2707" spans="1:12" ht="15" x14ac:dyDescent="0.25">
      <c r="A2707">
        <v>135685</v>
      </c>
      <c r="B2707" t="str">
        <f t="shared" si="116"/>
        <v>SEVROLL 02726 Unicomfort II úchytová lišta 2,7m oliva</v>
      </c>
      <c r="C2707" s="198">
        <f t="shared" si="117"/>
        <v>30.344329999999999</v>
      </c>
      <c r="D2707" s="526" t="s">
        <v>2898</v>
      </c>
      <c r="E2707" s="526" t="s">
        <v>4733</v>
      </c>
      <c r="F2707" s="526" t="s">
        <v>2898</v>
      </c>
      <c r="G2707" s="526" t="s">
        <v>4734</v>
      </c>
      <c r="H2707" s="412">
        <v>840.20496000000003</v>
      </c>
      <c r="I2707" s="411">
        <v>30.344329999999999</v>
      </c>
      <c r="J2707" s="411">
        <v>102.69280000000001</v>
      </c>
      <c r="K2707" s="411">
        <v>11551.30711</v>
      </c>
      <c r="L2707" s="526" t="s">
        <v>554</v>
      </c>
    </row>
    <row r="2708" spans="1:12" ht="15" x14ac:dyDescent="0.25">
      <c r="A2708">
        <v>135706</v>
      </c>
      <c r="B2708" t="str">
        <f t="shared" si="116"/>
        <v>SEVROLL 04551 Faworyt II úchytová lišta 2,7m oliva</v>
      </c>
      <c r="C2708" s="198">
        <f t="shared" si="117"/>
        <v>15.997859999999999</v>
      </c>
      <c r="D2708" s="526" t="s">
        <v>2899</v>
      </c>
      <c r="E2708" s="526" t="s">
        <v>5258</v>
      </c>
      <c r="F2708" s="526" t="s">
        <v>2899</v>
      </c>
      <c r="G2708" s="526" t="s">
        <v>5259</v>
      </c>
      <c r="H2708" s="412">
        <v>442.96519999999998</v>
      </c>
      <c r="I2708" s="411">
        <v>15.997859999999999</v>
      </c>
      <c r="J2708" s="411">
        <v>54.325600000000001</v>
      </c>
      <c r="K2708" s="411">
        <v>6089.9748</v>
      </c>
      <c r="L2708" s="526" t="s">
        <v>553</v>
      </c>
    </row>
    <row r="2709" spans="1:12" ht="15" x14ac:dyDescent="0.25">
      <c r="A2709">
        <v>135709</v>
      </c>
      <c r="B2709" t="str">
        <f t="shared" si="116"/>
        <v>SEVROLL 02718 Comfort 16 II úchytová lišta 2,7m strieborná</v>
      </c>
      <c r="C2709" s="198">
        <f t="shared" si="117"/>
        <v>23.563310000000001</v>
      </c>
      <c r="D2709" s="526" t="s">
        <v>2900</v>
      </c>
      <c r="E2709" s="526" t="s">
        <v>4611</v>
      </c>
      <c r="F2709" s="526" t="s">
        <v>4612</v>
      </c>
      <c r="G2709" s="526" t="s">
        <v>4613</v>
      </c>
      <c r="H2709" s="412">
        <v>652.30197999999996</v>
      </c>
      <c r="I2709" s="411">
        <v>23.563310000000001</v>
      </c>
      <c r="J2709" s="411">
        <v>92.779200000000003</v>
      </c>
      <c r="K2709" s="411">
        <v>8969.9434099999999</v>
      </c>
      <c r="L2709" s="526" t="s">
        <v>554</v>
      </c>
    </row>
    <row r="2710" spans="1:12" ht="15" x14ac:dyDescent="0.25">
      <c r="A2710">
        <v>135710</v>
      </c>
      <c r="B2710" t="str">
        <f t="shared" si="116"/>
        <v>SEVROLL 02717 Comfort 16 II úchytová lišta 2,7m oliva</v>
      </c>
      <c r="C2710" s="198">
        <f t="shared" si="117"/>
        <v>30.189509999999999</v>
      </c>
      <c r="D2710" s="526" t="s">
        <v>2901</v>
      </c>
      <c r="E2710" s="526" t="s">
        <v>4701</v>
      </c>
      <c r="F2710" s="526" t="s">
        <v>2901</v>
      </c>
      <c r="G2710" s="526" t="s">
        <v>4702</v>
      </c>
      <c r="H2710" s="412">
        <v>835.91819999999996</v>
      </c>
      <c r="I2710" s="411">
        <v>30.189509999999999</v>
      </c>
      <c r="J2710" s="411">
        <v>103.0515</v>
      </c>
      <c r="K2710" s="411">
        <v>11492.371800000001</v>
      </c>
      <c r="L2710" s="526" t="s">
        <v>554</v>
      </c>
    </row>
    <row r="2711" spans="1:12" ht="15" x14ac:dyDescent="0.25">
      <c r="A2711">
        <v>143983</v>
      </c>
      <c r="B2711" t="str">
        <f t="shared" si="116"/>
        <v>SEVROLL ERGO 18 UCH.LIŠTA.2,70m STR.</v>
      </c>
      <c r="C2711" s="198">
        <f t="shared" si="117"/>
        <v>7.3796600000000003</v>
      </c>
      <c r="D2711" s="526" t="s">
        <v>2902</v>
      </c>
      <c r="E2711" s="526" t="s">
        <v>3930</v>
      </c>
      <c r="F2711" s="526" t="s">
        <v>3931</v>
      </c>
      <c r="G2711" s="526" t="s">
        <v>3932</v>
      </c>
      <c r="H2711" s="412">
        <v>215.76692</v>
      </c>
      <c r="I2711" s="411">
        <v>7.3796600000000003</v>
      </c>
      <c r="J2711" s="411">
        <v>33.579320000000003</v>
      </c>
      <c r="K2711" s="411">
        <v>2809.2465099999999</v>
      </c>
      <c r="L2711" s="526" t="s">
        <v>553</v>
      </c>
    </row>
    <row r="2712" spans="1:12" ht="15" x14ac:dyDescent="0.25">
      <c r="A2712">
        <v>143984</v>
      </c>
      <c r="B2712" t="str">
        <f t="shared" si="116"/>
        <v>SEVROLL ERGO UCH.LIŠTA.2,70m OLIVOVÁ</v>
      </c>
      <c r="C2712" s="198">
        <f t="shared" si="117"/>
        <v>9.2374700000000001</v>
      </c>
      <c r="D2712" s="526" t="s">
        <v>2903</v>
      </c>
      <c r="E2712" s="526" t="s">
        <v>4019</v>
      </c>
      <c r="F2712" s="526" t="s">
        <v>4020</v>
      </c>
      <c r="G2712" s="526" t="s">
        <v>4021</v>
      </c>
      <c r="H2712" s="412">
        <v>287.92738000000003</v>
      </c>
      <c r="I2712" s="411">
        <v>9.2374700000000001</v>
      </c>
      <c r="J2712" s="411">
        <v>41.357080000000003</v>
      </c>
      <c r="K2712" s="411">
        <v>3516.4691699999998</v>
      </c>
      <c r="L2712" s="526" t="s">
        <v>553</v>
      </c>
    </row>
    <row r="2713" spans="1:12" ht="15" x14ac:dyDescent="0.25">
      <c r="A2713">
        <v>154168</v>
      </c>
      <c r="B2713" t="str">
        <f t="shared" si="116"/>
        <v>SEVROLL profil "U" pre lamino 36mm strieborná 3m</v>
      </c>
      <c r="C2713" s="198">
        <f t="shared" si="117"/>
        <v>13.39176</v>
      </c>
      <c r="D2713" s="526" t="s">
        <v>2904</v>
      </c>
      <c r="E2713" s="526" t="s">
        <v>4354</v>
      </c>
      <c r="F2713" s="526" t="s">
        <v>4355</v>
      </c>
      <c r="G2713" s="526" t="s">
        <v>4356</v>
      </c>
      <c r="H2713" s="412">
        <v>370.80473999999998</v>
      </c>
      <c r="I2713" s="411">
        <v>13.39176</v>
      </c>
      <c r="J2713" s="411">
        <v>47.144399999999997</v>
      </c>
      <c r="K2713" s="411">
        <v>5097.8981899999999</v>
      </c>
      <c r="L2713" s="526" t="s">
        <v>553</v>
      </c>
    </row>
    <row r="2714" spans="1:12" ht="15" x14ac:dyDescent="0.25">
      <c r="A2714">
        <v>157362</v>
      </c>
      <c r="B2714" t="str">
        <f t="shared" si="116"/>
        <v>ASTIN horné vedenie 3,6m kartáč.ČIERNA</v>
      </c>
      <c r="C2714" s="198">
        <f t="shared" si="117"/>
        <v>0</v>
      </c>
      <c r="D2714" s="526" t="s">
        <v>1091</v>
      </c>
      <c r="E2714" s="526" t="s">
        <v>5080</v>
      </c>
      <c r="F2714" s="526" t="s">
        <v>1092</v>
      </c>
      <c r="G2714" s="526" t="s">
        <v>5081</v>
      </c>
      <c r="H2714" s="412" t="e">
        <v>#N/A</v>
      </c>
      <c r="I2714" s="411">
        <v>0</v>
      </c>
      <c r="J2714" s="411">
        <v>240.54835</v>
      </c>
      <c r="K2714" s="411">
        <v>0</v>
      </c>
      <c r="L2714" s="526" t="e">
        <v>#N/A</v>
      </c>
    </row>
    <row r="2715" spans="1:12" ht="15" x14ac:dyDescent="0.25">
      <c r="A2715">
        <v>158010</v>
      </c>
      <c r="B2715" t="str">
        <f t="shared" si="116"/>
        <v>SEVROLL 214-380 Herkules plus horné vedenie 1,2m</v>
      </c>
      <c r="C2715" s="198" t="e">
        <f t="shared" si="117"/>
        <v>#N/A</v>
      </c>
      <c r="D2715" s="526" t="s">
        <v>1502</v>
      </c>
      <c r="E2715" s="526" t="s">
        <v>1932</v>
      </c>
      <c r="F2715" s="526" t="s">
        <v>6008</v>
      </c>
      <c r="G2715" s="526" t="s">
        <v>2459</v>
      </c>
      <c r="H2715" s="412" t="e">
        <v>#N/A</v>
      </c>
      <c r="I2715" s="411" t="e">
        <v>#N/A</v>
      </c>
      <c r="J2715" s="411" t="e">
        <v>#N/A</v>
      </c>
      <c r="K2715" s="411" t="e">
        <v>#N/A</v>
      </c>
      <c r="L2715" s="526" t="e">
        <v>#N/A</v>
      </c>
    </row>
    <row r="2716" spans="1:12" ht="15" x14ac:dyDescent="0.25">
      <c r="A2716">
        <v>158012</v>
      </c>
      <c r="B2716" t="str">
        <f t="shared" si="116"/>
        <v>SEVROLL 215-093 vozík HP40 Herkules plus</v>
      </c>
      <c r="C2716" s="198" t="e">
        <f t="shared" si="117"/>
        <v>#N/A</v>
      </c>
      <c r="D2716" s="526" t="s">
        <v>1503</v>
      </c>
      <c r="E2716" s="526" t="s">
        <v>1933</v>
      </c>
      <c r="F2716" s="526" t="s">
        <v>1503</v>
      </c>
      <c r="G2716" s="526" t="s">
        <v>2460</v>
      </c>
      <c r="H2716" s="412" t="e">
        <v>#N/A</v>
      </c>
      <c r="I2716" s="411" t="e">
        <v>#N/A</v>
      </c>
      <c r="J2716" s="411" t="e">
        <v>#N/A</v>
      </c>
      <c r="K2716" s="411" t="e">
        <v>#N/A</v>
      </c>
      <c r="L2716" s="526" t="e">
        <v>#N/A</v>
      </c>
    </row>
    <row r="2717" spans="1:12" ht="15" x14ac:dyDescent="0.25">
      <c r="A2717">
        <v>158014</v>
      </c>
      <c r="B2717" t="str">
        <f t="shared" si="116"/>
        <v>SEVROLL 134-121 Záves dverí 25kg</v>
      </c>
      <c r="C2717" s="198">
        <f t="shared" si="117"/>
        <v>2.6835100000000001</v>
      </c>
      <c r="D2717" s="526" t="s">
        <v>1504</v>
      </c>
      <c r="E2717" s="526" t="s">
        <v>1934</v>
      </c>
      <c r="F2717" s="526" t="s">
        <v>6009</v>
      </c>
      <c r="G2717" s="526" t="s">
        <v>2461</v>
      </c>
      <c r="H2717" s="412">
        <v>70.8292</v>
      </c>
      <c r="I2717" s="411">
        <v>2.6835100000000001</v>
      </c>
      <c r="J2717" s="411">
        <v>9.2333099999999995</v>
      </c>
      <c r="K2717" s="411">
        <v>988.2</v>
      </c>
      <c r="L2717" s="526" t="s">
        <v>554</v>
      </c>
    </row>
    <row r="2718" spans="1:12" ht="15" x14ac:dyDescent="0.25">
      <c r="A2718">
        <v>159409</v>
      </c>
      <c r="B2718" t="str">
        <f t="shared" si="116"/>
        <v>SEVROLL 04595 Gemini II spodné vedenie  6m strieborná</v>
      </c>
      <c r="C2718" s="198">
        <f t="shared" si="117"/>
        <v>28.35491</v>
      </c>
      <c r="D2718" s="526" t="s">
        <v>2905</v>
      </c>
      <c r="E2718" s="526" t="s">
        <v>4798</v>
      </c>
      <c r="F2718" s="526" t="s">
        <v>4799</v>
      </c>
      <c r="G2718" s="526" t="s">
        <v>4800</v>
      </c>
      <c r="H2718" s="412">
        <v>785.12009</v>
      </c>
      <c r="I2718" s="411">
        <v>28.35491</v>
      </c>
      <c r="J2718" s="411">
        <v>105.53084</v>
      </c>
      <c r="K2718" s="411">
        <v>10793.98913</v>
      </c>
      <c r="L2718" s="526" t="s">
        <v>553</v>
      </c>
    </row>
    <row r="2719" spans="1:12" ht="15" x14ac:dyDescent="0.25">
      <c r="A2719">
        <v>162316</v>
      </c>
      <c r="B2719" t="str">
        <f t="shared" si="116"/>
        <v>SEVROLL 00902 First horné/spodné vedenie 1,8m oliva</v>
      </c>
      <c r="C2719" s="198">
        <f t="shared" si="117"/>
        <v>8.6852900000000002</v>
      </c>
      <c r="D2719" s="526" t="s">
        <v>2906</v>
      </c>
      <c r="E2719" s="526" t="s">
        <v>3878</v>
      </c>
      <c r="F2719" s="526" t="s">
        <v>3879</v>
      </c>
      <c r="G2719" s="526" t="s">
        <v>3880</v>
      </c>
      <c r="H2719" s="412">
        <v>240.48724000000001</v>
      </c>
      <c r="I2719" s="411">
        <v>8.6852900000000002</v>
      </c>
      <c r="J2719" s="411">
        <v>32.609400000000001</v>
      </c>
      <c r="K2719" s="411">
        <v>3306.2670899999998</v>
      </c>
      <c r="L2719" s="526" t="s">
        <v>554</v>
      </c>
    </row>
    <row r="2720" spans="1:12" ht="15" x14ac:dyDescent="0.25">
      <c r="A2720">
        <v>162670</v>
      </c>
      <c r="B2720" t="str">
        <f t="shared" si="116"/>
        <v>SEVROLL MASKA DOUBLER II 4,05 M striebor</v>
      </c>
      <c r="C2720" s="198">
        <f t="shared" si="117"/>
        <v>11.04368</v>
      </c>
      <c r="D2720" s="526" t="s">
        <v>2907</v>
      </c>
      <c r="E2720" s="526" t="s">
        <v>4160</v>
      </c>
      <c r="F2720" s="526" t="s">
        <v>4161</v>
      </c>
      <c r="G2720" s="526" t="s">
        <v>4162</v>
      </c>
      <c r="H2720" s="412">
        <v>305.78888000000001</v>
      </c>
      <c r="I2720" s="411">
        <v>11.04368</v>
      </c>
      <c r="J2720" s="411">
        <v>38.943600000000004</v>
      </c>
      <c r="K2720" s="411">
        <v>4204.0469700000003</v>
      </c>
      <c r="L2720" s="526" t="s">
        <v>553</v>
      </c>
    </row>
    <row r="2721" spans="1:12" ht="15" x14ac:dyDescent="0.25">
      <c r="A2721">
        <v>163106</v>
      </c>
      <c r="B2721" t="str">
        <f t="shared" si="116"/>
        <v>SEVROLL 02849 Doubler II spodné vedenie 1,7m strieborná</v>
      </c>
      <c r="C2721" s="198">
        <f t="shared" si="117"/>
        <v>14.34647</v>
      </c>
      <c r="D2721" s="526" t="s">
        <v>2908</v>
      </c>
      <c r="E2721" s="526" t="s">
        <v>4351</v>
      </c>
      <c r="F2721" s="526" t="s">
        <v>4352</v>
      </c>
      <c r="G2721" s="526" t="s">
        <v>4353</v>
      </c>
      <c r="H2721" s="412">
        <v>397.23975999999999</v>
      </c>
      <c r="I2721" s="411">
        <v>14.34647</v>
      </c>
      <c r="J2721" s="411">
        <v>53.335799999999999</v>
      </c>
      <c r="K2721" s="411">
        <v>5461.3323099999998</v>
      </c>
      <c r="L2721" s="526" t="s">
        <v>554</v>
      </c>
    </row>
    <row r="2722" spans="1:12" ht="15" x14ac:dyDescent="0.25">
      <c r="A2722">
        <v>163107</v>
      </c>
      <c r="B2722" t="str">
        <f t="shared" si="116"/>
        <v>SEVROLL Doubler II spodné vedenie 2,35m str.</v>
      </c>
      <c r="C2722" s="198">
        <f t="shared" si="117"/>
        <v>19.868310000000001</v>
      </c>
      <c r="D2722" s="526" t="s">
        <v>2909</v>
      </c>
      <c r="E2722" s="526" t="s">
        <v>4543</v>
      </c>
      <c r="F2722" s="526" t="s">
        <v>1281</v>
      </c>
      <c r="G2722" s="526" t="s">
        <v>4544</v>
      </c>
      <c r="H2722" s="412">
        <v>550.13419999999996</v>
      </c>
      <c r="I2722" s="411">
        <v>19.868310000000001</v>
      </c>
      <c r="J2722" s="411">
        <v>73.745999999999995</v>
      </c>
      <c r="K2722" s="411">
        <v>7563.3558000000003</v>
      </c>
      <c r="L2722" s="526" t="s">
        <v>553</v>
      </c>
    </row>
    <row r="2723" spans="1:12" ht="15" x14ac:dyDescent="0.25">
      <c r="A2723">
        <v>163108</v>
      </c>
      <c r="B2723" t="str">
        <f t="shared" si="116"/>
        <v>SEVROLL Doubler II spodné vedenie 3m str.</v>
      </c>
      <c r="C2723" s="198">
        <f t="shared" si="117"/>
        <v>25.364350000000002</v>
      </c>
      <c r="D2723" s="526" t="s">
        <v>2910</v>
      </c>
      <c r="E2723" s="526" t="s">
        <v>4725</v>
      </c>
      <c r="F2723" s="526" t="s">
        <v>1280</v>
      </c>
      <c r="G2723" s="526" t="s">
        <v>4726</v>
      </c>
      <c r="H2723" s="412">
        <v>702.31417999999996</v>
      </c>
      <c r="I2723" s="411">
        <v>25.364350000000002</v>
      </c>
      <c r="J2723" s="411">
        <v>94.115399999999994</v>
      </c>
      <c r="K2723" s="411">
        <v>9655.5566699999999</v>
      </c>
      <c r="L2723" s="526" t="s">
        <v>553</v>
      </c>
    </row>
    <row r="2724" spans="1:12" ht="15" x14ac:dyDescent="0.25">
      <c r="A2724">
        <v>163110</v>
      </c>
      <c r="B2724" t="str">
        <f t="shared" si="116"/>
        <v>SEVROLL 02853 Doubler II spodné vedenie 6m strieborná</v>
      </c>
      <c r="C2724" s="198">
        <f t="shared" si="117"/>
        <v>50.67709</v>
      </c>
      <c r="D2724" s="526" t="s">
        <v>2911</v>
      </c>
      <c r="E2724" s="526" t="s">
        <v>5000</v>
      </c>
      <c r="F2724" s="526" t="s">
        <v>5001</v>
      </c>
      <c r="G2724" s="526" t="s">
        <v>5002</v>
      </c>
      <c r="H2724" s="412">
        <v>1403.1994400000001</v>
      </c>
      <c r="I2724" s="411">
        <v>50.67709</v>
      </c>
      <c r="J2724" s="411">
        <v>188.25120000000001</v>
      </c>
      <c r="K2724" s="411">
        <v>19291.468489999999</v>
      </c>
      <c r="L2724" s="526" t="s">
        <v>554</v>
      </c>
    </row>
    <row r="2725" spans="1:12" ht="15" x14ac:dyDescent="0.25">
      <c r="A2725">
        <v>163111</v>
      </c>
      <c r="B2725" t="str">
        <f t="shared" si="116"/>
        <v>SEVROLL 02844 Doubler II spodné vedenie 1,7m oliva</v>
      </c>
      <c r="C2725" s="198">
        <f t="shared" si="117"/>
        <v>17.93309</v>
      </c>
      <c r="D2725" s="526" t="s">
        <v>2912</v>
      </c>
      <c r="E2725" s="526" t="s">
        <v>4372</v>
      </c>
      <c r="F2725" s="526" t="s">
        <v>4373</v>
      </c>
      <c r="G2725" s="526" t="s">
        <v>4374</v>
      </c>
      <c r="H2725" s="412">
        <v>496.54969999999997</v>
      </c>
      <c r="I2725" s="411">
        <v>17.93309</v>
      </c>
      <c r="J2725" s="411">
        <v>60.417000000000002</v>
      </c>
      <c r="K2725" s="411">
        <v>6826.6652999999997</v>
      </c>
      <c r="L2725" s="526" t="s">
        <v>554</v>
      </c>
    </row>
    <row r="2726" spans="1:12" ht="15" x14ac:dyDescent="0.25">
      <c r="A2726">
        <v>163112</v>
      </c>
      <c r="B2726" t="str">
        <f t="shared" si="116"/>
        <v>SEVROLL 02845 Doubler II spodné vedenie 2,35m oliva</v>
      </c>
      <c r="C2726" s="198">
        <f t="shared" si="117"/>
        <v>24.83539</v>
      </c>
      <c r="D2726" s="526" t="s">
        <v>2913</v>
      </c>
      <c r="E2726" s="526" t="s">
        <v>4586</v>
      </c>
      <c r="F2726" s="526" t="s">
        <v>4587</v>
      </c>
      <c r="G2726" s="526" t="s">
        <v>4588</v>
      </c>
      <c r="H2726" s="412">
        <v>688.02498000000003</v>
      </c>
      <c r="I2726" s="411">
        <v>24.83539</v>
      </c>
      <c r="J2726" s="411">
        <v>84.27</v>
      </c>
      <c r="K2726" s="411">
        <v>9454.1949499999992</v>
      </c>
      <c r="L2726" s="526" t="s">
        <v>554</v>
      </c>
    </row>
    <row r="2727" spans="1:12" ht="15" x14ac:dyDescent="0.25">
      <c r="A2727">
        <v>163113</v>
      </c>
      <c r="B2727" t="str">
        <f t="shared" si="116"/>
        <v>SEVROLL 02846 Doubler II spodné vedenie 3m oliva</v>
      </c>
      <c r="C2727" s="198">
        <f t="shared" si="117"/>
        <v>31.705449999999999</v>
      </c>
      <c r="D2727" s="526" t="s">
        <v>2914</v>
      </c>
      <c r="E2727" s="526" t="s">
        <v>4743</v>
      </c>
      <c r="F2727" s="526" t="s">
        <v>4744</v>
      </c>
      <c r="G2727" s="526" t="s">
        <v>4745</v>
      </c>
      <c r="H2727" s="412">
        <v>878.07133999999996</v>
      </c>
      <c r="I2727" s="411">
        <v>31.705449999999999</v>
      </c>
      <c r="J2727" s="411">
        <v>107.59</v>
      </c>
      <c r="K2727" s="411">
        <v>12069.446319999999</v>
      </c>
      <c r="L2727" s="526" t="s">
        <v>554</v>
      </c>
    </row>
    <row r="2728" spans="1:12" ht="15" x14ac:dyDescent="0.25">
      <c r="A2728">
        <v>163114</v>
      </c>
      <c r="B2728" t="str">
        <f t="shared" si="116"/>
        <v>SEVROLL 02847 Doubler II spodné vedenie 4,05m oliva</v>
      </c>
      <c r="C2728" s="198">
        <f t="shared" si="117"/>
        <v>42.768470000000001</v>
      </c>
      <c r="D2728" s="526" t="s">
        <v>2915</v>
      </c>
      <c r="E2728" s="526" t="s">
        <v>4903</v>
      </c>
      <c r="F2728" s="526" t="s">
        <v>4904</v>
      </c>
      <c r="G2728" s="526" t="s">
        <v>4905</v>
      </c>
      <c r="H2728" s="412">
        <v>1184.5746799999999</v>
      </c>
      <c r="I2728" s="411">
        <v>42.768470000000001</v>
      </c>
      <c r="J2728" s="411">
        <v>145.24119999999999</v>
      </c>
      <c r="K2728" s="411">
        <v>16280.86025</v>
      </c>
      <c r="L2728" s="526" t="s">
        <v>554</v>
      </c>
    </row>
    <row r="2729" spans="1:12" ht="15" x14ac:dyDescent="0.25">
      <c r="A2729">
        <v>163115</v>
      </c>
      <c r="B2729" t="str">
        <f t="shared" si="116"/>
        <v>SEVROLL 02848 Doubler II spodné vedenie 6m oliva</v>
      </c>
      <c r="C2729" s="198">
        <f t="shared" si="117"/>
        <v>63.34637</v>
      </c>
      <c r="D2729" s="526" t="s">
        <v>2916</v>
      </c>
      <c r="E2729" s="526" t="s">
        <v>5024</v>
      </c>
      <c r="F2729" s="526" t="s">
        <v>5025</v>
      </c>
      <c r="G2729" s="526" t="s">
        <v>5026</v>
      </c>
      <c r="H2729" s="412">
        <v>1753.9992999999999</v>
      </c>
      <c r="I2729" s="411">
        <v>63.34637</v>
      </c>
      <c r="J2729" s="411">
        <v>215.1694</v>
      </c>
      <c r="K2729" s="411">
        <v>24114.3357</v>
      </c>
      <c r="L2729" s="526" t="s">
        <v>554</v>
      </c>
    </row>
    <row r="2730" spans="1:12" ht="15" x14ac:dyDescent="0.25">
      <c r="A2730">
        <v>163120</v>
      </c>
      <c r="B2730" t="str">
        <f t="shared" si="116"/>
        <v>SEVROLL Doubler II spodné vedenie 4,05m zlat</v>
      </c>
      <c r="C2730" s="198">
        <f t="shared" si="117"/>
        <v>33.317160000000001</v>
      </c>
      <c r="D2730" s="526" t="s">
        <v>2917</v>
      </c>
      <c r="E2730" s="526" t="s">
        <v>4906</v>
      </c>
      <c r="F2730" s="526" t="s">
        <v>1204</v>
      </c>
      <c r="G2730" s="526" t="s">
        <v>4907</v>
      </c>
      <c r="H2730" s="412" t="e">
        <v>#N/A</v>
      </c>
      <c r="I2730" s="411">
        <v>33.317160000000001</v>
      </c>
      <c r="J2730" s="411">
        <v>0</v>
      </c>
      <c r="K2730" s="411">
        <v>0</v>
      </c>
      <c r="L2730" s="526" t="e">
        <v>#N/A</v>
      </c>
    </row>
    <row r="2731" spans="1:12" ht="15" x14ac:dyDescent="0.25">
      <c r="A2731">
        <v>163122</v>
      </c>
      <c r="B2731" t="str">
        <f t="shared" si="116"/>
        <v>SEVROLL 02864 Doubler II maska 1,7m strieborná</v>
      </c>
      <c r="C2731" s="198">
        <f t="shared" si="117"/>
        <v>4.6703400000000004</v>
      </c>
      <c r="D2731" s="526" t="s">
        <v>2918</v>
      </c>
      <c r="E2731" s="526" t="s">
        <v>3747</v>
      </c>
      <c r="F2731" s="526" t="s">
        <v>3748</v>
      </c>
      <c r="G2731" s="526" t="s">
        <v>3749</v>
      </c>
      <c r="H2731" s="412">
        <v>129.31726</v>
      </c>
      <c r="I2731" s="411">
        <v>4.6703400000000004</v>
      </c>
      <c r="J2731" s="411">
        <v>16.360800000000001</v>
      </c>
      <c r="K2731" s="411">
        <v>1777.8798099999999</v>
      </c>
      <c r="L2731" s="526" t="s">
        <v>554</v>
      </c>
    </row>
    <row r="2732" spans="1:12" ht="15" x14ac:dyDescent="0.25">
      <c r="A2732">
        <v>163123</v>
      </c>
      <c r="B2732" t="str">
        <f t="shared" si="116"/>
        <v>SEVROLL Doubler II maska 2,35m stieborná</v>
      </c>
      <c r="C2732" s="198">
        <f t="shared" si="117"/>
        <v>6.4249499999999999</v>
      </c>
      <c r="D2732" s="526" t="s">
        <v>2919</v>
      </c>
      <c r="E2732" s="526" t="s">
        <v>3871</v>
      </c>
      <c r="F2732" s="526" t="s">
        <v>1282</v>
      </c>
      <c r="G2732" s="526" t="s">
        <v>3872</v>
      </c>
      <c r="H2732" s="412">
        <v>177.90054000000001</v>
      </c>
      <c r="I2732" s="411">
        <v>6.4249499999999999</v>
      </c>
      <c r="J2732" s="411">
        <v>22.593</v>
      </c>
      <c r="K2732" s="411">
        <v>2445.8123900000001</v>
      </c>
      <c r="L2732" s="526" t="s">
        <v>553</v>
      </c>
    </row>
    <row r="2733" spans="1:12" ht="15" x14ac:dyDescent="0.25">
      <c r="A2733">
        <v>163125</v>
      </c>
      <c r="B2733" t="str">
        <f t="shared" si="116"/>
        <v>SEVROLL 163125 Doubler II maska 3m strieborná</v>
      </c>
      <c r="C2733" s="198">
        <f t="shared" si="117"/>
        <v>8.1795500000000008</v>
      </c>
      <c r="D2733" s="526" t="s">
        <v>2920</v>
      </c>
      <c r="E2733" s="526" t="s">
        <v>4028</v>
      </c>
      <c r="F2733" s="526" t="s">
        <v>4029</v>
      </c>
      <c r="G2733" s="526" t="s">
        <v>4030</v>
      </c>
      <c r="H2733" s="412">
        <v>226.48382000000001</v>
      </c>
      <c r="I2733" s="411">
        <v>8.1795500000000008</v>
      </c>
      <c r="J2733" s="411">
        <v>28.845600000000001</v>
      </c>
      <c r="K2733" s="411">
        <v>3113.7453300000002</v>
      </c>
      <c r="L2733" s="526" t="s">
        <v>553</v>
      </c>
    </row>
    <row r="2734" spans="1:12" ht="15" x14ac:dyDescent="0.25">
      <c r="A2734">
        <v>163128</v>
      </c>
      <c r="B2734" t="str">
        <f t="shared" si="116"/>
        <v>SEVROLL 02868 Doubler II maska 6m strieborná</v>
      </c>
      <c r="C2734" s="198">
        <f t="shared" si="117"/>
        <v>16.410710000000002</v>
      </c>
      <c r="D2734" s="526" t="s">
        <v>2921</v>
      </c>
      <c r="E2734" s="526" t="s">
        <v>4443</v>
      </c>
      <c r="F2734" s="526" t="s">
        <v>4444</v>
      </c>
      <c r="G2734" s="526" t="s">
        <v>4445</v>
      </c>
      <c r="H2734" s="412">
        <v>454.39656000000002</v>
      </c>
      <c r="I2734" s="411">
        <v>16.410710000000002</v>
      </c>
      <c r="J2734" s="411">
        <v>57.7014</v>
      </c>
      <c r="K2734" s="411">
        <v>6247.1355100000001</v>
      </c>
      <c r="L2734" s="526" t="s">
        <v>554</v>
      </c>
    </row>
    <row r="2735" spans="1:12" ht="15" x14ac:dyDescent="0.25">
      <c r="A2735">
        <v>163129</v>
      </c>
      <c r="B2735" t="str">
        <f t="shared" si="116"/>
        <v>SEVROLL 02859 Doubler II maska 1,7m oliva</v>
      </c>
      <c r="C2735" s="198">
        <f t="shared" si="117"/>
        <v>5.6508599999999998</v>
      </c>
      <c r="D2735" s="526" t="s">
        <v>2922</v>
      </c>
      <c r="E2735" s="526" t="s">
        <v>3769</v>
      </c>
      <c r="F2735" s="526" t="s">
        <v>2922</v>
      </c>
      <c r="G2735" s="526" t="s">
        <v>3770</v>
      </c>
      <c r="H2735" s="412">
        <v>156.46673999999999</v>
      </c>
      <c r="I2735" s="411">
        <v>5.6508599999999998</v>
      </c>
      <c r="J2735" s="411">
        <v>19.040400000000002</v>
      </c>
      <c r="K2735" s="411">
        <v>2151.1361900000002</v>
      </c>
      <c r="L2735" s="526" t="s">
        <v>554</v>
      </c>
    </row>
    <row r="2736" spans="1:12" ht="15" x14ac:dyDescent="0.25">
      <c r="A2736">
        <v>163131</v>
      </c>
      <c r="B2736" t="str">
        <f t="shared" si="116"/>
        <v>SEVROLL 02860 Doubler II maska 2,35m oliva</v>
      </c>
      <c r="C2736" s="198">
        <f t="shared" si="117"/>
        <v>7.8183100000000003</v>
      </c>
      <c r="D2736" s="526" t="s">
        <v>2923</v>
      </c>
      <c r="E2736" s="526" t="s">
        <v>3890</v>
      </c>
      <c r="F2736" s="526" t="s">
        <v>2923</v>
      </c>
      <c r="G2736" s="526" t="s">
        <v>3891</v>
      </c>
      <c r="H2736" s="412">
        <v>216.48138</v>
      </c>
      <c r="I2736" s="411">
        <v>7.8183100000000003</v>
      </c>
      <c r="J2736" s="411">
        <v>26.563300000000002</v>
      </c>
      <c r="K2736" s="411">
        <v>2976.2294700000002</v>
      </c>
      <c r="L2736" s="526" t="s">
        <v>554</v>
      </c>
    </row>
    <row r="2737" spans="1:12" ht="15" x14ac:dyDescent="0.25">
      <c r="A2737">
        <v>163132</v>
      </c>
      <c r="B2737" t="str">
        <f t="shared" si="116"/>
        <v>SEVROLL 02861 Doubler II maska 3m oliva</v>
      </c>
      <c r="C2737" s="198">
        <f t="shared" si="117"/>
        <v>9.9857600000000009</v>
      </c>
      <c r="D2737" s="526" t="s">
        <v>2924</v>
      </c>
      <c r="E2737" s="526" t="s">
        <v>4052</v>
      </c>
      <c r="F2737" s="526" t="s">
        <v>2924</v>
      </c>
      <c r="G2737" s="526" t="s">
        <v>4053</v>
      </c>
      <c r="H2737" s="412">
        <v>276.49601999999999</v>
      </c>
      <c r="I2737" s="411">
        <v>9.9857600000000009</v>
      </c>
      <c r="J2737" s="411">
        <v>33.888100000000001</v>
      </c>
      <c r="K2737" s="411">
        <v>3801.3231300000002</v>
      </c>
      <c r="L2737" s="526" t="s">
        <v>554</v>
      </c>
    </row>
    <row r="2738" spans="1:12" ht="15" x14ac:dyDescent="0.25">
      <c r="A2738">
        <v>163133</v>
      </c>
      <c r="B2738" t="str">
        <f t="shared" si="116"/>
        <v>SEVROLL 02862 Doubler II maska 4,05m oliva</v>
      </c>
      <c r="C2738" s="198">
        <f t="shared" si="117"/>
        <v>13.49497</v>
      </c>
      <c r="D2738" s="526" t="s">
        <v>2925</v>
      </c>
      <c r="E2738" s="526" t="s">
        <v>4252</v>
      </c>
      <c r="F2738" s="526" t="s">
        <v>2925</v>
      </c>
      <c r="G2738" s="526" t="s">
        <v>4253</v>
      </c>
      <c r="H2738" s="412">
        <v>373.66257999999999</v>
      </c>
      <c r="I2738" s="411">
        <v>13.49497</v>
      </c>
      <c r="J2738" s="411">
        <v>45.769100000000002</v>
      </c>
      <c r="K2738" s="411">
        <v>5137.1882699999996</v>
      </c>
      <c r="L2738" s="526" t="s">
        <v>554</v>
      </c>
    </row>
    <row r="2739" spans="1:12" ht="15" x14ac:dyDescent="0.25">
      <c r="A2739">
        <v>163134</v>
      </c>
      <c r="B2739" t="str">
        <f t="shared" si="116"/>
        <v>SEVROLL 02863 Doubler II maska 6m oliva</v>
      </c>
      <c r="C2739" s="198">
        <f t="shared" si="117"/>
        <v>19.971520000000002</v>
      </c>
      <c r="D2739" s="526" t="s">
        <v>2926</v>
      </c>
      <c r="E2739" s="526" t="s">
        <v>4510</v>
      </c>
      <c r="F2739" s="526" t="s">
        <v>2926</v>
      </c>
      <c r="G2739" s="526" t="s">
        <v>4511</v>
      </c>
      <c r="H2739" s="412">
        <v>552.99203999999997</v>
      </c>
      <c r="I2739" s="411">
        <v>19.971520000000002</v>
      </c>
      <c r="J2739" s="411">
        <v>67.808899999999994</v>
      </c>
      <c r="K2739" s="411">
        <v>7602.6458899999998</v>
      </c>
      <c r="L2739" s="526" t="s">
        <v>554</v>
      </c>
    </row>
    <row r="2740" spans="1:12" ht="15" x14ac:dyDescent="0.25">
      <c r="A2740">
        <v>163151</v>
      </c>
      <c r="B2740" t="str">
        <f t="shared" si="116"/>
        <v>SEVROLL 02803 Maxim II maska 4,3m strieborná</v>
      </c>
      <c r="C2740" s="198">
        <f t="shared" si="117"/>
        <v>12.273440000000001</v>
      </c>
      <c r="D2740" s="526" t="s">
        <v>2927</v>
      </c>
      <c r="E2740" s="526" t="s">
        <v>4271</v>
      </c>
      <c r="F2740" s="526" t="s">
        <v>4272</v>
      </c>
      <c r="G2740" s="526" t="s">
        <v>4273</v>
      </c>
      <c r="H2740" s="412">
        <v>324.37049000000002</v>
      </c>
      <c r="I2740" s="411">
        <v>12.273440000000001</v>
      </c>
      <c r="J2740" s="411">
        <v>42.466900000000003</v>
      </c>
      <c r="K2740" s="411">
        <v>4720.5554000000002</v>
      </c>
      <c r="L2740" s="526" t="s">
        <v>555</v>
      </c>
    </row>
    <row r="2741" spans="1:12" ht="15" x14ac:dyDescent="0.25">
      <c r="A2741">
        <v>179111</v>
      </c>
      <c r="B2741" t="str">
        <f t="shared" si="116"/>
        <v>SEVROLL 16280 vzorkovník samolepiacíh fólií</v>
      </c>
      <c r="C2741" s="198">
        <f t="shared" si="117"/>
        <v>0</v>
      </c>
      <c r="D2741" s="526" t="s">
        <v>2928</v>
      </c>
      <c r="E2741" s="526" t="s">
        <v>5745</v>
      </c>
      <c r="F2741" s="526" t="s">
        <v>5746</v>
      </c>
      <c r="G2741" s="526" t="s">
        <v>5747</v>
      </c>
      <c r="H2741" s="412">
        <v>0</v>
      </c>
      <c r="I2741" s="411">
        <v>0</v>
      </c>
      <c r="J2741" s="411">
        <v>0</v>
      </c>
      <c r="K2741" s="411">
        <v>0</v>
      </c>
      <c r="L2741" s="526" t="s">
        <v>555</v>
      </c>
    </row>
    <row r="2742" spans="1:12" ht="15" x14ac:dyDescent="0.25">
      <c r="A2742">
        <v>179196</v>
      </c>
      <c r="B2742" t="str">
        <f t="shared" si="116"/>
        <v>SEVROLL 04552 Faworyt II úchytová lišta 2,7m strieborná</v>
      </c>
      <c r="C2742" s="198">
        <f t="shared" si="117"/>
        <v>12.478339999999999</v>
      </c>
      <c r="D2742" s="526" t="s">
        <v>2929</v>
      </c>
      <c r="E2742" s="526" t="s">
        <v>5260</v>
      </c>
      <c r="F2742" s="526" t="s">
        <v>5261</v>
      </c>
      <c r="G2742" s="526" t="s">
        <v>5262</v>
      </c>
      <c r="H2742" s="412">
        <v>345.79863999999998</v>
      </c>
      <c r="I2742" s="411">
        <v>12.478339999999999</v>
      </c>
      <c r="J2742" s="411">
        <v>46.195799999999998</v>
      </c>
      <c r="K2742" s="411">
        <v>4750.1802500000003</v>
      </c>
      <c r="L2742" s="526" t="s">
        <v>553</v>
      </c>
    </row>
    <row r="2743" spans="1:12" ht="15" x14ac:dyDescent="0.25">
      <c r="A2743">
        <v>179224</v>
      </c>
      <c r="B2743" t="str">
        <f t="shared" si="116"/>
        <v>SEVROLL FUTURE II ÚCH.LIŠTA 3,5 M str.</v>
      </c>
      <c r="C2743" s="198">
        <f t="shared" si="117"/>
        <v>41.70796</v>
      </c>
      <c r="D2743" s="526" t="s">
        <v>2930</v>
      </c>
      <c r="E2743" s="526" t="s">
        <v>4957</v>
      </c>
      <c r="F2743" s="526" t="s">
        <v>4958</v>
      </c>
      <c r="G2743" s="526" t="s">
        <v>4959</v>
      </c>
      <c r="H2743" s="412">
        <v>1154.56736</v>
      </c>
      <c r="I2743" s="411">
        <v>41.70796</v>
      </c>
      <c r="J2743" s="411">
        <v>154.6728</v>
      </c>
      <c r="K2743" s="411">
        <v>15877.153749999999</v>
      </c>
      <c r="L2743" s="526" t="s">
        <v>553</v>
      </c>
    </row>
    <row r="2744" spans="1:12" ht="15" x14ac:dyDescent="0.25">
      <c r="A2744">
        <v>179227</v>
      </c>
      <c r="B2744" t="str">
        <f t="shared" si="116"/>
        <v>SEVROLL 03047 Future II úchytová lišta 3,5m oliva</v>
      </c>
      <c r="C2744" s="198">
        <f t="shared" si="117"/>
        <v>48.587049999999998</v>
      </c>
      <c r="D2744" s="526" t="s">
        <v>2931</v>
      </c>
      <c r="E2744" s="526" t="s">
        <v>4940</v>
      </c>
      <c r="F2744" s="526" t="s">
        <v>2931</v>
      </c>
      <c r="G2744" s="526" t="s">
        <v>4941</v>
      </c>
      <c r="H2744" s="412">
        <v>1345.32818</v>
      </c>
      <c r="I2744" s="411">
        <v>48.587049999999998</v>
      </c>
      <c r="J2744" s="411">
        <v>170.136</v>
      </c>
      <c r="K2744" s="411">
        <v>18495.842670000002</v>
      </c>
      <c r="L2744" s="526" t="s">
        <v>554</v>
      </c>
    </row>
    <row r="2745" spans="1:12" ht="15" x14ac:dyDescent="0.25">
      <c r="A2745">
        <v>179229</v>
      </c>
      <c r="B2745" t="str">
        <f t="shared" ref="B2745:B2808" si="118">IF($A$2=1,D2745,IF($A$2=2,F2745,IF($A$2=3,G2745,IF($A$2=4,E2745,"zadat jazyk"))))</f>
        <v>SEVROLL Future II úch.lišta 2,7m strieborná</v>
      </c>
      <c r="C2745" s="198">
        <f t="shared" ref="C2745:C2808" si="119">IF($A$2=1,H2745,IF($A$2=2,I2745,IF($A$2=3,J2745,IF($A$2=4,K2745,"zadat jazyk"))))</f>
        <v>32.20214</v>
      </c>
      <c r="D2745" s="526" t="s">
        <v>2932</v>
      </c>
      <c r="E2745" s="526" t="s">
        <v>4852</v>
      </c>
      <c r="F2745" s="526" t="s">
        <v>1276</v>
      </c>
      <c r="G2745" s="526" t="s">
        <v>4853</v>
      </c>
      <c r="H2745" s="412">
        <v>891.64607999999998</v>
      </c>
      <c r="I2745" s="411">
        <v>32.20214</v>
      </c>
      <c r="J2745" s="411">
        <v>119.34</v>
      </c>
      <c r="K2745" s="411">
        <v>12258.529769999999</v>
      </c>
      <c r="L2745" s="526" t="s">
        <v>553</v>
      </c>
    </row>
    <row r="2746" spans="1:12" ht="15" x14ac:dyDescent="0.25">
      <c r="A2746">
        <v>179230</v>
      </c>
      <c r="B2746" t="str">
        <f t="shared" si="118"/>
        <v>SEVROLL 03046 Future II úchytová lišta 2,7m oliva</v>
      </c>
      <c r="C2746" s="198">
        <f t="shared" si="119"/>
        <v>37.491759999999999</v>
      </c>
      <c r="D2746" s="526" t="s">
        <v>2933</v>
      </c>
      <c r="E2746" s="526" t="s">
        <v>4817</v>
      </c>
      <c r="F2746" s="526" t="s">
        <v>2933</v>
      </c>
      <c r="G2746" s="526" t="s">
        <v>4818</v>
      </c>
      <c r="H2746" s="412">
        <v>1038.1103800000001</v>
      </c>
      <c r="I2746" s="411">
        <v>37.491759999999999</v>
      </c>
      <c r="J2746" s="411">
        <v>131.2638</v>
      </c>
      <c r="K2746" s="411">
        <v>14272.15047</v>
      </c>
      <c r="L2746" s="526" t="s">
        <v>554</v>
      </c>
    </row>
    <row r="2747" spans="1:12" ht="15" x14ac:dyDescent="0.25">
      <c r="A2747">
        <v>179772</v>
      </c>
      <c r="B2747" t="str">
        <f t="shared" si="118"/>
        <v>SEVROLL 02557 profil "U" pro lamino 10mm 2m strieborná</v>
      </c>
      <c r="C2747" s="198" t="e">
        <f t="shared" si="119"/>
        <v>#N/A</v>
      </c>
      <c r="D2747" s="526" t="s">
        <v>2934</v>
      </c>
      <c r="E2747" s="526" t="s">
        <v>3616</v>
      </c>
      <c r="F2747" s="526" t="s">
        <v>3617</v>
      </c>
      <c r="G2747" s="526" t="s">
        <v>3618</v>
      </c>
      <c r="H2747" s="412" t="e">
        <v>#N/A</v>
      </c>
      <c r="I2747" s="411" t="e">
        <v>#N/A</v>
      </c>
      <c r="J2747" s="411" t="e">
        <v>#N/A</v>
      </c>
      <c r="K2747" s="411" t="e">
        <v>#N/A</v>
      </c>
      <c r="L2747" s="526" t="e">
        <v>#N/A</v>
      </c>
    </row>
    <row r="2748" spans="1:12" ht="15" x14ac:dyDescent="0.25">
      <c r="A2748">
        <v>179789</v>
      </c>
      <c r="B2748" t="str">
        <f t="shared" si="118"/>
        <v>SEVROLL 02558 profil "U" pro lamino 10mm 3m strieborná</v>
      </c>
      <c r="C2748" s="198">
        <f t="shared" si="119"/>
        <v>4.9283700000000001</v>
      </c>
      <c r="D2748" s="526" t="s">
        <v>2935</v>
      </c>
      <c r="E2748" s="526" t="s">
        <v>3724</v>
      </c>
      <c r="F2748" s="526" t="s">
        <v>3725</v>
      </c>
      <c r="G2748" s="526" t="s">
        <v>3726</v>
      </c>
      <c r="H2748" s="412">
        <v>136.46186</v>
      </c>
      <c r="I2748" s="411">
        <v>4.9283700000000001</v>
      </c>
      <c r="J2748" s="411">
        <v>16.723199999999999</v>
      </c>
      <c r="K2748" s="411">
        <v>1876.1052099999999</v>
      </c>
      <c r="L2748" s="526" t="s">
        <v>554</v>
      </c>
    </row>
    <row r="2749" spans="1:12" ht="15" x14ac:dyDescent="0.25">
      <c r="A2749">
        <v>180324</v>
      </c>
      <c r="B2749" t="str">
        <f t="shared" si="118"/>
        <v>SEVROLL SPODNÉ VED. MAXIM II 3,5M STR.</v>
      </c>
      <c r="C2749" s="198" t="e">
        <f t="shared" si="119"/>
        <v>#N/A</v>
      </c>
      <c r="D2749" s="526" t="s">
        <v>2936</v>
      </c>
      <c r="E2749" s="526" t="s">
        <v>4667</v>
      </c>
      <c r="F2749" s="526" t="s">
        <v>4668</v>
      </c>
      <c r="G2749" s="526" t="s">
        <v>4669</v>
      </c>
      <c r="H2749" s="412" t="e">
        <v>#N/A</v>
      </c>
      <c r="I2749" s="411" t="e">
        <v>#N/A</v>
      </c>
      <c r="J2749" s="411" t="e">
        <v>#N/A</v>
      </c>
      <c r="K2749" s="411" t="e">
        <v>#N/A</v>
      </c>
      <c r="L2749" s="526" t="e">
        <v>#N/A</v>
      </c>
    </row>
    <row r="2750" spans="1:12" ht="15" x14ac:dyDescent="0.25">
      <c r="A2750">
        <v>180325</v>
      </c>
      <c r="B2750" t="str">
        <f t="shared" si="118"/>
        <v>SEVROLL SPODNÉ VED. MAXIM II 4,3M STR.</v>
      </c>
      <c r="C2750" s="198" t="e">
        <f t="shared" si="119"/>
        <v>#N/A</v>
      </c>
      <c r="D2750" s="526" t="s">
        <v>2937</v>
      </c>
      <c r="E2750" s="526" t="s">
        <v>4784</v>
      </c>
      <c r="F2750" s="526" t="s">
        <v>4785</v>
      </c>
      <c r="G2750" s="526" t="s">
        <v>4786</v>
      </c>
      <c r="H2750" s="412" t="e">
        <v>#N/A</v>
      </c>
      <c r="I2750" s="411" t="e">
        <v>#N/A</v>
      </c>
      <c r="J2750" s="411" t="e">
        <v>#N/A</v>
      </c>
      <c r="K2750" s="411" t="e">
        <v>#N/A</v>
      </c>
      <c r="L2750" s="526" t="e">
        <v>#N/A</v>
      </c>
    </row>
    <row r="2751" spans="1:12" ht="15" x14ac:dyDescent="0.25">
      <c r="A2751">
        <v>180326</v>
      </c>
      <c r="B2751" t="str">
        <f t="shared" si="118"/>
        <v>SEVROLL 02815 MAXIM II MASKA 3,5 M strieborná</v>
      </c>
      <c r="C2751" s="198">
        <f t="shared" si="119"/>
        <v>4.4574400000000001</v>
      </c>
      <c r="D2751" s="526" t="s">
        <v>2938</v>
      </c>
      <c r="E2751" s="526" t="s">
        <v>4129</v>
      </c>
      <c r="F2751" s="526" t="s">
        <v>4130</v>
      </c>
      <c r="G2751" s="526" t="s">
        <v>4131</v>
      </c>
      <c r="H2751" s="412">
        <v>101.82776</v>
      </c>
      <c r="I2751" s="411">
        <v>4.4574400000000001</v>
      </c>
      <c r="J2751" s="411">
        <v>19.956250000000001</v>
      </c>
      <c r="K2751" s="411">
        <v>1699.39931</v>
      </c>
      <c r="L2751" s="526" t="s">
        <v>555</v>
      </c>
    </row>
    <row r="2752" spans="1:12" ht="15" x14ac:dyDescent="0.25">
      <c r="A2752">
        <v>180411</v>
      </c>
      <c r="B2752" t="str">
        <f t="shared" si="118"/>
        <v>SEVROLL 02805 Maxim II spodné vedenie 1,8m strieborná</v>
      </c>
      <c r="C2752" s="198" t="e">
        <f t="shared" si="119"/>
        <v>#N/A</v>
      </c>
      <c r="D2752" s="526" t="s">
        <v>2939</v>
      </c>
      <c r="E2752" s="526" t="s">
        <v>4174</v>
      </c>
      <c r="F2752" s="526" t="s">
        <v>4175</v>
      </c>
      <c r="G2752" s="526" t="s">
        <v>4176</v>
      </c>
      <c r="H2752" s="412" t="e">
        <v>#N/A</v>
      </c>
      <c r="I2752" s="411" t="e">
        <v>#N/A</v>
      </c>
      <c r="J2752" s="411" t="e">
        <v>#N/A</v>
      </c>
      <c r="K2752" s="411" t="e">
        <v>#N/A</v>
      </c>
      <c r="L2752" s="526" t="e">
        <v>#N/A</v>
      </c>
    </row>
    <row r="2753" spans="1:12" ht="15" x14ac:dyDescent="0.25">
      <c r="A2753">
        <v>180412</v>
      </c>
      <c r="B2753" t="str">
        <f t="shared" si="118"/>
        <v>SEVROLL Maxim II spodné vedenie 2,5m str.</v>
      </c>
      <c r="C2753" s="198" t="e">
        <f t="shared" si="119"/>
        <v>#N/A</v>
      </c>
      <c r="D2753" s="526" t="s">
        <v>2940</v>
      </c>
      <c r="E2753" s="526" t="s">
        <v>4435</v>
      </c>
      <c r="F2753" s="526" t="s">
        <v>1254</v>
      </c>
      <c r="G2753" s="526" t="s">
        <v>4436</v>
      </c>
      <c r="H2753" s="412" t="e">
        <v>#N/A</v>
      </c>
      <c r="I2753" s="411" t="e">
        <v>#N/A</v>
      </c>
      <c r="J2753" s="411" t="e">
        <v>#N/A</v>
      </c>
      <c r="K2753" s="411" t="e">
        <v>#N/A</v>
      </c>
      <c r="L2753" s="526" t="e">
        <v>#N/A</v>
      </c>
    </row>
    <row r="2754" spans="1:12" ht="15" x14ac:dyDescent="0.25">
      <c r="A2754">
        <v>180414</v>
      </c>
      <c r="B2754" t="str">
        <f t="shared" si="118"/>
        <v>SEVROLL 02890 Maxim II spodné vedenie 6m strieborná</v>
      </c>
      <c r="C2754" s="198" t="e">
        <f t="shared" si="119"/>
        <v>#N/A</v>
      </c>
      <c r="D2754" s="526" t="s">
        <v>2941</v>
      </c>
      <c r="E2754" s="526" t="s">
        <v>4937</v>
      </c>
      <c r="F2754" s="526" t="s">
        <v>4938</v>
      </c>
      <c r="G2754" s="526" t="s">
        <v>4939</v>
      </c>
      <c r="H2754" s="412" t="e">
        <v>#N/A</v>
      </c>
      <c r="I2754" s="411" t="e">
        <v>#N/A</v>
      </c>
      <c r="J2754" s="411" t="e">
        <v>#N/A</v>
      </c>
      <c r="K2754" s="411" t="e">
        <v>#N/A</v>
      </c>
      <c r="L2754" s="526" t="e">
        <v>#N/A</v>
      </c>
    </row>
    <row r="2755" spans="1:12" ht="15" x14ac:dyDescent="0.25">
      <c r="A2755">
        <v>180415</v>
      </c>
      <c r="B2755" t="str">
        <f t="shared" si="118"/>
        <v>SEVROLL 02812 Maxim II maska 1,8m strieborná</v>
      </c>
      <c r="C2755" s="198">
        <f t="shared" si="119"/>
        <v>4.9245299999999999</v>
      </c>
      <c r="D2755" s="526" t="s">
        <v>2942</v>
      </c>
      <c r="E2755" s="526" t="s">
        <v>3762</v>
      </c>
      <c r="F2755" s="526" t="s">
        <v>3763</v>
      </c>
      <c r="G2755" s="526" t="s">
        <v>3764</v>
      </c>
      <c r="H2755" s="412" t="e">
        <v>#N/A</v>
      </c>
      <c r="I2755" s="411">
        <v>4.9245299999999999</v>
      </c>
      <c r="J2755" s="411">
        <v>17.615400000000001</v>
      </c>
      <c r="K2755" s="411">
        <v>1894.05</v>
      </c>
      <c r="L2755" s="526" t="e">
        <v>#N/A</v>
      </c>
    </row>
    <row r="2756" spans="1:12" ht="15" x14ac:dyDescent="0.25">
      <c r="A2756">
        <v>180416</v>
      </c>
      <c r="B2756" t="str">
        <f t="shared" si="118"/>
        <v>SEVROLL 02813 Maxim II maska 2,5m strieborná</v>
      </c>
      <c r="C2756" s="198">
        <f t="shared" si="119"/>
        <v>7.1973900000000004</v>
      </c>
      <c r="D2756" s="526" t="s">
        <v>2943</v>
      </c>
      <c r="E2756" s="526" t="s">
        <v>3918</v>
      </c>
      <c r="F2756" s="526" t="s">
        <v>3919</v>
      </c>
      <c r="G2756" s="526" t="s">
        <v>3920</v>
      </c>
      <c r="H2756" s="412">
        <v>190.21727000000001</v>
      </c>
      <c r="I2756" s="411">
        <v>7.1973900000000004</v>
      </c>
      <c r="J2756" s="411">
        <v>24.928799999999999</v>
      </c>
      <c r="K2756" s="411">
        <v>2768.2269200000001</v>
      </c>
      <c r="L2756" s="526" t="s">
        <v>555</v>
      </c>
    </row>
    <row r="2757" spans="1:12" ht="15" x14ac:dyDescent="0.25">
      <c r="A2757">
        <v>180418</v>
      </c>
      <c r="B2757" t="str">
        <f t="shared" si="118"/>
        <v>SEVROLL 02891 Maxim II maska 6m strieborná</v>
      </c>
      <c r="C2757" s="198" t="e">
        <f t="shared" si="119"/>
        <v>#N/A</v>
      </c>
      <c r="D2757" s="526" t="s">
        <v>2944</v>
      </c>
      <c r="E2757" s="526" t="s">
        <v>4469</v>
      </c>
      <c r="F2757" s="526" t="s">
        <v>4470</v>
      </c>
      <c r="G2757" s="526" t="s">
        <v>4471</v>
      </c>
      <c r="H2757" s="412" t="e">
        <v>#N/A</v>
      </c>
      <c r="I2757" s="411" t="e">
        <v>#N/A</v>
      </c>
      <c r="J2757" s="411" t="e">
        <v>#N/A</v>
      </c>
      <c r="K2757" s="411" t="e">
        <v>#N/A</v>
      </c>
      <c r="L2757" s="526" t="e">
        <v>#N/A</v>
      </c>
    </row>
    <row r="2758" spans="1:12" ht="15" x14ac:dyDescent="0.25">
      <c r="A2758">
        <v>180419</v>
      </c>
      <c r="B2758" t="str">
        <f t="shared" si="118"/>
        <v>SEVROLL 02893 Maxim vodiaca lišta 6m strieborná</v>
      </c>
      <c r="C2758" s="198" t="e">
        <f t="shared" si="119"/>
        <v>#N/A</v>
      </c>
      <c r="D2758" s="526" t="s">
        <v>2945</v>
      </c>
      <c r="E2758" s="526" t="s">
        <v>5008</v>
      </c>
      <c r="F2758" s="526" t="s">
        <v>5009</v>
      </c>
      <c r="G2758" s="526" t="s">
        <v>5010</v>
      </c>
      <c r="H2758" s="412" t="e">
        <v>#N/A</v>
      </c>
      <c r="I2758" s="411" t="e">
        <v>#N/A</v>
      </c>
      <c r="J2758" s="411" t="e">
        <v>#N/A</v>
      </c>
      <c r="K2758" s="411" t="e">
        <v>#N/A</v>
      </c>
      <c r="L2758" s="526" t="e">
        <v>#N/A</v>
      </c>
    </row>
    <row r="2759" spans="1:12" ht="15" x14ac:dyDescent="0.25">
      <c r="A2759">
        <v>180420</v>
      </c>
      <c r="B2759" t="str">
        <f t="shared" si="118"/>
        <v>SEVROLL 02889  Maxim spodná krycia lišta 6m 10mm strieborná</v>
      </c>
      <c r="C2759" s="198" t="e">
        <f t="shared" si="119"/>
        <v>#N/A</v>
      </c>
      <c r="D2759" s="526" t="s">
        <v>2946</v>
      </c>
      <c r="E2759" s="526" t="s">
        <v>5082</v>
      </c>
      <c r="F2759" s="526" t="s">
        <v>5083</v>
      </c>
      <c r="G2759" s="526" t="s">
        <v>5084</v>
      </c>
      <c r="H2759" s="412" t="e">
        <v>#N/A</v>
      </c>
      <c r="I2759" s="411" t="e">
        <v>#N/A</v>
      </c>
      <c r="J2759" s="411" t="e">
        <v>#N/A</v>
      </c>
      <c r="K2759" s="411" t="e">
        <v>#N/A</v>
      </c>
      <c r="L2759" s="526" t="e">
        <v>#N/A</v>
      </c>
    </row>
    <row r="2760" spans="1:12" ht="15" x14ac:dyDescent="0.25">
      <c r="A2760">
        <v>181590</v>
      </c>
      <c r="B2760" t="str">
        <f t="shared" si="118"/>
        <v>SEVROLL 10229-SV Everest sada pre úchytovú lištu Fox II</v>
      </c>
      <c r="C2760" s="198">
        <f t="shared" si="119"/>
        <v>52.702629999999999</v>
      </c>
      <c r="D2760" s="526" t="s">
        <v>2947</v>
      </c>
      <c r="E2760" s="526" t="s">
        <v>5063</v>
      </c>
      <c r="F2760" s="526" t="s">
        <v>5064</v>
      </c>
      <c r="G2760" s="526" t="s">
        <v>5065</v>
      </c>
      <c r="H2760" s="412">
        <v>1459.6417799999999</v>
      </c>
      <c r="I2760" s="411">
        <v>52.702629999999999</v>
      </c>
      <c r="J2760" s="411">
        <v>185.4768</v>
      </c>
      <c r="K2760" s="411">
        <v>20062.53815</v>
      </c>
      <c r="L2760" s="526" t="s">
        <v>553</v>
      </c>
    </row>
    <row r="2761" spans="1:12" ht="15" x14ac:dyDescent="0.25">
      <c r="A2761">
        <v>188680</v>
      </c>
      <c r="B2761" t="str">
        <f t="shared" si="118"/>
        <v>SEVROLL Prosper II úch.lišta 2,7m strieborná</v>
      </c>
      <c r="C2761" s="198">
        <f t="shared" si="119"/>
        <v>21.970980000000001</v>
      </c>
      <c r="D2761" s="526" t="s">
        <v>2948</v>
      </c>
      <c r="E2761" s="526" t="s">
        <v>4694</v>
      </c>
      <c r="F2761" s="526" t="s">
        <v>1239</v>
      </c>
      <c r="G2761" s="526" t="s">
        <v>4695</v>
      </c>
      <c r="H2761" s="412" t="e">
        <v>#N/A</v>
      </c>
      <c r="I2761" s="411">
        <v>21.970980000000001</v>
      </c>
      <c r="J2761" s="411">
        <v>78.988799999999998</v>
      </c>
      <c r="K2761" s="411">
        <v>8450.3769200000006</v>
      </c>
      <c r="L2761" s="526" t="e">
        <v>#N/A</v>
      </c>
    </row>
    <row r="2762" spans="1:12" ht="15" x14ac:dyDescent="0.25">
      <c r="A2762">
        <v>189177</v>
      </c>
      <c r="B2762" t="str">
        <f t="shared" si="118"/>
        <v>SEVROLL 02580 Hide N spodné vedenie 2,35m strieborná</v>
      </c>
      <c r="C2762" s="198">
        <f t="shared" si="119"/>
        <v>9.8838399999999993</v>
      </c>
      <c r="D2762" s="526" t="s">
        <v>2949</v>
      </c>
      <c r="E2762" s="526" t="s">
        <v>4043</v>
      </c>
      <c r="F2762" s="526" t="s">
        <v>4044</v>
      </c>
      <c r="G2762" s="526" t="s">
        <v>4045</v>
      </c>
      <c r="H2762" s="412">
        <v>260.87619999999998</v>
      </c>
      <c r="I2762" s="411">
        <v>9.8838399999999993</v>
      </c>
      <c r="J2762" s="411">
        <v>34.00788</v>
      </c>
      <c r="K2762" s="411">
        <v>3639.7125000000001</v>
      </c>
      <c r="L2762" s="526" t="s">
        <v>554</v>
      </c>
    </row>
    <row r="2763" spans="1:12" ht="15" x14ac:dyDescent="0.25">
      <c r="A2763">
        <v>189591</v>
      </c>
      <c r="B2763" t="str">
        <f t="shared" si="118"/>
        <v>SEVROLL 221-022 sada Apollo 2/756</v>
      </c>
      <c r="C2763" s="198">
        <f t="shared" si="119"/>
        <v>30.808779999999999</v>
      </c>
      <c r="D2763" s="526" t="s">
        <v>1720</v>
      </c>
      <c r="E2763" s="526" t="s">
        <v>2152</v>
      </c>
      <c r="F2763" s="526" t="s">
        <v>1720</v>
      </c>
      <c r="G2763" s="526" t="s">
        <v>2628</v>
      </c>
      <c r="H2763" s="412">
        <v>813.17370000000005</v>
      </c>
      <c r="I2763" s="411">
        <v>30.808779999999999</v>
      </c>
      <c r="J2763" s="411">
        <v>106.0055</v>
      </c>
      <c r="K2763" s="411">
        <v>11345.29616</v>
      </c>
      <c r="L2763" s="526" t="s">
        <v>554</v>
      </c>
    </row>
    <row r="2764" spans="1:12" ht="15" x14ac:dyDescent="0.25">
      <c r="A2764">
        <v>190488</v>
      </c>
      <c r="B2764" t="str">
        <f t="shared" si="118"/>
        <v>SEVROLL 10067-SV sada kovania ZSE-10 Plus</v>
      </c>
      <c r="C2764" s="198">
        <f t="shared" si="119"/>
        <v>66.184700000000007</v>
      </c>
      <c r="D2764" s="526" t="s">
        <v>1721</v>
      </c>
      <c r="E2764" s="526" t="s">
        <v>2153</v>
      </c>
      <c r="F2764" s="526" t="s">
        <v>6155</v>
      </c>
      <c r="G2764" s="526" t="s">
        <v>2629</v>
      </c>
      <c r="H2764" s="412">
        <v>1832.5898999999999</v>
      </c>
      <c r="I2764" s="411">
        <v>66.184700000000007</v>
      </c>
      <c r="J2764" s="411">
        <v>232.9272</v>
      </c>
      <c r="K2764" s="411">
        <v>25194.8151</v>
      </c>
      <c r="L2764" s="526" t="s">
        <v>554</v>
      </c>
    </row>
    <row r="2765" spans="1:12" ht="15" x14ac:dyDescent="0.25">
      <c r="A2765">
        <v>190515</v>
      </c>
      <c r="B2765" t="str">
        <f t="shared" si="118"/>
        <v>SEVROLL 50243 Ursus horné vedenie 1,2m surová</v>
      </c>
      <c r="C2765" s="198">
        <f t="shared" si="119"/>
        <v>15.352790000000001</v>
      </c>
      <c r="D2765" s="526" t="s">
        <v>2950</v>
      </c>
      <c r="E2765" s="526" t="s">
        <v>4214</v>
      </c>
      <c r="F2765" s="526" t="s">
        <v>4215</v>
      </c>
      <c r="G2765" s="526" t="s">
        <v>4216</v>
      </c>
      <c r="H2765" s="412">
        <v>405.22474999999997</v>
      </c>
      <c r="I2765" s="411">
        <v>15.352790000000001</v>
      </c>
      <c r="J2765" s="411">
        <v>52.825180000000003</v>
      </c>
      <c r="K2765" s="411">
        <v>5653.6442299999999</v>
      </c>
      <c r="L2765" s="526" t="s">
        <v>554</v>
      </c>
    </row>
    <row r="2766" spans="1:12" ht="15" x14ac:dyDescent="0.25">
      <c r="A2766">
        <v>190752</v>
      </c>
      <c r="B2766" t="str">
        <f t="shared" si="118"/>
        <v>SEVROLL 00912 First horné/spodné vedenie 3m strieborná</v>
      </c>
      <c r="C2766" s="198">
        <f t="shared" si="119"/>
        <v>13.030519999999999</v>
      </c>
      <c r="D2766" s="526" t="s">
        <v>2951</v>
      </c>
      <c r="E2766" s="526" t="s">
        <v>4192</v>
      </c>
      <c r="F2766" s="526" t="s">
        <v>4193</v>
      </c>
      <c r="G2766" s="526" t="s">
        <v>4194</v>
      </c>
      <c r="H2766" s="412">
        <v>360.8023</v>
      </c>
      <c r="I2766" s="411">
        <v>13.030519999999999</v>
      </c>
      <c r="J2766" s="411">
        <v>49.368000000000002</v>
      </c>
      <c r="K2766" s="411">
        <v>4960.3827000000001</v>
      </c>
      <c r="L2766" s="526" t="s">
        <v>554</v>
      </c>
    </row>
    <row r="2767" spans="1:12" ht="15" x14ac:dyDescent="0.25">
      <c r="A2767">
        <v>190753</v>
      </c>
      <c r="B2767" t="str">
        <f t="shared" si="118"/>
        <v>SEVROLL 00903 First hornéspodné vedenie 3m oliva</v>
      </c>
      <c r="C2767" s="198">
        <f t="shared" si="119"/>
        <v>14.449680000000001</v>
      </c>
      <c r="D2767" s="526" t="s">
        <v>2952</v>
      </c>
      <c r="E2767" s="526" t="s">
        <v>4189</v>
      </c>
      <c r="F2767" s="526" t="s">
        <v>4190</v>
      </c>
      <c r="G2767" s="526" t="s">
        <v>4191</v>
      </c>
      <c r="H2767" s="412">
        <v>400.0976</v>
      </c>
      <c r="I2767" s="411">
        <v>14.449680000000001</v>
      </c>
      <c r="J2767" s="411">
        <v>54.3048</v>
      </c>
      <c r="K2767" s="411">
        <v>5500.6224000000002</v>
      </c>
      <c r="L2767" s="526" t="s">
        <v>554</v>
      </c>
    </row>
    <row r="2768" spans="1:12" ht="15" x14ac:dyDescent="0.25">
      <c r="A2768">
        <v>190764</v>
      </c>
      <c r="B2768" t="str">
        <f t="shared" si="118"/>
        <v>SEVROLL 20102 tesnenie na sklo 18/4mm symetrické</v>
      </c>
      <c r="C2768" s="198">
        <f t="shared" si="119"/>
        <v>2.2861500000000001</v>
      </c>
      <c r="D2768" s="526" t="s">
        <v>2953</v>
      </c>
      <c r="E2768" s="526" t="s">
        <v>6200</v>
      </c>
      <c r="F2768" s="526" t="s">
        <v>6201</v>
      </c>
      <c r="G2768" s="526" t="s">
        <v>6202</v>
      </c>
      <c r="H2768" s="412">
        <v>67.475350000000006</v>
      </c>
      <c r="I2768" s="411">
        <v>2.2861500000000001</v>
      </c>
      <c r="J2768" s="411">
        <v>7.6425999999999998</v>
      </c>
      <c r="K2768" s="411">
        <v>888.03769999999997</v>
      </c>
      <c r="L2768" s="526" t="s">
        <v>554</v>
      </c>
    </row>
    <row r="2769" spans="1:12" ht="15" x14ac:dyDescent="0.25">
      <c r="A2769">
        <v>190765</v>
      </c>
      <c r="B2769" t="str">
        <f t="shared" si="118"/>
        <v>SEVROLL 20145 tesnenie na sklo 18/8mm symetrické</v>
      </c>
      <c r="C2769" s="198">
        <f t="shared" si="119"/>
        <v>2.2861500000000001</v>
      </c>
      <c r="D2769" s="526" t="s">
        <v>2954</v>
      </c>
      <c r="E2769" s="526" t="s">
        <v>6203</v>
      </c>
      <c r="F2769" s="526" t="s">
        <v>6204</v>
      </c>
      <c r="G2769" s="526" t="s">
        <v>6205</v>
      </c>
      <c r="H2769" s="412">
        <v>67.475350000000006</v>
      </c>
      <c r="I2769" s="411">
        <v>2.2861500000000001</v>
      </c>
      <c r="J2769" s="411">
        <v>7.6425999999999998</v>
      </c>
      <c r="K2769" s="411">
        <v>888.03769999999997</v>
      </c>
      <c r="L2769" s="526" t="s">
        <v>554</v>
      </c>
    </row>
    <row r="2770" spans="1:12" ht="15" x14ac:dyDescent="0.25">
      <c r="A2770">
        <v>190831</v>
      </c>
      <c r="B2770" t="str">
        <f t="shared" si="118"/>
        <v>SEVROLL 10069-SV sada kovania ZSE-18</v>
      </c>
      <c r="C2770" s="198">
        <f t="shared" si="119"/>
        <v>44.490830000000003</v>
      </c>
      <c r="D2770" s="526" t="s">
        <v>1722</v>
      </c>
      <c r="E2770" s="526" t="s">
        <v>2154</v>
      </c>
      <c r="F2770" s="526" t="s">
        <v>6156</v>
      </c>
      <c r="G2770" s="526" t="s">
        <v>2630</v>
      </c>
      <c r="H2770" s="412">
        <v>1231.7290399999999</v>
      </c>
      <c r="I2770" s="411">
        <v>44.490830000000003</v>
      </c>
      <c r="J2770" s="411">
        <v>156.62100000000001</v>
      </c>
      <c r="K2770" s="411">
        <v>16936.514910000002</v>
      </c>
      <c r="L2770" s="526" t="s">
        <v>554</v>
      </c>
    </row>
    <row r="2771" spans="1:12" ht="15" x14ac:dyDescent="0.25">
      <c r="A2771">
        <v>190832</v>
      </c>
      <c r="B2771" t="str">
        <f t="shared" si="118"/>
        <v>SEVROLL 10068-SV sada kovania ZSE-18 Plus</v>
      </c>
      <c r="C2771" s="198">
        <f t="shared" si="119"/>
        <v>65.204179999999994</v>
      </c>
      <c r="D2771" s="526" t="s">
        <v>1723</v>
      </c>
      <c r="E2771" s="526" t="s">
        <v>2155</v>
      </c>
      <c r="F2771" s="526" t="s">
        <v>6157</v>
      </c>
      <c r="G2771" s="526" t="s">
        <v>2631</v>
      </c>
      <c r="H2771" s="412">
        <v>1805.4404199999999</v>
      </c>
      <c r="I2771" s="411">
        <v>65.204179999999994</v>
      </c>
      <c r="J2771" s="411">
        <v>229.43879999999999</v>
      </c>
      <c r="K2771" s="411">
        <v>24821.558730000001</v>
      </c>
      <c r="L2771" s="526" t="s">
        <v>554</v>
      </c>
    </row>
    <row r="2772" spans="1:12" ht="15" x14ac:dyDescent="0.25">
      <c r="A2772">
        <v>190841</v>
      </c>
      <c r="B2772" t="str">
        <f t="shared" si="118"/>
        <v>SEVROLL 10084-SV sada kovania ZSE-18 U Plus</v>
      </c>
      <c r="C2772" s="198">
        <f t="shared" si="119"/>
        <v>65.449309999999997</v>
      </c>
      <c r="D2772" s="526" t="s">
        <v>1724</v>
      </c>
      <c r="E2772" s="526" t="s">
        <v>2156</v>
      </c>
      <c r="F2772" s="526" t="s">
        <v>6158</v>
      </c>
      <c r="G2772" s="526" t="s">
        <v>2632</v>
      </c>
      <c r="H2772" s="412">
        <v>1812.58502</v>
      </c>
      <c r="I2772" s="411">
        <v>65.449309999999997</v>
      </c>
      <c r="J2772" s="411">
        <v>230.29560000000001</v>
      </c>
      <c r="K2772" s="411">
        <v>24914.87283</v>
      </c>
      <c r="L2772" s="526" t="s">
        <v>554</v>
      </c>
    </row>
    <row r="2773" spans="1:12" ht="15" x14ac:dyDescent="0.25">
      <c r="A2773">
        <v>191011</v>
      </c>
      <c r="B2773" t="str">
        <f t="shared" si="118"/>
        <v>SEVROLL 01114 Micra horné/spodné vedenie 1,7m oliva</v>
      </c>
      <c r="C2773" s="198">
        <f t="shared" si="119"/>
        <v>3.9736600000000002</v>
      </c>
      <c r="D2773" s="526" t="s">
        <v>2955</v>
      </c>
      <c r="E2773" s="526" t="s">
        <v>3642</v>
      </c>
      <c r="F2773" s="526" t="s">
        <v>3643</v>
      </c>
      <c r="G2773" s="526" t="s">
        <v>3644</v>
      </c>
      <c r="H2773" s="412">
        <v>110.02684000000001</v>
      </c>
      <c r="I2773" s="411">
        <v>3.9736600000000002</v>
      </c>
      <c r="J2773" s="411">
        <v>13.4724</v>
      </c>
      <c r="K2773" s="411">
        <v>1512.67109</v>
      </c>
      <c r="L2773" s="526" t="s">
        <v>554</v>
      </c>
    </row>
    <row r="2774" spans="1:12" ht="15" x14ac:dyDescent="0.25">
      <c r="A2774">
        <v>191013</v>
      </c>
      <c r="B2774" t="str">
        <f t="shared" si="118"/>
        <v>SEVROLL 01115 Micra horné/spodné vedenie 2,35m oliva</v>
      </c>
      <c r="C2774" s="198">
        <f t="shared" si="119"/>
        <v>5.4960399999999998</v>
      </c>
      <c r="D2774" s="526" t="s">
        <v>2956</v>
      </c>
      <c r="E2774" s="526" t="s">
        <v>3738</v>
      </c>
      <c r="F2774" s="526" t="s">
        <v>3739</v>
      </c>
      <c r="G2774" s="526" t="s">
        <v>3740</v>
      </c>
      <c r="H2774" s="412">
        <v>152.17998</v>
      </c>
      <c r="I2774" s="411">
        <v>5.4960399999999998</v>
      </c>
      <c r="J2774" s="411">
        <v>18.6172</v>
      </c>
      <c r="K2774" s="411">
        <v>2092.2008700000001</v>
      </c>
      <c r="L2774" s="526" t="s">
        <v>554</v>
      </c>
    </row>
    <row r="2775" spans="1:12" ht="15" x14ac:dyDescent="0.25">
      <c r="A2775">
        <v>191638</v>
      </c>
      <c r="B2775" t="str">
        <f t="shared" si="118"/>
        <v>SEVROLL 03074 Top horné vedenie jednoduché 3m strieborná</v>
      </c>
      <c r="C2775" s="198">
        <f t="shared" si="119"/>
        <v>33.105249999999998</v>
      </c>
      <c r="D2775" s="526" t="s">
        <v>2957</v>
      </c>
      <c r="E2775" s="526" t="s">
        <v>4885</v>
      </c>
      <c r="F2775" s="526" t="s">
        <v>4886</v>
      </c>
      <c r="G2775" s="526" t="s">
        <v>4887</v>
      </c>
      <c r="H2775" s="412">
        <v>916.65218000000004</v>
      </c>
      <c r="I2775" s="411">
        <v>33.105249999999998</v>
      </c>
      <c r="J2775" s="411">
        <v>116.4534</v>
      </c>
      <c r="K2775" s="411">
        <v>12602.318670000001</v>
      </c>
      <c r="L2775" s="526" t="s">
        <v>554</v>
      </c>
    </row>
    <row r="2776" spans="1:12" ht="15" x14ac:dyDescent="0.25">
      <c r="A2776">
        <v>191639</v>
      </c>
      <c r="B2776" t="str">
        <f t="shared" si="118"/>
        <v>SEVROLL 03072 Top horné vedenie jednoduché 3m oliva</v>
      </c>
      <c r="C2776" s="198">
        <f t="shared" si="119"/>
        <v>40.252679999999998</v>
      </c>
      <c r="D2776" s="526" t="s">
        <v>2958</v>
      </c>
      <c r="E2776" s="526" t="s">
        <v>4928</v>
      </c>
      <c r="F2776" s="526" t="s">
        <v>4929</v>
      </c>
      <c r="G2776" s="526" t="s">
        <v>4930</v>
      </c>
      <c r="H2776" s="412">
        <v>1114.5576000000001</v>
      </c>
      <c r="I2776" s="411">
        <v>40.252679999999998</v>
      </c>
      <c r="J2776" s="411">
        <v>136.7732</v>
      </c>
      <c r="K2776" s="411">
        <v>15323.162399999999</v>
      </c>
      <c r="L2776" s="526" t="s">
        <v>554</v>
      </c>
    </row>
    <row r="2777" spans="1:12" ht="15" x14ac:dyDescent="0.25">
      <c r="A2777">
        <v>191641</v>
      </c>
      <c r="B2777" t="str">
        <f t="shared" si="118"/>
        <v>SEVROLL 03075 Top horné vedenie jednoduché 6m strieborná</v>
      </c>
      <c r="C2777" s="198">
        <f t="shared" si="119"/>
        <v>66.15889</v>
      </c>
      <c r="D2777" s="526" t="s">
        <v>2959</v>
      </c>
      <c r="E2777" s="526" t="s">
        <v>5072</v>
      </c>
      <c r="F2777" s="526" t="s">
        <v>5073</v>
      </c>
      <c r="G2777" s="526" t="s">
        <v>5074</v>
      </c>
      <c r="H2777" s="412">
        <v>1831.87544</v>
      </c>
      <c r="I2777" s="411">
        <v>66.15889</v>
      </c>
      <c r="J2777" s="411">
        <v>232.83539999999999</v>
      </c>
      <c r="K2777" s="411">
        <v>25184.992490000001</v>
      </c>
      <c r="L2777" s="526" t="s">
        <v>554</v>
      </c>
    </row>
    <row r="2778" spans="1:12" ht="15" x14ac:dyDescent="0.25">
      <c r="A2778">
        <v>191642</v>
      </c>
      <c r="B2778" t="str">
        <f t="shared" si="118"/>
        <v>SEVROLL 03073 Top horné vedenie jednoduché 6m oliva</v>
      </c>
      <c r="C2778" s="198">
        <f t="shared" si="119"/>
        <v>80.505359999999996</v>
      </c>
      <c r="D2778" s="526" t="s">
        <v>2960</v>
      </c>
      <c r="E2778" s="526" t="s">
        <v>5093</v>
      </c>
      <c r="F2778" s="526" t="s">
        <v>5094</v>
      </c>
      <c r="G2778" s="526" t="s">
        <v>5095</v>
      </c>
      <c r="H2778" s="412">
        <v>2229.1152000000002</v>
      </c>
      <c r="I2778" s="411">
        <v>80.505359999999996</v>
      </c>
      <c r="J2778" s="411">
        <v>273.53550000000001</v>
      </c>
      <c r="K2778" s="411">
        <v>30646.324799999999</v>
      </c>
      <c r="L2778" s="526" t="s">
        <v>554</v>
      </c>
    </row>
    <row r="2779" spans="1:12" ht="15" x14ac:dyDescent="0.25">
      <c r="A2779">
        <v>191699</v>
      </c>
      <c r="B2779" t="str">
        <f t="shared" si="118"/>
        <v>SEVROLL 04618-Y Victoria II úchytová lišta 2,7m oliva kartáčovaná</v>
      </c>
      <c r="C2779" s="198">
        <f t="shared" si="119"/>
        <v>23.790369999999999</v>
      </c>
      <c r="D2779" s="526" t="s">
        <v>2961</v>
      </c>
      <c r="E2779" s="526" t="s">
        <v>4645</v>
      </c>
      <c r="F2779" s="526" t="s">
        <v>2961</v>
      </c>
      <c r="G2779" s="526" t="s">
        <v>4646</v>
      </c>
      <c r="H2779" s="412">
        <v>658.73212000000001</v>
      </c>
      <c r="I2779" s="411">
        <v>23.790369999999999</v>
      </c>
      <c r="J2779" s="411">
        <v>80.226699999999994</v>
      </c>
      <c r="K2779" s="411">
        <v>9056.3820300000007</v>
      </c>
      <c r="L2779" s="526" t="s">
        <v>553</v>
      </c>
    </row>
    <row r="2780" spans="1:12" ht="15" x14ac:dyDescent="0.25">
      <c r="A2780">
        <v>191700</v>
      </c>
      <c r="B2780" t="str">
        <f t="shared" si="118"/>
        <v>SEVROLL uholník K2 Decor 1,7m oliva kartáčov</v>
      </c>
      <c r="C2780" s="198">
        <f t="shared" si="119"/>
        <v>4.8509599999999997</v>
      </c>
      <c r="D2780" s="526" t="s">
        <v>2962</v>
      </c>
      <c r="E2780" s="526" t="s">
        <v>3708</v>
      </c>
      <c r="F2780" s="526" t="s">
        <v>1222</v>
      </c>
      <c r="G2780" s="526" t="s">
        <v>3709</v>
      </c>
      <c r="H2780" s="412">
        <v>134.31847999999999</v>
      </c>
      <c r="I2780" s="411">
        <v>4.8509599999999997</v>
      </c>
      <c r="J2780" s="411">
        <v>16.4285</v>
      </c>
      <c r="K2780" s="411">
        <v>1846.6373699999999</v>
      </c>
      <c r="L2780" s="526" t="s">
        <v>553</v>
      </c>
    </row>
    <row r="2781" spans="1:12" ht="15" x14ac:dyDescent="0.25">
      <c r="A2781">
        <v>191701</v>
      </c>
      <c r="B2781" t="str">
        <f t="shared" si="118"/>
        <v>SEVROLL uholník K2 Decor 2,35m oliva kartáč.</v>
      </c>
      <c r="C2781" s="198">
        <f t="shared" si="119"/>
        <v>6.70878</v>
      </c>
      <c r="D2781" s="526" t="s">
        <v>2963</v>
      </c>
      <c r="E2781" s="526" t="s">
        <v>3838</v>
      </c>
      <c r="F2781" s="526" t="s">
        <v>1221</v>
      </c>
      <c r="G2781" s="526" t="s">
        <v>3839</v>
      </c>
      <c r="H2781" s="412">
        <v>185.75960000000001</v>
      </c>
      <c r="I2781" s="411">
        <v>6.70878</v>
      </c>
      <c r="J2781" s="411">
        <v>22.690899999999999</v>
      </c>
      <c r="K2781" s="411">
        <v>2553.8604</v>
      </c>
      <c r="L2781" s="526" t="s">
        <v>553</v>
      </c>
    </row>
    <row r="2782" spans="1:12" ht="15" x14ac:dyDescent="0.25">
      <c r="A2782">
        <v>191702</v>
      </c>
      <c r="B2782" t="str">
        <f t="shared" si="118"/>
        <v>SEVROLL uholník K2 Decor 3m oliva kartáč.</v>
      </c>
      <c r="C2782" s="198">
        <f t="shared" si="119"/>
        <v>8.5665999999999993</v>
      </c>
      <c r="D2782" s="526" t="s">
        <v>2964</v>
      </c>
      <c r="E2782" s="526" t="s">
        <v>4039</v>
      </c>
      <c r="F2782" s="526" t="s">
        <v>1220</v>
      </c>
      <c r="G2782" s="526" t="s">
        <v>4040</v>
      </c>
      <c r="H2782" s="412">
        <v>237.20071999999999</v>
      </c>
      <c r="I2782" s="411">
        <v>8.5665999999999993</v>
      </c>
      <c r="J2782" s="411">
        <v>31.558800000000002</v>
      </c>
      <c r="K2782" s="411">
        <v>3261.0834300000001</v>
      </c>
      <c r="L2782" s="526" t="s">
        <v>553</v>
      </c>
    </row>
    <row r="2783" spans="1:12" ht="15" x14ac:dyDescent="0.25">
      <c r="A2783">
        <v>191704</v>
      </c>
      <c r="B2783" t="str">
        <f t="shared" si="118"/>
        <v>SEVROLL spojovacia lišta H18 3m oliva kartáč</v>
      </c>
      <c r="C2783" s="198">
        <f t="shared" si="119"/>
        <v>19.197430000000001</v>
      </c>
      <c r="D2783" s="526" t="s">
        <v>2965</v>
      </c>
      <c r="E2783" s="526" t="s">
        <v>5613</v>
      </c>
      <c r="F2783" s="526" t="s">
        <v>1228</v>
      </c>
      <c r="G2783" s="526" t="s">
        <v>5614</v>
      </c>
      <c r="H2783" s="412">
        <v>531.55823999999996</v>
      </c>
      <c r="I2783" s="411">
        <v>19.197430000000001</v>
      </c>
      <c r="J2783" s="411">
        <v>67.391400000000004</v>
      </c>
      <c r="K2783" s="411">
        <v>7307.9696899999999</v>
      </c>
      <c r="L2783" s="526" t="s">
        <v>553</v>
      </c>
    </row>
    <row r="2784" spans="1:12" ht="15" x14ac:dyDescent="0.25">
      <c r="A2784">
        <v>196709</v>
      </c>
      <c r="B2784" t="str">
        <f t="shared" si="118"/>
        <v>Sevroll 85615 Lux III úchytová lišta 2,7m oliva</v>
      </c>
      <c r="C2784" s="198">
        <f t="shared" si="119"/>
        <v>27.067350000000001</v>
      </c>
      <c r="D2784" s="526" t="s">
        <v>2966</v>
      </c>
      <c r="E2784" s="526" t="s">
        <v>4731</v>
      </c>
      <c r="F2784" s="526" t="s">
        <v>2966</v>
      </c>
      <c r="G2784" s="526" t="s">
        <v>4732</v>
      </c>
      <c r="H2784" s="412" t="e">
        <v>#N/A</v>
      </c>
      <c r="I2784" s="411">
        <v>27.067350000000001</v>
      </c>
      <c r="J2784" s="411">
        <v>102.16219</v>
      </c>
      <c r="K2784" s="411">
        <v>10303.84439</v>
      </c>
      <c r="L2784" s="526" t="e">
        <v>#N/A</v>
      </c>
    </row>
    <row r="2785" spans="1:12" ht="15" x14ac:dyDescent="0.25">
      <c r="A2785">
        <v>196711</v>
      </c>
      <c r="B2785" t="str">
        <f t="shared" si="118"/>
        <v>Sevroll 85515 Lux III úchytová lišta 2,7m strieborná</v>
      </c>
      <c r="C2785" s="198">
        <f t="shared" si="119"/>
        <v>24.538650000000001</v>
      </c>
      <c r="D2785" s="526" t="s">
        <v>2967</v>
      </c>
      <c r="E2785" s="526" t="s">
        <v>4670</v>
      </c>
      <c r="F2785" s="526" t="s">
        <v>4671</v>
      </c>
      <c r="G2785" s="526" t="s">
        <v>4672</v>
      </c>
      <c r="H2785" s="412">
        <v>679.45146</v>
      </c>
      <c r="I2785" s="411">
        <v>24.538650000000001</v>
      </c>
      <c r="J2785" s="411">
        <v>102.72564</v>
      </c>
      <c r="K2785" s="411">
        <v>9341.2356099999997</v>
      </c>
      <c r="L2785" s="526" t="s">
        <v>553</v>
      </c>
    </row>
    <row r="2786" spans="1:12" ht="15" x14ac:dyDescent="0.25">
      <c r="A2786">
        <v>196947</v>
      </c>
      <c r="B2786" t="str">
        <f t="shared" si="118"/>
        <v>SEVROLL 20021-BL dorazový kartáč zásuvný 4,8x6mm</v>
      </c>
      <c r="C2786" s="198">
        <f t="shared" si="119"/>
        <v>0.13933000000000001</v>
      </c>
      <c r="D2786" s="526" t="s">
        <v>2968</v>
      </c>
      <c r="E2786" s="526" t="s">
        <v>5166</v>
      </c>
      <c r="F2786" s="526" t="s">
        <v>5167</v>
      </c>
      <c r="G2786" s="526" t="s">
        <v>5168</v>
      </c>
      <c r="H2786" s="412">
        <v>4.0809699999999998</v>
      </c>
      <c r="I2786" s="411">
        <v>0.13933000000000001</v>
      </c>
      <c r="J2786" s="411">
        <v>0.54059999999999997</v>
      </c>
      <c r="K2786" s="411">
        <v>54.124229999999997</v>
      </c>
      <c r="L2786" s="526" t="s">
        <v>553</v>
      </c>
    </row>
    <row r="2787" spans="1:12" ht="15" x14ac:dyDescent="0.25">
      <c r="A2787">
        <v>197377</v>
      </c>
      <c r="B2787" t="str">
        <f t="shared" si="118"/>
        <v>SEVROLL 02892 Maxim horné vedenie 6m strieborná</v>
      </c>
      <c r="C2787" s="198" t="e">
        <f t="shared" si="119"/>
        <v>#N/A</v>
      </c>
      <c r="D2787" s="526" t="s">
        <v>2969</v>
      </c>
      <c r="E2787" s="526" t="s">
        <v>5075</v>
      </c>
      <c r="F2787" s="526" t="s">
        <v>5076</v>
      </c>
      <c r="G2787" s="526" t="s">
        <v>5077</v>
      </c>
      <c r="H2787" s="412" t="e">
        <v>#N/A</v>
      </c>
      <c r="I2787" s="411" t="e">
        <v>#N/A</v>
      </c>
      <c r="J2787" s="411" t="e">
        <v>#N/A</v>
      </c>
      <c r="K2787" s="411" t="e">
        <v>#N/A</v>
      </c>
      <c r="L2787" s="526" t="e">
        <v>#N/A</v>
      </c>
    </row>
    <row r="2788" spans="1:12" ht="15" x14ac:dyDescent="0.25">
      <c r="A2788">
        <v>197744</v>
      </c>
      <c r="B2788" t="str">
        <f t="shared" si="118"/>
        <v>SEVROLL 03146 Optima 18 úchytová lišta 2,4m strieborná</v>
      </c>
      <c r="C2788" s="198">
        <f t="shared" si="119"/>
        <v>13.49497</v>
      </c>
      <c r="D2788" s="526" t="s">
        <v>2970</v>
      </c>
      <c r="E2788" s="526" t="s">
        <v>4289</v>
      </c>
      <c r="F2788" s="526" t="s">
        <v>4290</v>
      </c>
      <c r="G2788" s="526" t="s">
        <v>4291</v>
      </c>
      <c r="H2788" s="412">
        <v>373.66257999999999</v>
      </c>
      <c r="I2788" s="411">
        <v>13.49497</v>
      </c>
      <c r="J2788" s="411">
        <v>45.474499999999999</v>
      </c>
      <c r="K2788" s="411">
        <v>5137.1882699999996</v>
      </c>
      <c r="L2788" s="526" t="s">
        <v>554</v>
      </c>
    </row>
    <row r="2789" spans="1:12" ht="15" x14ac:dyDescent="0.25">
      <c r="A2789">
        <v>197745</v>
      </c>
      <c r="B2789" t="str">
        <f t="shared" si="118"/>
        <v>SEVROLL 20194 Optima spodné vedenie 2m surová</v>
      </c>
      <c r="C2789" s="198">
        <f t="shared" si="119"/>
        <v>8.2569599999999994</v>
      </c>
      <c r="D2789" s="526" t="s">
        <v>2971</v>
      </c>
      <c r="E2789" s="526" t="s">
        <v>3961</v>
      </c>
      <c r="F2789" s="526" t="s">
        <v>3962</v>
      </c>
      <c r="G2789" s="526" t="s">
        <v>3963</v>
      </c>
      <c r="H2789" s="412">
        <v>228.62719999999999</v>
      </c>
      <c r="I2789" s="411">
        <v>8.2569599999999994</v>
      </c>
      <c r="J2789" s="411">
        <v>27.892399999999999</v>
      </c>
      <c r="K2789" s="411">
        <v>3143.2127999999998</v>
      </c>
      <c r="L2789" s="526" t="s">
        <v>554</v>
      </c>
    </row>
    <row r="2790" spans="1:12" ht="15" x14ac:dyDescent="0.25">
      <c r="A2790">
        <v>197746</v>
      </c>
      <c r="B2790" t="str">
        <f t="shared" si="118"/>
        <v>SEVROLL 20214 Optima spodné vedenie 2,4m surová</v>
      </c>
      <c r="C2790" s="198">
        <f t="shared" si="119"/>
        <v>9.9083500000000004</v>
      </c>
      <c r="D2790" s="526" t="s">
        <v>2972</v>
      </c>
      <c r="E2790" s="526" t="s">
        <v>4079</v>
      </c>
      <c r="F2790" s="526" t="s">
        <v>4080</v>
      </c>
      <c r="G2790" s="526" t="s">
        <v>4081</v>
      </c>
      <c r="H2790" s="412">
        <v>274.35264000000001</v>
      </c>
      <c r="I2790" s="411">
        <v>9.9083500000000004</v>
      </c>
      <c r="J2790" s="411">
        <v>33.433799999999998</v>
      </c>
      <c r="K2790" s="411">
        <v>3771.85529</v>
      </c>
      <c r="L2790" s="526" t="s">
        <v>554</v>
      </c>
    </row>
    <row r="2791" spans="1:12" ht="15" x14ac:dyDescent="0.25">
      <c r="A2791">
        <v>197747</v>
      </c>
      <c r="B2791" t="str">
        <f t="shared" si="118"/>
        <v>SEVROLL 03064 Optima horné vedenie 2m strieborná</v>
      </c>
      <c r="C2791" s="198">
        <f t="shared" si="119"/>
        <v>24.358029999999999</v>
      </c>
      <c r="D2791" s="526" t="s">
        <v>2973</v>
      </c>
      <c r="E2791" s="526" t="s">
        <v>4716</v>
      </c>
      <c r="F2791" s="526" t="s">
        <v>4717</v>
      </c>
      <c r="G2791" s="526" t="s">
        <v>4718</v>
      </c>
      <c r="H2791" s="412">
        <v>674.45024000000001</v>
      </c>
      <c r="I2791" s="411">
        <v>24.358029999999999</v>
      </c>
      <c r="J2791" s="411">
        <v>85.741200000000006</v>
      </c>
      <c r="K2791" s="411">
        <v>9272.4776899999997</v>
      </c>
      <c r="L2791" s="526" t="s">
        <v>554</v>
      </c>
    </row>
    <row r="2792" spans="1:12" ht="15" x14ac:dyDescent="0.25">
      <c r="A2792">
        <v>197748</v>
      </c>
      <c r="B2792" t="str">
        <f t="shared" si="118"/>
        <v>SEVROLL 03182 Optima horné vedenie 2,4m strieborná</v>
      </c>
      <c r="C2792" s="198">
        <f t="shared" si="119"/>
        <v>29.209</v>
      </c>
      <c r="D2792" s="526" t="s">
        <v>2974</v>
      </c>
      <c r="E2792" s="526" t="s">
        <v>4814</v>
      </c>
      <c r="F2792" s="526" t="s">
        <v>4815</v>
      </c>
      <c r="G2792" s="526" t="s">
        <v>4816</v>
      </c>
      <c r="H2792" s="412">
        <v>808.76872000000003</v>
      </c>
      <c r="I2792" s="411">
        <v>29.209</v>
      </c>
      <c r="J2792" s="411">
        <v>102.816</v>
      </c>
      <c r="K2792" s="411">
        <v>11119.11543</v>
      </c>
      <c r="L2792" s="526" t="s">
        <v>554</v>
      </c>
    </row>
    <row r="2793" spans="1:12" ht="15" x14ac:dyDescent="0.25">
      <c r="A2793">
        <v>197749</v>
      </c>
      <c r="B2793" t="str">
        <f t="shared" si="118"/>
        <v>SEVROLL 10192-SV Optima II sada kování (dvoje dvere)</v>
      </c>
      <c r="C2793" s="198">
        <f t="shared" si="119"/>
        <v>26.37584</v>
      </c>
      <c r="D2793" s="526" t="s">
        <v>2975</v>
      </c>
      <c r="E2793" s="526" t="s">
        <v>4841</v>
      </c>
      <c r="F2793" s="526" t="s">
        <v>4842</v>
      </c>
      <c r="G2793" s="526" t="s">
        <v>4843</v>
      </c>
      <c r="H2793" s="412">
        <v>730.32101</v>
      </c>
      <c r="I2793" s="411">
        <v>26.37584</v>
      </c>
      <c r="J2793" s="411">
        <v>92.830200000000005</v>
      </c>
      <c r="K2793" s="411">
        <v>10040.600560000001</v>
      </c>
      <c r="L2793" s="526" t="s">
        <v>554</v>
      </c>
    </row>
    <row r="2794" spans="1:12" ht="15" x14ac:dyDescent="0.25">
      <c r="A2794">
        <v>197753</v>
      </c>
      <c r="B2794" t="str">
        <f t="shared" si="118"/>
        <v>SEVROLL Hide N spodné vedenie Hide N 3m stri</v>
      </c>
      <c r="C2794" s="198">
        <f t="shared" si="119"/>
        <v>12.61767</v>
      </c>
      <c r="D2794" s="526" t="s">
        <v>2976</v>
      </c>
      <c r="E2794" s="526" t="s">
        <v>4244</v>
      </c>
      <c r="F2794" s="526" t="s">
        <v>1268</v>
      </c>
      <c r="G2794" s="526" t="s">
        <v>4245</v>
      </c>
      <c r="H2794" s="412">
        <v>333.03345000000002</v>
      </c>
      <c r="I2794" s="411">
        <v>12.61767</v>
      </c>
      <c r="J2794" s="411">
        <v>43.414319999999996</v>
      </c>
      <c r="K2794" s="411">
        <v>4646.4404000000004</v>
      </c>
      <c r="L2794" s="526" t="s">
        <v>553</v>
      </c>
    </row>
    <row r="2795" spans="1:12" ht="15" x14ac:dyDescent="0.25">
      <c r="A2795">
        <v>197755</v>
      </c>
      <c r="B2795" t="str">
        <f t="shared" si="118"/>
        <v>SEVROLL 02578 Hide N spodné vedenie 3m oliva</v>
      </c>
      <c r="C2795" s="198">
        <f t="shared" si="119"/>
        <v>14.785119999999999</v>
      </c>
      <c r="D2795" s="526" t="s">
        <v>2977</v>
      </c>
      <c r="E2795" s="526" t="s">
        <v>4277</v>
      </c>
      <c r="F2795" s="526" t="s">
        <v>4278</v>
      </c>
      <c r="G2795" s="526" t="s">
        <v>4279</v>
      </c>
      <c r="H2795" s="412">
        <v>390.24164999999999</v>
      </c>
      <c r="I2795" s="411">
        <v>14.785119999999999</v>
      </c>
      <c r="J2795" s="411">
        <v>50.871980000000001</v>
      </c>
      <c r="K2795" s="411">
        <v>5444.6019299999998</v>
      </c>
      <c r="L2795" s="526" t="s">
        <v>554</v>
      </c>
    </row>
    <row r="2796" spans="1:12" ht="15" x14ac:dyDescent="0.25">
      <c r="A2796">
        <v>203925</v>
      </c>
      <c r="B2796" t="str">
        <f t="shared" si="118"/>
        <v>SEVROLL Wilson A - kompletná sada políc</v>
      </c>
      <c r="C2796" s="198">
        <f t="shared" si="119"/>
        <v>79.462140000000005</v>
      </c>
      <c r="D2796" s="526" t="s">
        <v>1734</v>
      </c>
      <c r="E2796" s="526" t="s">
        <v>2166</v>
      </c>
      <c r="F2796" s="526" t="s">
        <v>2329</v>
      </c>
      <c r="G2796" s="526" t="s">
        <v>2640</v>
      </c>
      <c r="H2796" s="412" t="e">
        <v>#N/A</v>
      </c>
      <c r="I2796" s="411">
        <v>79.462140000000005</v>
      </c>
      <c r="J2796" s="411">
        <v>0</v>
      </c>
      <c r="K2796" s="411">
        <v>0</v>
      </c>
      <c r="L2796" s="526" t="e">
        <v>#N/A</v>
      </c>
    </row>
    <row r="2797" spans="1:12" ht="15" x14ac:dyDescent="0.25">
      <c r="A2797">
        <v>203926</v>
      </c>
      <c r="B2797" t="str">
        <f t="shared" si="118"/>
        <v>SEVROLL Wilson B - kompletná sada políc</v>
      </c>
      <c r="C2797" s="198">
        <f t="shared" si="119"/>
        <v>90.577309999999997</v>
      </c>
      <c r="D2797" s="526" t="s">
        <v>1735</v>
      </c>
      <c r="E2797" s="526" t="s">
        <v>2167</v>
      </c>
      <c r="F2797" s="526" t="s">
        <v>2330</v>
      </c>
      <c r="G2797" s="526" t="s">
        <v>2641</v>
      </c>
      <c r="H2797" s="412" t="e">
        <v>#N/A</v>
      </c>
      <c r="I2797" s="411">
        <v>90.577309999999997</v>
      </c>
      <c r="J2797" s="411">
        <v>0</v>
      </c>
      <c r="K2797" s="411">
        <v>0</v>
      </c>
      <c r="L2797" s="526" t="e">
        <v>#N/A</v>
      </c>
    </row>
    <row r="2798" spans="1:12" ht="15" x14ac:dyDescent="0.25">
      <c r="A2798">
        <v>203927</v>
      </c>
      <c r="B2798" t="str">
        <f t="shared" si="118"/>
        <v>SEVROLL Wilson C - kompletná sada políc</v>
      </c>
      <c r="C2798" s="198">
        <f t="shared" si="119"/>
        <v>146.72027</v>
      </c>
      <c r="D2798" s="526" t="s">
        <v>1736</v>
      </c>
      <c r="E2798" s="526" t="s">
        <v>2168</v>
      </c>
      <c r="F2798" s="526" t="s">
        <v>2331</v>
      </c>
      <c r="G2798" s="526" t="s">
        <v>2642</v>
      </c>
      <c r="H2798" s="412" t="e">
        <v>#N/A</v>
      </c>
      <c r="I2798" s="411">
        <v>146.72027</v>
      </c>
      <c r="J2798" s="411">
        <v>0</v>
      </c>
      <c r="K2798" s="411">
        <v>0</v>
      </c>
      <c r="L2798" s="526" t="e">
        <v>#N/A</v>
      </c>
    </row>
    <row r="2799" spans="1:12" ht="15" x14ac:dyDescent="0.25">
      <c r="A2799">
        <v>203928</v>
      </c>
      <c r="B2799" t="str">
        <f t="shared" si="118"/>
        <v>SEVROLL Wilson D - kompletná sada políc</v>
      </c>
      <c r="C2799" s="198">
        <f t="shared" si="119"/>
        <v>180.95045999999999</v>
      </c>
      <c r="D2799" s="526" t="s">
        <v>1737</v>
      </c>
      <c r="E2799" s="526" t="s">
        <v>2169</v>
      </c>
      <c r="F2799" s="526" t="s">
        <v>2332</v>
      </c>
      <c r="G2799" s="526" t="s">
        <v>2643</v>
      </c>
      <c r="H2799" s="412" t="e">
        <v>#N/A</v>
      </c>
      <c r="I2799" s="411">
        <v>180.95045999999999</v>
      </c>
      <c r="J2799" s="411">
        <v>0</v>
      </c>
      <c r="K2799" s="411">
        <v>0</v>
      </c>
      <c r="L2799" s="526" t="e">
        <v>#N/A</v>
      </c>
    </row>
    <row r="2800" spans="1:12" ht="15" x14ac:dyDescent="0.25">
      <c r="A2800">
        <v>203930</v>
      </c>
      <c r="B2800" t="str">
        <f t="shared" si="118"/>
        <v>SEVROLL Wilson E - kompletná sada políc</v>
      </c>
      <c r="C2800" s="198">
        <f t="shared" si="119"/>
        <v>68.12012</v>
      </c>
      <c r="D2800" s="526" t="s">
        <v>1738</v>
      </c>
      <c r="E2800" s="526" t="s">
        <v>2170</v>
      </c>
      <c r="F2800" s="526" t="s">
        <v>2333</v>
      </c>
      <c r="G2800" s="526" t="s">
        <v>2644</v>
      </c>
      <c r="H2800" s="412" t="e">
        <v>#N/A</v>
      </c>
      <c r="I2800" s="411">
        <v>68.12012</v>
      </c>
      <c r="J2800" s="411">
        <v>0</v>
      </c>
      <c r="K2800" s="411">
        <v>0</v>
      </c>
      <c r="L2800" s="526" t="e">
        <v>#N/A</v>
      </c>
    </row>
    <row r="2801" spans="1:12" ht="15" x14ac:dyDescent="0.25">
      <c r="A2801">
        <v>203931</v>
      </c>
      <c r="B2801" t="str">
        <f t="shared" si="118"/>
        <v>SEVROLL Wilson F - kompletná sada políc</v>
      </c>
      <c r="C2801" s="198">
        <f t="shared" si="119"/>
        <v>102.16884</v>
      </c>
      <c r="D2801" s="526" t="s">
        <v>1739</v>
      </c>
      <c r="E2801" s="526" t="s">
        <v>2171</v>
      </c>
      <c r="F2801" s="526" t="s">
        <v>2334</v>
      </c>
      <c r="G2801" s="526" t="s">
        <v>2645</v>
      </c>
      <c r="H2801" s="412" t="e">
        <v>#N/A</v>
      </c>
      <c r="I2801" s="411">
        <v>102.16884</v>
      </c>
      <c r="J2801" s="411">
        <v>0</v>
      </c>
      <c r="K2801" s="411">
        <v>0</v>
      </c>
      <c r="L2801" s="526" t="e">
        <v>#N/A</v>
      </c>
    </row>
    <row r="2802" spans="1:12" ht="15" x14ac:dyDescent="0.25">
      <c r="A2802">
        <v>205074</v>
      </c>
      <c r="B2802" t="str">
        <f t="shared" si="118"/>
        <v>SEVROLL 04378 Fox II úchytová lišta 2,7m oliva tmavá kartáčovaná</v>
      </c>
      <c r="C2802" s="198">
        <f t="shared" si="119"/>
        <v>24.956669999999999</v>
      </c>
      <c r="D2802" s="526" t="s">
        <v>2978</v>
      </c>
      <c r="E2802" s="526" t="s">
        <v>4687</v>
      </c>
      <c r="F2802" s="526" t="s">
        <v>2978</v>
      </c>
      <c r="G2802" s="526" t="s">
        <v>4688</v>
      </c>
      <c r="H2802" s="412">
        <v>691.02571</v>
      </c>
      <c r="I2802" s="411">
        <v>24.956669999999999</v>
      </c>
      <c r="J2802" s="411">
        <v>90.198599999999999</v>
      </c>
      <c r="K2802" s="411">
        <v>9500.3608600000007</v>
      </c>
      <c r="L2802" s="526" t="s">
        <v>554</v>
      </c>
    </row>
    <row r="2803" spans="1:12" ht="15" x14ac:dyDescent="0.25">
      <c r="A2803">
        <v>205077</v>
      </c>
      <c r="B2803" t="str">
        <f t="shared" si="118"/>
        <v>SEVROLL 04375 Fox II úchytová lišta 2,7m čierna  kartáčovaná</v>
      </c>
      <c r="C2803" s="198">
        <f t="shared" si="119"/>
        <v>24.956669999999999</v>
      </c>
      <c r="D2803" s="526" t="s">
        <v>2979</v>
      </c>
      <c r="E2803" s="526" t="s">
        <v>5271</v>
      </c>
      <c r="F2803" s="526" t="s">
        <v>5272</v>
      </c>
      <c r="G2803" s="526" t="s">
        <v>5273</v>
      </c>
      <c r="H2803" s="412">
        <v>691.02571</v>
      </c>
      <c r="I2803" s="411">
        <v>24.956669999999999</v>
      </c>
      <c r="J2803" s="411">
        <v>90.198599999999999</v>
      </c>
      <c r="K2803" s="411">
        <v>9500.3608600000007</v>
      </c>
      <c r="L2803" s="526" t="s">
        <v>553</v>
      </c>
    </row>
    <row r="2804" spans="1:12" ht="15" x14ac:dyDescent="0.25">
      <c r="A2804">
        <v>205078</v>
      </c>
      <c r="B2804" t="str">
        <f t="shared" si="118"/>
        <v>SEVROLL 04344 Elegant II spodné vedenie 2,35m oliva tmavá kartáčovaná</v>
      </c>
      <c r="C2804" s="198">
        <f t="shared" si="119"/>
        <v>21.2836</v>
      </c>
      <c r="D2804" s="526" t="s">
        <v>2980</v>
      </c>
      <c r="E2804" s="526" t="s">
        <v>5203</v>
      </c>
      <c r="F2804" s="526" t="s">
        <v>5204</v>
      </c>
      <c r="G2804" s="526" t="s">
        <v>5205</v>
      </c>
      <c r="H2804" s="412">
        <v>589.32232999999997</v>
      </c>
      <c r="I2804" s="411">
        <v>21.2836</v>
      </c>
      <c r="J2804" s="411">
        <v>76.367400000000004</v>
      </c>
      <c r="K2804" s="411">
        <v>8102.1224899999997</v>
      </c>
      <c r="L2804" s="526" t="s">
        <v>554</v>
      </c>
    </row>
    <row r="2805" spans="1:12" ht="15" x14ac:dyDescent="0.25">
      <c r="A2805">
        <v>205079</v>
      </c>
      <c r="B2805" t="str">
        <f t="shared" si="118"/>
        <v>SEVROLL 04339 Elegant II spodné vedenie  2,35m čierna  kartáčovaná</v>
      </c>
      <c r="C2805" s="198">
        <f t="shared" si="119"/>
        <v>21.2836</v>
      </c>
      <c r="D2805" s="526" t="s">
        <v>2981</v>
      </c>
      <c r="E2805" s="526" t="s">
        <v>5197</v>
      </c>
      <c r="F2805" s="526" t="s">
        <v>5198</v>
      </c>
      <c r="G2805" s="526" t="s">
        <v>5199</v>
      </c>
      <c r="H2805" s="412">
        <v>589.32232999999997</v>
      </c>
      <c r="I2805" s="411">
        <v>21.2836</v>
      </c>
      <c r="J2805" s="411">
        <v>76.367400000000004</v>
      </c>
      <c r="K2805" s="411">
        <v>8102.1224899999997</v>
      </c>
      <c r="L2805" s="526" t="s">
        <v>553</v>
      </c>
    </row>
    <row r="2806" spans="1:12" ht="15" x14ac:dyDescent="0.25">
      <c r="A2806">
        <v>205087</v>
      </c>
      <c r="B2806" t="str">
        <f t="shared" si="118"/>
        <v>SEVROLL 04346 Elegant II spodné vedenie 4,05m oliva tmavá kartáčovaná</v>
      </c>
      <c r="C2806" s="198">
        <f t="shared" si="119"/>
        <v>36.680259999999997</v>
      </c>
      <c r="D2806" s="526" t="s">
        <v>2982</v>
      </c>
      <c r="E2806" s="526" t="s">
        <v>5236</v>
      </c>
      <c r="F2806" s="526" t="s">
        <v>5237</v>
      </c>
      <c r="G2806" s="526" t="s">
        <v>5238</v>
      </c>
      <c r="H2806" s="412">
        <v>1015.96212</v>
      </c>
      <c r="I2806" s="411">
        <v>36.680259999999997</v>
      </c>
      <c r="J2806" s="411">
        <v>131.8554</v>
      </c>
      <c r="K2806" s="411">
        <v>13963.23186</v>
      </c>
      <c r="L2806" s="526" t="s">
        <v>554</v>
      </c>
    </row>
    <row r="2807" spans="1:12" ht="15" x14ac:dyDescent="0.25">
      <c r="A2807">
        <v>205088</v>
      </c>
      <c r="B2807" t="str">
        <f t="shared" si="118"/>
        <v>SEVROLL 04341 Elegant II spodné vedenie  4,05m čierna  kartáčovaná</v>
      </c>
      <c r="C2807" s="198">
        <f t="shared" si="119"/>
        <v>36.680259999999997</v>
      </c>
      <c r="D2807" s="526" t="s">
        <v>2983</v>
      </c>
      <c r="E2807" s="526" t="s">
        <v>5230</v>
      </c>
      <c r="F2807" s="526" t="s">
        <v>5231</v>
      </c>
      <c r="G2807" s="526" t="s">
        <v>5232</v>
      </c>
      <c r="H2807" s="412">
        <v>1015.96212</v>
      </c>
      <c r="I2807" s="411">
        <v>36.680259999999997</v>
      </c>
      <c r="J2807" s="411">
        <v>131.8554</v>
      </c>
      <c r="K2807" s="411">
        <v>13963.23186</v>
      </c>
      <c r="L2807" s="526" t="s">
        <v>553</v>
      </c>
    </row>
    <row r="2808" spans="1:12" ht="15" x14ac:dyDescent="0.25">
      <c r="A2808">
        <v>205089</v>
      </c>
      <c r="B2808" t="str">
        <f t="shared" si="118"/>
        <v>SEVROLL 04343 Elegant II spodné vedenie 1,7m oliva tmavá kartáčovaná</v>
      </c>
      <c r="C2808" s="198">
        <f t="shared" si="119"/>
        <v>15.404389999999999</v>
      </c>
      <c r="D2808" s="526" t="s">
        <v>2984</v>
      </c>
      <c r="E2808" s="526" t="s">
        <v>5186</v>
      </c>
      <c r="F2808" s="526" t="s">
        <v>5187</v>
      </c>
      <c r="G2808" s="526" t="s">
        <v>5188</v>
      </c>
      <c r="H2808" s="412">
        <v>426.53262000000001</v>
      </c>
      <c r="I2808" s="411">
        <v>15.404389999999999</v>
      </c>
      <c r="J2808" s="411">
        <v>55.386000000000003</v>
      </c>
      <c r="K2808" s="411">
        <v>5864.0565299999998</v>
      </c>
      <c r="L2808" s="526" t="s">
        <v>554</v>
      </c>
    </row>
    <row r="2809" spans="1:12" ht="15" x14ac:dyDescent="0.25">
      <c r="A2809">
        <v>205090</v>
      </c>
      <c r="B2809" t="str">
        <f t="shared" ref="B2809:B2872" si="120">IF($A$2=1,D2809,IF($A$2=2,F2809,IF($A$2=3,G2809,IF($A$2=4,E2809,"zadat jazyk"))))</f>
        <v>SEVROLL 04338 Elegant II spodné vedenie  1,7m čierna  kartáčovaná</v>
      </c>
      <c r="C2809" s="198">
        <f t="shared" ref="C2809:C2872" si="121">IF($A$2=1,H2809,IF($A$2=2,I2809,IF($A$2=3,J2809,IF($A$2=4,K2809,"zadat jazyk"))))</f>
        <v>15.404389999999999</v>
      </c>
      <c r="D2809" s="526" t="s">
        <v>2985</v>
      </c>
      <c r="E2809" s="526" t="s">
        <v>5177</v>
      </c>
      <c r="F2809" s="526" t="s">
        <v>5178</v>
      </c>
      <c r="G2809" s="526" t="s">
        <v>5179</v>
      </c>
      <c r="H2809" s="412">
        <v>426.53262000000001</v>
      </c>
      <c r="I2809" s="411">
        <v>15.404389999999999</v>
      </c>
      <c r="J2809" s="411">
        <v>55.386000000000003</v>
      </c>
      <c r="K2809" s="411">
        <v>5864.0565299999998</v>
      </c>
      <c r="L2809" s="526" t="s">
        <v>553</v>
      </c>
    </row>
    <row r="2810" spans="1:12" ht="15" x14ac:dyDescent="0.25">
      <c r="A2810">
        <v>205098</v>
      </c>
      <c r="B2810" t="str">
        <f t="shared" si="120"/>
        <v>SEVROLL 04345 Elegant II spodné vedenie 3m oliva tmavá kartáčovaná</v>
      </c>
      <c r="C2810" s="198">
        <f t="shared" si="121"/>
        <v>27.170559999999998</v>
      </c>
      <c r="D2810" s="526" t="s">
        <v>2986</v>
      </c>
      <c r="E2810" s="526" t="s">
        <v>5221</v>
      </c>
      <c r="F2810" s="526" t="s">
        <v>5222</v>
      </c>
      <c r="G2810" s="526" t="s">
        <v>5223</v>
      </c>
      <c r="H2810" s="412">
        <v>752.32637999999997</v>
      </c>
      <c r="I2810" s="411">
        <v>27.170559999999998</v>
      </c>
      <c r="J2810" s="411">
        <v>97.675200000000004</v>
      </c>
      <c r="K2810" s="411">
        <v>10343.134470000001</v>
      </c>
      <c r="L2810" s="526" t="s">
        <v>554</v>
      </c>
    </row>
    <row r="2811" spans="1:12" ht="15" x14ac:dyDescent="0.25">
      <c r="A2811">
        <v>205103</v>
      </c>
      <c r="B2811" t="str">
        <f t="shared" si="120"/>
        <v>SEVROLL 03100 horná vodiaca lišta 1,7m oliva tmavá kartáčovaná</v>
      </c>
      <c r="C2811" s="198">
        <f t="shared" si="121"/>
        <v>13.004709999999999</v>
      </c>
      <c r="D2811" s="526" t="s">
        <v>2987</v>
      </c>
      <c r="E2811" s="526" t="s">
        <v>5342</v>
      </c>
      <c r="F2811" s="526" t="s">
        <v>5343</v>
      </c>
      <c r="G2811" s="526" t="s">
        <v>5344</v>
      </c>
      <c r="H2811" s="412">
        <v>360.08784000000003</v>
      </c>
      <c r="I2811" s="411">
        <v>13.004709999999999</v>
      </c>
      <c r="J2811" s="411">
        <v>63.382800000000003</v>
      </c>
      <c r="K2811" s="411">
        <v>4950.5600899999999</v>
      </c>
      <c r="L2811" s="526" t="s">
        <v>554</v>
      </c>
    </row>
    <row r="2812" spans="1:12" ht="15" x14ac:dyDescent="0.25">
      <c r="A2812">
        <v>205105</v>
      </c>
      <c r="B2812" t="str">
        <f t="shared" si="120"/>
        <v>SEVROLL horná vodiaca lišta 1,7m čierna kartáčovaná</v>
      </c>
      <c r="C2812" s="198">
        <f t="shared" si="121"/>
        <v>13.004709999999999</v>
      </c>
      <c r="D2812" s="526" t="s">
        <v>2988</v>
      </c>
      <c r="E2812" s="526" t="s">
        <v>5334</v>
      </c>
      <c r="F2812" s="526" t="s">
        <v>5335</v>
      </c>
      <c r="G2812" s="526" t="s">
        <v>5336</v>
      </c>
      <c r="H2812" s="412">
        <v>360.08784000000003</v>
      </c>
      <c r="I2812" s="411">
        <v>13.004709999999999</v>
      </c>
      <c r="J2812" s="411">
        <v>63.382800000000003</v>
      </c>
      <c r="K2812" s="411">
        <v>4950.5600899999999</v>
      </c>
      <c r="L2812" s="526" t="s">
        <v>553</v>
      </c>
    </row>
    <row r="2813" spans="1:12" ht="15" x14ac:dyDescent="0.25">
      <c r="A2813">
        <v>205156</v>
      </c>
      <c r="B2813" t="str">
        <f t="shared" si="120"/>
        <v>SEVROLL 03101 horná vodiaca lišta 2,35m oliva tmavá kartáčovaná</v>
      </c>
      <c r="C2813" s="198">
        <f t="shared" si="121"/>
        <v>18.036300000000001</v>
      </c>
      <c r="D2813" s="526" t="s">
        <v>2989</v>
      </c>
      <c r="E2813" s="526" t="s">
        <v>5358</v>
      </c>
      <c r="F2813" s="526" t="s">
        <v>5359</v>
      </c>
      <c r="G2813" s="526" t="s">
        <v>5360</v>
      </c>
      <c r="H2813" s="412">
        <v>499.40753999999998</v>
      </c>
      <c r="I2813" s="411">
        <v>18.036300000000001</v>
      </c>
      <c r="J2813" s="411">
        <v>87.638400000000004</v>
      </c>
      <c r="K2813" s="411">
        <v>6865.9553900000001</v>
      </c>
      <c r="L2813" s="526" t="s">
        <v>554</v>
      </c>
    </row>
    <row r="2814" spans="1:12" ht="15" x14ac:dyDescent="0.25">
      <c r="A2814">
        <v>205157</v>
      </c>
      <c r="B2814" t="str">
        <f t="shared" si="120"/>
        <v>SEVROLL VODIACA LIŠTA 2,35M čierna KARTÁČ</v>
      </c>
      <c r="C2814" s="198">
        <f t="shared" si="121"/>
        <v>18.036300000000001</v>
      </c>
      <c r="D2814" s="526" t="s">
        <v>2990</v>
      </c>
      <c r="E2814" s="526" t="s">
        <v>5351</v>
      </c>
      <c r="F2814" s="526" t="s">
        <v>1266</v>
      </c>
      <c r="G2814" s="526" t="s">
        <v>5352</v>
      </c>
      <c r="H2814" s="412">
        <v>499.40753999999998</v>
      </c>
      <c r="I2814" s="411">
        <v>18.036300000000001</v>
      </c>
      <c r="J2814" s="411">
        <v>87.638400000000004</v>
      </c>
      <c r="K2814" s="411">
        <v>6865.9553900000001</v>
      </c>
      <c r="L2814" s="526" t="s">
        <v>553</v>
      </c>
    </row>
    <row r="2815" spans="1:12" ht="15" x14ac:dyDescent="0.25">
      <c r="A2815">
        <v>205158</v>
      </c>
      <c r="B2815" t="str">
        <f t="shared" si="120"/>
        <v>SEVROLL 03102 horná vodiaca lišta 3m oliva tmavá kartáčovaná</v>
      </c>
      <c r="C2815" s="198">
        <f t="shared" si="121"/>
        <v>22.990469999999998</v>
      </c>
      <c r="D2815" s="526" t="s">
        <v>2991</v>
      </c>
      <c r="E2815" s="526" t="s">
        <v>5377</v>
      </c>
      <c r="F2815" s="526" t="s">
        <v>5378</v>
      </c>
      <c r="G2815" s="526" t="s">
        <v>5379</v>
      </c>
      <c r="H2815" s="412">
        <v>636.58385999999996</v>
      </c>
      <c r="I2815" s="411">
        <v>22.990469999999998</v>
      </c>
      <c r="J2815" s="411">
        <v>111.41459999999999</v>
      </c>
      <c r="K2815" s="411">
        <v>8751.88321</v>
      </c>
      <c r="L2815" s="526" t="s">
        <v>554</v>
      </c>
    </row>
    <row r="2816" spans="1:12" ht="15" x14ac:dyDescent="0.25">
      <c r="A2816">
        <v>205159</v>
      </c>
      <c r="B2816" t="str">
        <f t="shared" si="120"/>
        <v>SEVROLL VODIACA LIŠTA 3M čierna KARTÁČ.</v>
      </c>
      <c r="C2816" s="198">
        <f t="shared" si="121"/>
        <v>22.990469999999998</v>
      </c>
      <c r="D2816" s="526" t="s">
        <v>2992</v>
      </c>
      <c r="E2816" s="526" t="s">
        <v>5370</v>
      </c>
      <c r="F2816" s="526" t="s">
        <v>1264</v>
      </c>
      <c r="G2816" s="526" t="s">
        <v>5371</v>
      </c>
      <c r="H2816" s="412">
        <v>636.58385999999996</v>
      </c>
      <c r="I2816" s="411">
        <v>22.990469999999998</v>
      </c>
      <c r="J2816" s="411">
        <v>111.41459999999999</v>
      </c>
      <c r="K2816" s="411">
        <v>8751.88321</v>
      </c>
      <c r="L2816" s="526" t="s">
        <v>553</v>
      </c>
    </row>
    <row r="2817" spans="1:12" ht="15" x14ac:dyDescent="0.25">
      <c r="A2817">
        <v>205160</v>
      </c>
      <c r="B2817" t="str">
        <f t="shared" si="120"/>
        <v>SEVROLL 03104 spojovacia lišta H10 3m oliva tmavá kartáčovaná</v>
      </c>
      <c r="C2817" s="198">
        <f t="shared" si="121"/>
        <v>21.44229</v>
      </c>
      <c r="D2817" s="526" t="s">
        <v>2993</v>
      </c>
      <c r="E2817" s="526" t="s">
        <v>4534</v>
      </c>
      <c r="F2817" s="526" t="s">
        <v>4535</v>
      </c>
      <c r="G2817" s="526" t="s">
        <v>4536</v>
      </c>
      <c r="H2817" s="412">
        <v>593.71626000000003</v>
      </c>
      <c r="I2817" s="411">
        <v>21.44229</v>
      </c>
      <c r="J2817" s="411">
        <v>72.378100000000003</v>
      </c>
      <c r="K2817" s="411">
        <v>8162.5308100000002</v>
      </c>
      <c r="L2817" s="526" t="s">
        <v>554</v>
      </c>
    </row>
    <row r="2818" spans="1:12" ht="15" x14ac:dyDescent="0.25">
      <c r="A2818">
        <v>205161</v>
      </c>
      <c r="B2818" t="str">
        <f t="shared" si="120"/>
        <v>SEVROLL spoj.lišta H10 3m čierna kartáč</v>
      </c>
      <c r="C2818" s="198">
        <f t="shared" si="121"/>
        <v>21.44229</v>
      </c>
      <c r="D2818" s="526" t="s">
        <v>2994</v>
      </c>
      <c r="E2818" s="526" t="s">
        <v>4572</v>
      </c>
      <c r="F2818" s="526" t="s">
        <v>1232</v>
      </c>
      <c r="G2818" s="526" t="s">
        <v>4573</v>
      </c>
      <c r="H2818" s="412">
        <v>593.71626000000003</v>
      </c>
      <c r="I2818" s="411">
        <v>21.44229</v>
      </c>
      <c r="J2818" s="411">
        <v>72.378100000000003</v>
      </c>
      <c r="K2818" s="411">
        <v>8162.5308100000002</v>
      </c>
      <c r="L2818" s="526" t="s">
        <v>553</v>
      </c>
    </row>
    <row r="2819" spans="1:12" ht="15" x14ac:dyDescent="0.25">
      <c r="A2819">
        <v>205162</v>
      </c>
      <c r="B2819" t="str">
        <f t="shared" si="120"/>
        <v>SEVROLL 03119 Gemini horné vedenie 1,7m oliva tmavá kartáčovaná</v>
      </c>
      <c r="C2819" s="198">
        <f t="shared" si="121"/>
        <v>24.125810000000001</v>
      </c>
      <c r="D2819" s="526" t="s">
        <v>2995</v>
      </c>
      <c r="E2819" s="526" t="s">
        <v>5284</v>
      </c>
      <c r="F2819" s="526" t="s">
        <v>5285</v>
      </c>
      <c r="G2819" s="526" t="s">
        <v>5286</v>
      </c>
      <c r="H2819" s="412">
        <v>668.02009999999996</v>
      </c>
      <c r="I2819" s="411">
        <v>24.125810000000001</v>
      </c>
      <c r="J2819" s="411">
        <v>84.170400000000001</v>
      </c>
      <c r="K2819" s="411">
        <v>9184.0748999999996</v>
      </c>
      <c r="L2819" s="526" t="s">
        <v>554</v>
      </c>
    </row>
    <row r="2820" spans="1:12" ht="15" x14ac:dyDescent="0.25">
      <c r="A2820">
        <v>205163</v>
      </c>
      <c r="B2820" t="str">
        <f t="shared" si="120"/>
        <v>SEVROLL Gemini horné vedenie 1,7m čierna kar</v>
      </c>
      <c r="C2820" s="198">
        <f t="shared" si="121"/>
        <v>24.125810000000001</v>
      </c>
      <c r="D2820" s="526" t="s">
        <v>2996</v>
      </c>
      <c r="E2820" s="526" t="s">
        <v>5279</v>
      </c>
      <c r="F2820" s="526" t="s">
        <v>1191</v>
      </c>
      <c r="G2820" s="526" t="s">
        <v>5280</v>
      </c>
      <c r="H2820" s="412">
        <v>668.02009999999996</v>
      </c>
      <c r="I2820" s="411">
        <v>24.125810000000001</v>
      </c>
      <c r="J2820" s="411">
        <v>84.170400000000001</v>
      </c>
      <c r="K2820" s="411">
        <v>9184.0748999999996</v>
      </c>
      <c r="L2820" s="526" t="s">
        <v>553</v>
      </c>
    </row>
    <row r="2821" spans="1:12" ht="15" x14ac:dyDescent="0.25">
      <c r="A2821">
        <v>205164</v>
      </c>
      <c r="B2821" t="str">
        <f t="shared" si="120"/>
        <v>SEVROLL 03120 Gemini horné vedenie 2,35m oliva tmavá kartáčovaná</v>
      </c>
      <c r="C2821" s="198">
        <f t="shared" si="121"/>
        <v>33.337479999999999</v>
      </c>
      <c r="D2821" s="526" t="s">
        <v>2997</v>
      </c>
      <c r="E2821" s="526" t="s">
        <v>5295</v>
      </c>
      <c r="F2821" s="526" t="s">
        <v>5296</v>
      </c>
      <c r="G2821" s="526" t="s">
        <v>5297</v>
      </c>
      <c r="H2821" s="412">
        <v>923.08231999999998</v>
      </c>
      <c r="I2821" s="411">
        <v>33.337479999999999</v>
      </c>
      <c r="J2821" s="411">
        <v>116.5962</v>
      </c>
      <c r="K2821" s="411">
        <v>12690.72183</v>
      </c>
      <c r="L2821" s="526" t="s">
        <v>554</v>
      </c>
    </row>
    <row r="2822" spans="1:12" ht="15" x14ac:dyDescent="0.25">
      <c r="A2822">
        <v>205165</v>
      </c>
      <c r="B2822" t="str">
        <f t="shared" si="120"/>
        <v>SEVROLL Gemini horné vedenie 2,35m čierna ka</v>
      </c>
      <c r="C2822" s="198">
        <f t="shared" si="121"/>
        <v>33.337479999999999</v>
      </c>
      <c r="D2822" s="526" t="s">
        <v>2998</v>
      </c>
      <c r="E2822" s="526" t="s">
        <v>5290</v>
      </c>
      <c r="F2822" s="526" t="s">
        <v>1275</v>
      </c>
      <c r="G2822" s="526" t="s">
        <v>5291</v>
      </c>
      <c r="H2822" s="412">
        <v>923.08231999999998</v>
      </c>
      <c r="I2822" s="411">
        <v>33.337479999999999</v>
      </c>
      <c r="J2822" s="411">
        <v>116.5962</v>
      </c>
      <c r="K2822" s="411">
        <v>12690.72183</v>
      </c>
      <c r="L2822" s="526" t="s">
        <v>553</v>
      </c>
    </row>
    <row r="2823" spans="1:12" ht="15" x14ac:dyDescent="0.25">
      <c r="A2823">
        <v>205166</v>
      </c>
      <c r="B2823" t="str">
        <f t="shared" si="120"/>
        <v>SEVROLL 03121 Gemini horné vedenie 3m oliva tmavá kartáčovaná</v>
      </c>
      <c r="C2823" s="198">
        <f t="shared" si="121"/>
        <v>42.549149999999997</v>
      </c>
      <c r="D2823" s="526" t="s">
        <v>2999</v>
      </c>
      <c r="E2823" s="526" t="s">
        <v>5306</v>
      </c>
      <c r="F2823" s="526" t="s">
        <v>5307</v>
      </c>
      <c r="G2823" s="526" t="s">
        <v>5308</v>
      </c>
      <c r="H2823" s="412">
        <v>1178.14454</v>
      </c>
      <c r="I2823" s="411">
        <v>42.549149999999997</v>
      </c>
      <c r="J2823" s="411">
        <v>148.83840000000001</v>
      </c>
      <c r="K2823" s="411">
        <v>16197.36839</v>
      </c>
      <c r="L2823" s="526" t="s">
        <v>554</v>
      </c>
    </row>
    <row r="2824" spans="1:12" ht="15" x14ac:dyDescent="0.25">
      <c r="A2824">
        <v>205167</v>
      </c>
      <c r="B2824" t="str">
        <f t="shared" si="120"/>
        <v>SEVROLL Gemini horné vedenie 3m čierna kartá</v>
      </c>
      <c r="C2824" s="198">
        <f t="shared" si="121"/>
        <v>42.549149999999997</v>
      </c>
      <c r="D2824" s="526" t="s">
        <v>3000</v>
      </c>
      <c r="E2824" s="526" t="s">
        <v>5301</v>
      </c>
      <c r="F2824" s="526" t="s">
        <v>1274</v>
      </c>
      <c r="G2824" s="526" t="s">
        <v>5302</v>
      </c>
      <c r="H2824" s="412">
        <v>1178.14454</v>
      </c>
      <c r="I2824" s="411">
        <v>42.549149999999997</v>
      </c>
      <c r="J2824" s="411">
        <v>148.83840000000001</v>
      </c>
      <c r="K2824" s="411">
        <v>16197.36839</v>
      </c>
      <c r="L2824" s="526" t="s">
        <v>553</v>
      </c>
    </row>
    <row r="2825" spans="1:12" ht="15" x14ac:dyDescent="0.25">
      <c r="A2825">
        <v>205168</v>
      </c>
      <c r="B2825" t="str">
        <f t="shared" si="120"/>
        <v>SEVROLL 03122 Gemini horné vedenie 4,05m oliva tmavá kartáčovaná</v>
      </c>
      <c r="C2825" s="198">
        <f t="shared" si="121"/>
        <v>57.437480000000001</v>
      </c>
      <c r="D2825" s="526" t="s">
        <v>3001</v>
      </c>
      <c r="E2825" s="526" t="s">
        <v>5317</v>
      </c>
      <c r="F2825" s="526" t="s">
        <v>5318</v>
      </c>
      <c r="G2825" s="526" t="s">
        <v>5319</v>
      </c>
      <c r="H2825" s="412">
        <v>1590.38796</v>
      </c>
      <c r="I2825" s="411">
        <v>57.437480000000001</v>
      </c>
      <c r="J2825" s="411">
        <v>200.9196</v>
      </c>
      <c r="K2825" s="411">
        <v>21864.974109999999</v>
      </c>
      <c r="L2825" s="526" t="s">
        <v>554</v>
      </c>
    </row>
    <row r="2826" spans="1:12" ht="15" x14ac:dyDescent="0.25">
      <c r="A2826">
        <v>205169</v>
      </c>
      <c r="B2826" t="str">
        <f t="shared" si="120"/>
        <v>SEVROLL Gemini horné vedenie 4,05m čierna ka</v>
      </c>
      <c r="C2826" s="198">
        <f t="shared" si="121"/>
        <v>57.437480000000001</v>
      </c>
      <c r="D2826" s="526" t="s">
        <v>3002</v>
      </c>
      <c r="E2826" s="526" t="s">
        <v>5312</v>
      </c>
      <c r="F2826" s="526" t="s">
        <v>1273</v>
      </c>
      <c r="G2826" s="526" t="s">
        <v>5313</v>
      </c>
      <c r="H2826" s="412">
        <v>1590.38796</v>
      </c>
      <c r="I2826" s="411">
        <v>57.437480000000001</v>
      </c>
      <c r="J2826" s="411">
        <v>200.9196</v>
      </c>
      <c r="K2826" s="411">
        <v>21864.974109999999</v>
      </c>
      <c r="L2826" s="526" t="s">
        <v>553</v>
      </c>
    </row>
    <row r="2827" spans="1:12" ht="15" x14ac:dyDescent="0.25">
      <c r="A2827">
        <v>205170</v>
      </c>
      <c r="B2827" t="str">
        <f t="shared" si="120"/>
        <v>SEVROLL 03094 spodná krycia lišta 1,7m 10mm oliva tmavá kartáčovaná</v>
      </c>
      <c r="C2827" s="198">
        <f t="shared" si="121"/>
        <v>22.08737</v>
      </c>
      <c r="D2827" s="526" t="s">
        <v>3003</v>
      </c>
      <c r="E2827" s="526" t="s">
        <v>4560</v>
      </c>
      <c r="F2827" s="526" t="s">
        <v>4561</v>
      </c>
      <c r="G2827" s="526" t="s">
        <v>4562</v>
      </c>
      <c r="H2827" s="412">
        <v>611.57776000000001</v>
      </c>
      <c r="I2827" s="411">
        <v>22.08737</v>
      </c>
      <c r="J2827" s="411">
        <v>75.418800000000005</v>
      </c>
      <c r="K2827" s="411">
        <v>8408.0943100000004</v>
      </c>
      <c r="L2827" s="526" t="s">
        <v>554</v>
      </c>
    </row>
    <row r="2828" spans="1:12" ht="15" x14ac:dyDescent="0.25">
      <c r="A2828">
        <v>205171</v>
      </c>
      <c r="B2828" t="str">
        <f t="shared" si="120"/>
        <v>SEVROLL spodná krycia lišta 1,7m 10mm čierna kartáčovaná</v>
      </c>
      <c r="C2828" s="198">
        <f t="shared" si="121"/>
        <v>22.08737</v>
      </c>
      <c r="D2828" s="526" t="s">
        <v>3004</v>
      </c>
      <c r="E2828" s="526" t="s">
        <v>5520</v>
      </c>
      <c r="F2828" s="526" t="s">
        <v>5521</v>
      </c>
      <c r="G2828" s="526" t="s">
        <v>5522</v>
      </c>
      <c r="H2828" s="412">
        <v>611.57776000000001</v>
      </c>
      <c r="I2828" s="411">
        <v>22.08737</v>
      </c>
      <c r="J2828" s="411">
        <v>75.418800000000005</v>
      </c>
      <c r="K2828" s="411">
        <v>8408.0943100000004</v>
      </c>
      <c r="L2828" s="526" t="s">
        <v>553</v>
      </c>
    </row>
    <row r="2829" spans="1:12" ht="15" x14ac:dyDescent="0.25">
      <c r="A2829">
        <v>205172</v>
      </c>
      <c r="B2829" t="str">
        <f t="shared" si="120"/>
        <v>SEVROLL sp.kryc.lišta 2,35m oliva tm.kartáč</v>
      </c>
      <c r="C2829" s="198">
        <f t="shared" si="121"/>
        <v>30.576560000000001</v>
      </c>
      <c r="D2829" s="526" t="s">
        <v>3005</v>
      </c>
      <c r="E2829" s="526" t="s">
        <v>5603</v>
      </c>
      <c r="F2829" s="526" t="s">
        <v>1127</v>
      </c>
      <c r="G2829" s="526" t="s">
        <v>5604</v>
      </c>
      <c r="H2829" s="412">
        <v>846.63509999999997</v>
      </c>
      <c r="I2829" s="411">
        <v>30.576560000000001</v>
      </c>
      <c r="J2829" s="411">
        <v>105.3484</v>
      </c>
      <c r="K2829" s="411">
        <v>11639.7099</v>
      </c>
      <c r="L2829" s="526" t="s">
        <v>554</v>
      </c>
    </row>
    <row r="2830" spans="1:12" ht="15" x14ac:dyDescent="0.25">
      <c r="A2830">
        <v>205173</v>
      </c>
      <c r="B2830" t="str">
        <f t="shared" si="120"/>
        <v>SEVROLL spod.krycia lišta 2,35m, 10mm čierna kartá</v>
      </c>
      <c r="C2830" s="198">
        <f t="shared" si="121"/>
        <v>30.576560000000001</v>
      </c>
      <c r="D2830" s="526" t="s">
        <v>3006</v>
      </c>
      <c r="E2830" s="526" t="s">
        <v>5547</v>
      </c>
      <c r="F2830" s="526" t="s">
        <v>5548</v>
      </c>
      <c r="G2830" s="526" t="s">
        <v>5549</v>
      </c>
      <c r="H2830" s="412">
        <v>846.63509999999997</v>
      </c>
      <c r="I2830" s="411">
        <v>30.576560000000001</v>
      </c>
      <c r="J2830" s="411">
        <v>105.3484</v>
      </c>
      <c r="K2830" s="411">
        <v>11639.7099</v>
      </c>
      <c r="L2830" s="526" t="s">
        <v>553</v>
      </c>
    </row>
    <row r="2831" spans="1:12" ht="15" x14ac:dyDescent="0.25">
      <c r="A2831">
        <v>205174</v>
      </c>
      <c r="B2831" t="str">
        <f t="shared" si="120"/>
        <v>SEVROLL spodná krycia lišta 3m 10mm oliva tmavá kartáčovaná</v>
      </c>
      <c r="C2831" s="198">
        <f t="shared" si="121"/>
        <v>39.065739999999998</v>
      </c>
      <c r="D2831" s="526" t="s">
        <v>3007</v>
      </c>
      <c r="E2831" s="526" t="s">
        <v>4897</v>
      </c>
      <c r="F2831" s="526" t="s">
        <v>4898</v>
      </c>
      <c r="G2831" s="526" t="s">
        <v>4899</v>
      </c>
      <c r="H2831" s="412">
        <v>1081.69244</v>
      </c>
      <c r="I2831" s="411">
        <v>39.065739999999998</v>
      </c>
      <c r="J2831" s="411">
        <v>134.56950000000001</v>
      </c>
      <c r="K2831" s="411">
        <v>14871.325489999999</v>
      </c>
      <c r="L2831" s="526" t="s">
        <v>554</v>
      </c>
    </row>
    <row r="2832" spans="1:12" ht="15" x14ac:dyDescent="0.25">
      <c r="A2832">
        <v>205175</v>
      </c>
      <c r="B2832" t="str">
        <f t="shared" si="120"/>
        <v>SEVROLL spod.krycia lišta 3m 10mm čierna kartáč</v>
      </c>
      <c r="C2832" s="198">
        <f t="shared" si="121"/>
        <v>39.065739999999998</v>
      </c>
      <c r="D2832" s="526" t="s">
        <v>3008</v>
      </c>
      <c r="E2832" s="526" t="s">
        <v>5553</v>
      </c>
      <c r="F2832" s="526" t="s">
        <v>5554</v>
      </c>
      <c r="G2832" s="526" t="s">
        <v>5555</v>
      </c>
      <c r="H2832" s="412">
        <v>1081.69244</v>
      </c>
      <c r="I2832" s="411">
        <v>39.065739999999998</v>
      </c>
      <c r="J2832" s="411">
        <v>134.56950000000001</v>
      </c>
      <c r="K2832" s="411">
        <v>14871.325489999999</v>
      </c>
      <c r="L2832" s="526" t="s">
        <v>553</v>
      </c>
    </row>
    <row r="2833" spans="1:12" ht="15" x14ac:dyDescent="0.25">
      <c r="A2833">
        <v>205186</v>
      </c>
      <c r="B2833" t="str">
        <f t="shared" si="120"/>
        <v>SEVROLL 04340 Elegant II spodné vedenie  3m čierna  kartáčovaná</v>
      </c>
      <c r="C2833" s="198">
        <f t="shared" si="121"/>
        <v>27.170559999999998</v>
      </c>
      <c r="D2833" s="526" t="s">
        <v>3009</v>
      </c>
      <c r="E2833" s="526" t="s">
        <v>5215</v>
      </c>
      <c r="F2833" s="526" t="s">
        <v>5216</v>
      </c>
      <c r="G2833" s="526" t="s">
        <v>5217</v>
      </c>
      <c r="H2833" s="412">
        <v>752.32637999999997</v>
      </c>
      <c r="I2833" s="411">
        <v>27.170559999999998</v>
      </c>
      <c r="J2833" s="411">
        <v>97.675200000000004</v>
      </c>
      <c r="K2833" s="411">
        <v>10343.134470000001</v>
      </c>
      <c r="L2833" s="526" t="s">
        <v>553</v>
      </c>
    </row>
    <row r="2834" spans="1:12" ht="15" x14ac:dyDescent="0.25">
      <c r="A2834">
        <v>211069</v>
      </c>
      <c r="B2834" t="str">
        <f t="shared" si="120"/>
        <v>SEVROLL Exclusive horné vedenie 1,2m oliva</v>
      </c>
      <c r="C2834" s="198">
        <f t="shared" si="121"/>
        <v>15.662419999999999</v>
      </c>
      <c r="D2834" s="526" t="s">
        <v>3010</v>
      </c>
      <c r="E2834" s="526" t="s">
        <v>4306</v>
      </c>
      <c r="F2834" s="526" t="s">
        <v>1200</v>
      </c>
      <c r="G2834" s="526" t="s">
        <v>4307</v>
      </c>
      <c r="H2834" s="412">
        <v>413.39735000000002</v>
      </c>
      <c r="I2834" s="411">
        <v>15.662419999999999</v>
      </c>
      <c r="J2834" s="411">
        <v>53.890560000000001</v>
      </c>
      <c r="K2834" s="411">
        <v>5767.6673000000001</v>
      </c>
      <c r="L2834" s="526" t="s">
        <v>554</v>
      </c>
    </row>
    <row r="2835" spans="1:12" ht="15" x14ac:dyDescent="0.25">
      <c r="A2835">
        <v>212542</v>
      </c>
      <c r="B2835" t="str">
        <f t="shared" si="120"/>
        <v>SEVROLL Star úchytová lišta 2,7m strieborná</v>
      </c>
      <c r="C2835" s="198">
        <f t="shared" si="121"/>
        <v>26.29843</v>
      </c>
      <c r="D2835" s="526" t="s">
        <v>3011</v>
      </c>
      <c r="E2835" s="526" t="s">
        <v>4768</v>
      </c>
      <c r="F2835" s="526" t="s">
        <v>1123</v>
      </c>
      <c r="G2835" s="526" t="s">
        <v>4769</v>
      </c>
      <c r="H2835" s="412">
        <v>728.17763000000002</v>
      </c>
      <c r="I2835" s="411">
        <v>26.29843</v>
      </c>
      <c r="J2835" s="411">
        <v>96.298199999999994</v>
      </c>
      <c r="K2835" s="411">
        <v>10011.13272</v>
      </c>
      <c r="L2835" s="526" t="s">
        <v>554</v>
      </c>
    </row>
    <row r="2836" spans="1:12" ht="15" x14ac:dyDescent="0.25">
      <c r="A2836">
        <v>212543</v>
      </c>
      <c r="B2836" t="str">
        <f t="shared" si="120"/>
        <v>SEVROLL Star úchytová lišta 2,7m oliva</v>
      </c>
      <c r="C2836" s="198">
        <f t="shared" si="121"/>
        <v>32.873019999999997</v>
      </c>
      <c r="D2836" s="526" t="s">
        <v>3012</v>
      </c>
      <c r="E2836" s="526" t="s">
        <v>4828</v>
      </c>
      <c r="F2836" s="526" t="s">
        <v>1124</v>
      </c>
      <c r="G2836" s="526" t="s">
        <v>4829</v>
      </c>
      <c r="H2836" s="412">
        <v>910.22203999999999</v>
      </c>
      <c r="I2836" s="411">
        <v>32.873019999999997</v>
      </c>
      <c r="J2836" s="411">
        <v>111.58329999999999</v>
      </c>
      <c r="K2836" s="411">
        <v>12513.91589</v>
      </c>
      <c r="L2836" s="526" t="s">
        <v>554</v>
      </c>
    </row>
    <row r="2837" spans="1:12" ht="15" x14ac:dyDescent="0.25">
      <c r="A2837">
        <v>212607</v>
      </c>
      <c r="B2837" t="str">
        <f t="shared" si="120"/>
        <v>SEVROLL tesnenie na sklo 10/6,4mm</v>
      </c>
      <c r="C2837" s="198">
        <f t="shared" si="121"/>
        <v>0.79988999999999999</v>
      </c>
      <c r="D2837" s="526" t="s">
        <v>3013</v>
      </c>
      <c r="E2837" s="526" t="s">
        <v>6206</v>
      </c>
      <c r="F2837" s="526" t="s">
        <v>1120</v>
      </c>
      <c r="G2837" s="526" t="s">
        <v>6207</v>
      </c>
      <c r="H2837" s="412">
        <v>23.502649999999999</v>
      </c>
      <c r="I2837" s="411">
        <v>0.79988999999999999</v>
      </c>
      <c r="J2837" s="411">
        <v>2.7501000000000002</v>
      </c>
      <c r="K2837" s="411">
        <v>310.71307999999999</v>
      </c>
      <c r="L2837" s="526" t="s">
        <v>553</v>
      </c>
    </row>
    <row r="2838" spans="1:12" ht="15" x14ac:dyDescent="0.25">
      <c r="A2838">
        <v>212613</v>
      </c>
      <c r="B2838" t="str">
        <f t="shared" si="120"/>
        <v>SEVROLL 20208 koncovka k lište Hide N strieborná</v>
      </c>
      <c r="C2838" s="198">
        <f t="shared" si="121"/>
        <v>5.3412199999999999</v>
      </c>
      <c r="D2838" s="526" t="s">
        <v>3014</v>
      </c>
      <c r="E2838" s="526" t="s">
        <v>3799</v>
      </c>
      <c r="F2838" s="526" t="s">
        <v>3800</v>
      </c>
      <c r="G2838" s="526" t="s">
        <v>3801</v>
      </c>
      <c r="H2838" s="412">
        <v>147.89322000000001</v>
      </c>
      <c r="I2838" s="411">
        <v>5.3412199999999999</v>
      </c>
      <c r="J2838" s="411">
        <v>18.059999999999999</v>
      </c>
      <c r="K2838" s="411">
        <v>2033.26593</v>
      </c>
      <c r="L2838" s="526" t="s">
        <v>553</v>
      </c>
    </row>
    <row r="2839" spans="1:12" ht="15" x14ac:dyDescent="0.25">
      <c r="A2839">
        <v>212616</v>
      </c>
      <c r="B2839" t="str">
        <f t="shared" si="120"/>
        <v>SEVROLL 20208 brzda k lište Hide N a M</v>
      </c>
      <c r="C2839" s="198">
        <f t="shared" si="121"/>
        <v>2.6835100000000001</v>
      </c>
      <c r="D2839" s="526" t="s">
        <v>3015</v>
      </c>
      <c r="E2839" s="526" t="s">
        <v>6208</v>
      </c>
      <c r="F2839" s="526" t="s">
        <v>6209</v>
      </c>
      <c r="G2839" s="526" t="s">
        <v>6210</v>
      </c>
      <c r="H2839" s="412">
        <v>74.303839999999994</v>
      </c>
      <c r="I2839" s="411">
        <v>2.6835100000000001</v>
      </c>
      <c r="J2839" s="411">
        <v>12.1584</v>
      </c>
      <c r="K2839" s="411">
        <v>1021.54409</v>
      </c>
      <c r="L2839" s="526" t="s">
        <v>553</v>
      </c>
    </row>
    <row r="2840" spans="1:12" ht="15" x14ac:dyDescent="0.25">
      <c r="A2840">
        <v>212759</v>
      </c>
      <c r="B2840" t="str">
        <f t="shared" si="120"/>
        <v>SEVROLL Secret Line II rámová lišta 2,7m strieborná</v>
      </c>
      <c r="C2840" s="198">
        <f t="shared" si="121"/>
        <v>7.6634900000000004</v>
      </c>
      <c r="D2840" s="526" t="s">
        <v>3016</v>
      </c>
      <c r="E2840" s="526" t="s">
        <v>3925</v>
      </c>
      <c r="F2840" s="526" t="s">
        <v>3926</v>
      </c>
      <c r="G2840" s="526" t="s">
        <v>3927</v>
      </c>
      <c r="H2840" s="412">
        <v>212.19461999999999</v>
      </c>
      <c r="I2840" s="411">
        <v>7.6634900000000004</v>
      </c>
      <c r="J2840" s="411">
        <v>26.948399999999999</v>
      </c>
      <c r="K2840" s="411">
        <v>2917.2945300000001</v>
      </c>
      <c r="L2840" s="526" t="s">
        <v>554</v>
      </c>
    </row>
    <row r="2841" spans="1:12" ht="15" x14ac:dyDescent="0.25">
      <c r="A2841">
        <v>212760</v>
      </c>
      <c r="B2841" t="str">
        <f t="shared" si="120"/>
        <v>SEVROLL Slim Line II rámová lišta 2,7m strieborná</v>
      </c>
      <c r="C2841" s="198">
        <f t="shared" si="121"/>
        <v>8.6440099999999997</v>
      </c>
      <c r="D2841" s="526" t="s">
        <v>3017</v>
      </c>
      <c r="E2841" s="526" t="s">
        <v>3999</v>
      </c>
      <c r="F2841" s="526" t="s">
        <v>4000</v>
      </c>
      <c r="G2841" s="526" t="s">
        <v>4001</v>
      </c>
      <c r="H2841" s="412">
        <v>239.3441</v>
      </c>
      <c r="I2841" s="411">
        <v>8.6440099999999997</v>
      </c>
      <c r="J2841" s="411">
        <v>30.498000000000001</v>
      </c>
      <c r="K2841" s="411">
        <v>3290.5509000000002</v>
      </c>
      <c r="L2841" s="526" t="s">
        <v>554</v>
      </c>
    </row>
    <row r="2842" spans="1:12" ht="15" x14ac:dyDescent="0.25">
      <c r="A2842">
        <v>212761</v>
      </c>
      <c r="B2842" t="str">
        <f t="shared" si="120"/>
        <v>SEVROLL Line horné vedenie 2m alu surová</v>
      </c>
      <c r="C2842" s="198">
        <f t="shared" si="121"/>
        <v>69.719710000000006</v>
      </c>
      <c r="D2842" s="526" t="s">
        <v>3018</v>
      </c>
      <c r="E2842" s="526" t="s">
        <v>5088</v>
      </c>
      <c r="F2842" s="526" t="s">
        <v>1166</v>
      </c>
      <c r="G2842" s="526" t="s">
        <v>5089</v>
      </c>
      <c r="H2842" s="412">
        <v>1930.47092</v>
      </c>
      <c r="I2842" s="411">
        <v>69.719710000000006</v>
      </c>
      <c r="J2842" s="411">
        <v>246.024</v>
      </c>
      <c r="K2842" s="411">
        <v>26540.503229999998</v>
      </c>
      <c r="L2842" s="526" t="s">
        <v>554</v>
      </c>
    </row>
    <row r="2843" spans="1:12" ht="15" x14ac:dyDescent="0.25">
      <c r="A2843">
        <v>212762</v>
      </c>
      <c r="B2843" t="str">
        <f t="shared" si="120"/>
        <v>SEVROLL Line spodné vedenie 2m alu surová</v>
      </c>
      <c r="C2843" s="198">
        <f t="shared" si="121"/>
        <v>17.700859999999999</v>
      </c>
      <c r="D2843" s="526" t="s">
        <v>3019</v>
      </c>
      <c r="E2843" s="526" t="s">
        <v>4506</v>
      </c>
      <c r="F2843" s="526" t="s">
        <v>1163</v>
      </c>
      <c r="G2843" s="526" t="s">
        <v>4507</v>
      </c>
      <c r="H2843" s="412">
        <v>490.11955999999998</v>
      </c>
      <c r="I2843" s="411">
        <v>17.700859999999999</v>
      </c>
      <c r="J2843" s="411">
        <v>62.423999999999999</v>
      </c>
      <c r="K2843" s="411">
        <v>6738.2625099999996</v>
      </c>
      <c r="L2843" s="526" t="s">
        <v>554</v>
      </c>
    </row>
    <row r="2844" spans="1:12" ht="15" x14ac:dyDescent="0.25">
      <c r="A2844">
        <v>212763</v>
      </c>
      <c r="B2844" t="str">
        <f t="shared" si="120"/>
        <v>SEVROLL Line sada kovania pre 2 krídla-ľavá</v>
      </c>
      <c r="C2844" s="198">
        <f t="shared" si="121"/>
        <v>56.71499</v>
      </c>
      <c r="D2844" s="526" t="s">
        <v>3020</v>
      </c>
      <c r="E2844" s="526" t="s">
        <v>5112</v>
      </c>
      <c r="F2844" s="526" t="s">
        <v>1165</v>
      </c>
      <c r="G2844" s="526" t="s">
        <v>5113</v>
      </c>
      <c r="H2844" s="412">
        <v>1570.3830800000001</v>
      </c>
      <c r="I2844" s="411">
        <v>56.71499</v>
      </c>
      <c r="J2844" s="411">
        <v>368.93400000000003</v>
      </c>
      <c r="K2844" s="411">
        <v>21589.942770000001</v>
      </c>
      <c r="L2844" s="526" t="s">
        <v>554</v>
      </c>
    </row>
    <row r="2845" spans="1:12" ht="15" x14ac:dyDescent="0.25">
      <c r="A2845">
        <v>212764</v>
      </c>
      <c r="B2845" t="str">
        <f t="shared" si="120"/>
        <v>SEVROLL Line sada kovania pre 2krídla- pravá</v>
      </c>
      <c r="C2845" s="198">
        <f t="shared" si="121"/>
        <v>56.71499</v>
      </c>
      <c r="D2845" s="526" t="s">
        <v>3021</v>
      </c>
      <c r="E2845" s="526" t="s">
        <v>5114</v>
      </c>
      <c r="F2845" s="526" t="s">
        <v>1164</v>
      </c>
      <c r="G2845" s="526" t="s">
        <v>5115</v>
      </c>
      <c r="H2845" s="412">
        <v>1570.3830800000001</v>
      </c>
      <c r="I2845" s="411">
        <v>56.71499</v>
      </c>
      <c r="J2845" s="411">
        <v>368.93400000000003</v>
      </c>
      <c r="K2845" s="411">
        <v>21589.942770000001</v>
      </c>
      <c r="L2845" s="526" t="s">
        <v>554</v>
      </c>
    </row>
    <row r="2846" spans="1:12" ht="15" x14ac:dyDescent="0.25">
      <c r="A2846">
        <v>213167</v>
      </c>
      <c r="B2846" t="str">
        <f t="shared" si="120"/>
        <v>SEVROLL obojstranná lepiaca páska 50mm 10</v>
      </c>
      <c r="C2846" s="198">
        <f t="shared" si="121"/>
        <v>4.9025699999999999</v>
      </c>
      <c r="D2846" s="526" t="s">
        <v>3022</v>
      </c>
      <c r="E2846" s="526" t="s">
        <v>3767</v>
      </c>
      <c r="F2846" s="526" t="s">
        <v>1146</v>
      </c>
      <c r="G2846" s="526" t="s">
        <v>3768</v>
      </c>
      <c r="H2846" s="412">
        <v>144.04849999999999</v>
      </c>
      <c r="I2846" s="411">
        <v>4.9025699999999999</v>
      </c>
      <c r="J2846" s="411">
        <v>16.541799999999999</v>
      </c>
      <c r="K2846" s="411">
        <v>1904.37</v>
      </c>
      <c r="L2846" s="526" t="s">
        <v>554</v>
      </c>
    </row>
    <row r="2847" spans="1:12" ht="15" x14ac:dyDescent="0.25">
      <c r="A2847">
        <v>213362</v>
      </c>
      <c r="B2847" t="str">
        <f t="shared" si="120"/>
        <v>SEVROLL Herkules Glass sada kov.100kg + 2m</v>
      </c>
      <c r="C2847" s="198" t="e">
        <f t="shared" si="121"/>
        <v>#N/A</v>
      </c>
      <c r="D2847" s="526" t="s">
        <v>3023</v>
      </c>
      <c r="E2847" s="526" t="s">
        <v>5118</v>
      </c>
      <c r="F2847" s="526" t="s">
        <v>1186</v>
      </c>
      <c r="G2847" s="526" t="s">
        <v>5119</v>
      </c>
      <c r="H2847" s="412" t="e">
        <v>#N/A</v>
      </c>
      <c r="I2847" s="411" t="e">
        <v>#N/A</v>
      </c>
      <c r="J2847" s="411" t="e">
        <v>#N/A</v>
      </c>
      <c r="K2847" s="411" t="e">
        <v>#N/A</v>
      </c>
      <c r="L2847" s="526" t="e">
        <v>#N/A</v>
      </c>
    </row>
    <row r="2848" spans="1:12" ht="15" x14ac:dyDescent="0.25">
      <c r="A2848">
        <v>213363</v>
      </c>
      <c r="B2848" t="str">
        <f t="shared" si="120"/>
        <v>SEVROLL Herkules tlmič 40-80kg</v>
      </c>
      <c r="C2848" s="198">
        <f t="shared" si="121"/>
        <v>66.971950000000007</v>
      </c>
      <c r="D2848" s="526" t="s">
        <v>3024</v>
      </c>
      <c r="E2848" s="526" t="s">
        <v>5050</v>
      </c>
      <c r="F2848" s="526" t="s">
        <v>1171</v>
      </c>
      <c r="G2848" s="526" t="s">
        <v>5051</v>
      </c>
      <c r="H2848" s="412">
        <v>1789.7994000000001</v>
      </c>
      <c r="I2848" s="411">
        <v>66.971950000000007</v>
      </c>
      <c r="J2848" s="411">
        <v>233.31861000000001</v>
      </c>
      <c r="K2848" s="411">
        <v>24971.05384</v>
      </c>
      <c r="L2848" s="526" t="s">
        <v>555</v>
      </c>
    </row>
    <row r="2849" spans="1:12" ht="15" x14ac:dyDescent="0.25">
      <c r="A2849">
        <v>213609</v>
      </c>
      <c r="B2849" t="str">
        <f t="shared" si="120"/>
        <v>SEVROLL Hide M spodné vedenie Hide M 3m stri</v>
      </c>
      <c r="C2849" s="198">
        <f t="shared" si="121"/>
        <v>8.66981</v>
      </c>
      <c r="D2849" s="526" t="s">
        <v>3025</v>
      </c>
      <c r="E2849" s="526" t="s">
        <v>4041</v>
      </c>
      <c r="F2849" s="526" t="s">
        <v>1269</v>
      </c>
      <c r="G2849" s="526" t="s">
        <v>4042</v>
      </c>
      <c r="H2849" s="412">
        <v>228.83279999999999</v>
      </c>
      <c r="I2849" s="411">
        <v>8.66981</v>
      </c>
      <c r="J2849" s="411">
        <v>29.8307</v>
      </c>
      <c r="K2849" s="411">
        <v>3192.6461599999998</v>
      </c>
      <c r="L2849" s="526" t="s">
        <v>553</v>
      </c>
    </row>
    <row r="2850" spans="1:12" ht="15" x14ac:dyDescent="0.25">
      <c r="A2850">
        <v>213721</v>
      </c>
      <c r="B2850" t="str">
        <f t="shared" si="120"/>
        <v>SEVROLL profil "U" Mini na DTD 18mm 3m strieborná</v>
      </c>
      <c r="C2850" s="198">
        <f t="shared" si="121"/>
        <v>3.6898300000000002</v>
      </c>
      <c r="D2850" s="526" t="s">
        <v>3026</v>
      </c>
      <c r="E2850" s="526" t="s">
        <v>3633</v>
      </c>
      <c r="F2850" s="526" t="s">
        <v>3634</v>
      </c>
      <c r="G2850" s="526" t="s">
        <v>3635</v>
      </c>
      <c r="H2850" s="412">
        <v>102.16777999999999</v>
      </c>
      <c r="I2850" s="411">
        <v>3.6898300000000002</v>
      </c>
      <c r="J2850" s="411">
        <v>12.442399999999999</v>
      </c>
      <c r="K2850" s="411">
        <v>1404.6230700000001</v>
      </c>
      <c r="L2850" s="526" t="s">
        <v>554</v>
      </c>
    </row>
    <row r="2851" spans="1:12" ht="15" x14ac:dyDescent="0.25">
      <c r="A2851">
        <v>213767</v>
      </c>
      <c r="B2851" t="str">
        <f t="shared" si="120"/>
        <v>SEVROLL dorazový kartáč samolepiaci 6,7x4mm šedý</v>
      </c>
      <c r="C2851" s="198">
        <f t="shared" si="121"/>
        <v>0.26705000000000001</v>
      </c>
      <c r="D2851" s="526" t="s">
        <v>3027</v>
      </c>
      <c r="E2851" s="526" t="s">
        <v>5148</v>
      </c>
      <c r="F2851" s="526" t="s">
        <v>6211</v>
      </c>
      <c r="G2851" s="526" t="s">
        <v>6212</v>
      </c>
      <c r="H2851" s="412">
        <v>7.8468499999999999</v>
      </c>
      <c r="I2851" s="411">
        <v>0.26705000000000001</v>
      </c>
      <c r="J2851" s="411">
        <v>1.1577</v>
      </c>
      <c r="K2851" s="411">
        <v>103.73808</v>
      </c>
      <c r="L2851" s="526" t="s">
        <v>554</v>
      </c>
    </row>
    <row r="2852" spans="1:12" ht="15" x14ac:dyDescent="0.25">
      <c r="A2852">
        <v>213977</v>
      </c>
      <c r="B2852" t="str">
        <f t="shared" si="120"/>
        <v>SEVROLL 04611 Beta 18 úchytová lišta 2,70m strieborná</v>
      </c>
      <c r="C2852" s="198">
        <f t="shared" si="121"/>
        <v>7.5899099999999997</v>
      </c>
      <c r="D2852" s="526" t="s">
        <v>3028</v>
      </c>
      <c r="E2852" s="526" t="s">
        <v>3846</v>
      </c>
      <c r="F2852" s="526" t="s">
        <v>3847</v>
      </c>
      <c r="G2852" s="526" t="s">
        <v>3848</v>
      </c>
      <c r="H2852" s="412">
        <v>210.05124000000001</v>
      </c>
      <c r="I2852" s="411">
        <v>7.5899099999999997</v>
      </c>
      <c r="J2852" s="411">
        <v>29.4984</v>
      </c>
      <c r="K2852" s="411">
        <v>2889.2804700000002</v>
      </c>
      <c r="L2852" s="526" t="s">
        <v>553</v>
      </c>
    </row>
    <row r="2853" spans="1:12" ht="15" x14ac:dyDescent="0.25">
      <c r="A2853">
        <v>213978</v>
      </c>
      <c r="B2853" t="str">
        <f t="shared" si="120"/>
        <v>SEVROLL Beta 18 úchytová lišta 2,70m oliva</v>
      </c>
      <c r="C2853" s="198">
        <f t="shared" si="121"/>
        <v>9.4873700000000003</v>
      </c>
      <c r="D2853" s="526" t="s">
        <v>3029</v>
      </c>
      <c r="E2853" s="526" t="s">
        <v>3916</v>
      </c>
      <c r="F2853" s="526" t="s">
        <v>1213</v>
      </c>
      <c r="G2853" s="526" t="s">
        <v>3917</v>
      </c>
      <c r="H2853" s="412">
        <v>262.92128000000002</v>
      </c>
      <c r="I2853" s="411">
        <v>9.4873700000000003</v>
      </c>
      <c r="J2853" s="411">
        <v>32.986800000000002</v>
      </c>
      <c r="K2853" s="411">
        <v>3611.60079</v>
      </c>
      <c r="L2853" s="526" t="s">
        <v>554</v>
      </c>
    </row>
    <row r="2854" spans="1:12" ht="15" x14ac:dyDescent="0.25">
      <c r="A2854">
        <v>214745</v>
      </c>
      <c r="B2854" t="str">
        <f t="shared" si="120"/>
        <v>SEVROLL spojovacia lišta H10 Decor 3m strieb</v>
      </c>
      <c r="C2854" s="198">
        <f t="shared" si="121"/>
        <v>13.222490000000001</v>
      </c>
      <c r="D2854" s="526" t="s">
        <v>3030</v>
      </c>
      <c r="E2854" s="526" t="s">
        <v>5605</v>
      </c>
      <c r="F2854" s="526" t="s">
        <v>1231</v>
      </c>
      <c r="G2854" s="526" t="s">
        <v>5606</v>
      </c>
      <c r="H2854" s="412">
        <v>365.80351999999999</v>
      </c>
      <c r="I2854" s="411">
        <v>13.222490000000001</v>
      </c>
      <c r="J2854" s="411">
        <v>48.042000000000002</v>
      </c>
      <c r="K2854" s="411">
        <v>5033.4624299999996</v>
      </c>
      <c r="L2854" s="526" t="s">
        <v>553</v>
      </c>
    </row>
    <row r="2855" spans="1:12" ht="15" x14ac:dyDescent="0.25">
      <c r="A2855">
        <v>214825</v>
      </c>
      <c r="B2855" t="str">
        <f t="shared" si="120"/>
        <v>SEVROLL Exclusive sada kovania ZPE18</v>
      </c>
      <c r="C2855" s="198">
        <f t="shared" si="121"/>
        <v>38.988329999999998</v>
      </c>
      <c r="D2855" s="526" t="s">
        <v>3031</v>
      </c>
      <c r="E2855" s="526" t="s">
        <v>4947</v>
      </c>
      <c r="F2855" s="526" t="s">
        <v>1195</v>
      </c>
      <c r="G2855" s="526" t="s">
        <v>4948</v>
      </c>
      <c r="H2855" s="412">
        <v>1029.06655</v>
      </c>
      <c r="I2855" s="411">
        <v>38.988329999999998</v>
      </c>
      <c r="J2855" s="411">
        <v>134.14932999999999</v>
      </c>
      <c r="K2855" s="411">
        <v>14357.405769999999</v>
      </c>
      <c r="L2855" s="526" t="s">
        <v>554</v>
      </c>
    </row>
    <row r="2856" spans="1:12" ht="15" x14ac:dyDescent="0.25">
      <c r="A2856">
        <v>215232</v>
      </c>
      <c r="B2856" t="str">
        <f t="shared" si="120"/>
        <v>SEVROLL Libra úchytová lišta 18mm 2,70m strieborná</v>
      </c>
      <c r="C2856" s="198">
        <f t="shared" si="121"/>
        <v>12.669269999999999</v>
      </c>
      <c r="D2856" s="526" t="s">
        <v>3032</v>
      </c>
      <c r="E2856" s="526" t="s">
        <v>4186</v>
      </c>
      <c r="F2856" s="526" t="s">
        <v>4187</v>
      </c>
      <c r="G2856" s="526" t="s">
        <v>4188</v>
      </c>
      <c r="H2856" s="412">
        <v>347.01425</v>
      </c>
      <c r="I2856" s="411">
        <v>12.669269999999999</v>
      </c>
      <c r="J2856" s="411">
        <v>45.355609999999999</v>
      </c>
      <c r="K2856" s="411">
        <v>4921.2930800000004</v>
      </c>
      <c r="L2856" s="526" t="s">
        <v>554</v>
      </c>
    </row>
    <row r="2857" spans="1:12" ht="15" x14ac:dyDescent="0.25">
      <c r="A2857">
        <v>215233</v>
      </c>
      <c r="B2857" t="str">
        <f t="shared" si="120"/>
        <v>SEVROLL Fala úch.lišta 10mm 2,70m strieborná</v>
      </c>
      <c r="C2857" s="198">
        <f t="shared" si="121"/>
        <v>11.843579999999999</v>
      </c>
      <c r="D2857" s="526" t="s">
        <v>3033</v>
      </c>
      <c r="E2857" s="526" t="s">
        <v>5256</v>
      </c>
      <c r="F2857" s="526" t="s">
        <v>1278</v>
      </c>
      <c r="G2857" s="526" t="s">
        <v>5257</v>
      </c>
      <c r="H2857" s="412">
        <v>324.39825000000002</v>
      </c>
      <c r="I2857" s="411">
        <v>11.843579999999999</v>
      </c>
      <c r="J2857" s="411">
        <v>45.41854</v>
      </c>
      <c r="K2857" s="411">
        <v>4600.5569299999997</v>
      </c>
      <c r="L2857" s="526" t="s">
        <v>553</v>
      </c>
    </row>
    <row r="2858" spans="1:12" ht="15" x14ac:dyDescent="0.25">
      <c r="A2858">
        <v>215234</v>
      </c>
      <c r="B2858" t="str">
        <f t="shared" si="120"/>
        <v>SEVROLL Polo úch.lišta 10mm 2,70m strieborná</v>
      </c>
      <c r="C2858" s="198">
        <f t="shared" si="121"/>
        <v>12.927300000000001</v>
      </c>
      <c r="D2858" s="526" t="s">
        <v>3034</v>
      </c>
      <c r="E2858" s="526" t="s">
        <v>4166</v>
      </c>
      <c r="F2858" s="526" t="s">
        <v>1241</v>
      </c>
      <c r="G2858" s="526" t="s">
        <v>4167</v>
      </c>
      <c r="H2858" s="412">
        <v>354.08175</v>
      </c>
      <c r="I2858" s="411">
        <v>12.927300000000001</v>
      </c>
      <c r="J2858" s="411">
        <v>45.41854</v>
      </c>
      <c r="K2858" s="411">
        <v>5021.5230799999999</v>
      </c>
      <c r="L2858" s="526" t="s">
        <v>553</v>
      </c>
    </row>
    <row r="2859" spans="1:12" ht="15" x14ac:dyDescent="0.25">
      <c r="A2859">
        <v>216338</v>
      </c>
      <c r="B2859" t="str">
        <f t="shared" si="120"/>
        <v>SEVROLL Simple horné vedenie 6m strieborná</v>
      </c>
      <c r="C2859" s="198">
        <f t="shared" si="121"/>
        <v>42.574950000000001</v>
      </c>
      <c r="D2859" s="526" t="s">
        <v>3035</v>
      </c>
      <c r="E2859" s="526" t="s">
        <v>4942</v>
      </c>
      <c r="F2859" s="526" t="s">
        <v>1073</v>
      </c>
      <c r="G2859" s="526" t="s">
        <v>4943</v>
      </c>
      <c r="H2859" s="412">
        <v>1166.1375</v>
      </c>
      <c r="I2859" s="411">
        <v>42.574950000000001</v>
      </c>
      <c r="J2859" s="411">
        <v>157.76137</v>
      </c>
      <c r="K2859" s="411">
        <v>16537.95</v>
      </c>
      <c r="L2859" s="526" t="s">
        <v>554</v>
      </c>
    </row>
    <row r="2860" spans="1:12" ht="15" x14ac:dyDescent="0.25">
      <c r="A2860">
        <v>216341</v>
      </c>
      <c r="B2860" t="str">
        <f t="shared" si="120"/>
        <v>SEVROLL Simple spodné vedenie 6m strieborná</v>
      </c>
      <c r="C2860" s="198">
        <f t="shared" si="121"/>
        <v>22.396999999999998</v>
      </c>
      <c r="D2860" s="526" t="s">
        <v>3036</v>
      </c>
      <c r="E2860" s="526" t="s">
        <v>4589</v>
      </c>
      <c r="F2860" s="526" t="s">
        <v>1071</v>
      </c>
      <c r="G2860" s="526" t="s">
        <v>4590</v>
      </c>
      <c r="H2860" s="412">
        <v>613.45899999999995</v>
      </c>
      <c r="I2860" s="411">
        <v>22.396999999999998</v>
      </c>
      <c r="J2860" s="411">
        <v>82.672120000000007</v>
      </c>
      <c r="K2860" s="411">
        <v>8699.9638500000001</v>
      </c>
      <c r="L2860" s="526" t="s">
        <v>554</v>
      </c>
    </row>
    <row r="2861" spans="1:12" ht="15" x14ac:dyDescent="0.25">
      <c r="A2861">
        <v>216354</v>
      </c>
      <c r="B2861" t="str">
        <f t="shared" si="120"/>
        <v>SEVROLL horný vozík Simple (10mm Fala ) asym</v>
      </c>
      <c r="C2861" s="198">
        <f t="shared" si="121"/>
        <v>2.1416499999999998</v>
      </c>
      <c r="D2861" s="526" t="s">
        <v>3037</v>
      </c>
      <c r="E2861" s="526" t="s">
        <v>5429</v>
      </c>
      <c r="F2861" s="526" t="s">
        <v>1083</v>
      </c>
      <c r="G2861" s="526" t="s">
        <v>5430</v>
      </c>
      <c r="H2861" s="412">
        <v>62.926450000000003</v>
      </c>
      <c r="I2861" s="411">
        <v>2.1416499999999998</v>
      </c>
      <c r="J2861" s="411">
        <v>8.4953299999999992</v>
      </c>
      <c r="K2861" s="411">
        <v>831.90885000000003</v>
      </c>
      <c r="L2861" s="526" t="s">
        <v>554</v>
      </c>
    </row>
    <row r="2862" spans="1:12" ht="15" x14ac:dyDescent="0.25">
      <c r="A2862">
        <v>216355</v>
      </c>
      <c r="B2862" t="str">
        <f t="shared" si="120"/>
        <v>SEVROLL horný vozík Simple (10mm Polo) symet</v>
      </c>
      <c r="C2862" s="198">
        <f t="shared" si="121"/>
        <v>2.1416499999999998</v>
      </c>
      <c r="D2862" s="526" t="s">
        <v>3038</v>
      </c>
      <c r="E2862" s="526" t="s">
        <v>5431</v>
      </c>
      <c r="F2862" s="526" t="s">
        <v>1082</v>
      </c>
      <c r="G2862" s="526" t="s">
        <v>5432</v>
      </c>
      <c r="H2862" s="412">
        <v>62.926450000000003</v>
      </c>
      <c r="I2862" s="411">
        <v>2.1416499999999998</v>
      </c>
      <c r="J2862" s="411">
        <v>8.4953299999999992</v>
      </c>
      <c r="K2862" s="411">
        <v>831.90885000000003</v>
      </c>
      <c r="L2862" s="526" t="s">
        <v>554</v>
      </c>
    </row>
    <row r="2863" spans="1:12" ht="15" x14ac:dyDescent="0.25">
      <c r="A2863">
        <v>216356</v>
      </c>
      <c r="B2863" t="str">
        <f t="shared" si="120"/>
        <v>SEVROLL horný vozík Simple (18mm)rámový L+P</v>
      </c>
      <c r="C2863" s="198">
        <f t="shared" si="121"/>
        <v>2.1416499999999998</v>
      </c>
      <c r="D2863" s="526" t="s">
        <v>3039</v>
      </c>
      <c r="E2863" s="526" t="s">
        <v>5436</v>
      </c>
      <c r="F2863" s="526" t="s">
        <v>1081</v>
      </c>
      <c r="G2863" s="526" t="s">
        <v>5437</v>
      </c>
      <c r="H2863" s="412">
        <v>62.926450000000003</v>
      </c>
      <c r="I2863" s="411">
        <v>2.1416499999999998</v>
      </c>
      <c r="J2863" s="411">
        <v>8.4953299999999992</v>
      </c>
      <c r="K2863" s="411">
        <v>831.90885000000003</v>
      </c>
      <c r="L2863" s="526" t="s">
        <v>554</v>
      </c>
    </row>
    <row r="2864" spans="1:12" ht="15" x14ac:dyDescent="0.25">
      <c r="A2864">
        <v>216357</v>
      </c>
      <c r="B2864" t="str">
        <f t="shared" si="120"/>
        <v>SEVROLL 10135 horný vozík Simple (pre lamino 18mm) bezrámový L+P</v>
      </c>
      <c r="C2864" s="198">
        <f t="shared" si="121"/>
        <v>2.19326</v>
      </c>
      <c r="D2864" s="526" t="s">
        <v>3040</v>
      </c>
      <c r="E2864" s="526" t="s">
        <v>5433</v>
      </c>
      <c r="F2864" s="526" t="s">
        <v>5434</v>
      </c>
      <c r="G2864" s="526" t="s">
        <v>5435</v>
      </c>
      <c r="H2864" s="412">
        <v>64.442750000000004</v>
      </c>
      <c r="I2864" s="411">
        <v>2.19326</v>
      </c>
      <c r="J2864" s="411">
        <v>7.5828699999999998</v>
      </c>
      <c r="K2864" s="411">
        <v>851.95500000000004</v>
      </c>
      <c r="L2864" s="526" t="s">
        <v>554</v>
      </c>
    </row>
    <row r="2865" spans="1:12" ht="15" x14ac:dyDescent="0.25">
      <c r="A2865">
        <v>216358</v>
      </c>
      <c r="B2865" t="str">
        <f t="shared" si="120"/>
        <v>SEVROLL upevňov.klín Simple 40ks (sklo 4mm)</v>
      </c>
      <c r="C2865" s="198" t="e">
        <f t="shared" si="121"/>
        <v>#N/A</v>
      </c>
      <c r="D2865" s="526" t="s">
        <v>3041</v>
      </c>
      <c r="E2865" s="526" t="s">
        <v>4201</v>
      </c>
      <c r="F2865" s="526" t="s">
        <v>1070</v>
      </c>
      <c r="G2865" s="526" t="s">
        <v>4202</v>
      </c>
      <c r="H2865" s="412" t="e">
        <v>#N/A</v>
      </c>
      <c r="I2865" s="411" t="e">
        <v>#N/A</v>
      </c>
      <c r="J2865" s="411" t="e">
        <v>#N/A</v>
      </c>
      <c r="K2865" s="411" t="e">
        <v>#N/A</v>
      </c>
      <c r="L2865" s="526" t="e">
        <v>#N/A</v>
      </c>
    </row>
    <row r="2866" spans="1:12" ht="15" x14ac:dyDescent="0.25">
      <c r="A2866">
        <v>216362</v>
      </c>
      <c r="B2866" t="str">
        <f t="shared" si="120"/>
        <v>SEVROLL 20233 záslepka spodného vedenia Simple/Blue priesvitná, guma</v>
      </c>
      <c r="C2866" s="198">
        <f t="shared" si="121"/>
        <v>1.0063200000000001</v>
      </c>
      <c r="D2866" s="526" t="s">
        <v>3042</v>
      </c>
      <c r="E2866" s="526" t="s">
        <v>6213</v>
      </c>
      <c r="F2866" s="526" t="s">
        <v>6214</v>
      </c>
      <c r="G2866" s="526" t="s">
        <v>6215</v>
      </c>
      <c r="H2866" s="412">
        <v>29.56785</v>
      </c>
      <c r="I2866" s="411">
        <v>1.0063200000000001</v>
      </c>
      <c r="J2866" s="411">
        <v>3.4045299999999998</v>
      </c>
      <c r="K2866" s="411">
        <v>390.89693</v>
      </c>
      <c r="L2866" s="526" t="s">
        <v>710</v>
      </c>
    </row>
    <row r="2867" spans="1:12" ht="15" x14ac:dyDescent="0.25">
      <c r="A2867">
        <v>216363</v>
      </c>
      <c r="B2867" t="str">
        <f t="shared" si="120"/>
        <v>SEVROLL 20356 zámok na posuvné dvere 10/18mm</v>
      </c>
      <c r="C2867" s="198">
        <f t="shared" si="121"/>
        <v>15.72176</v>
      </c>
      <c r="D2867" s="526" t="s">
        <v>3043</v>
      </c>
      <c r="E2867" s="526" t="s">
        <v>4466</v>
      </c>
      <c r="F2867" s="526" t="s">
        <v>4467</v>
      </c>
      <c r="G2867" s="526" t="s">
        <v>4468</v>
      </c>
      <c r="H2867" s="412">
        <v>461.94080000000002</v>
      </c>
      <c r="I2867" s="411">
        <v>15.72176</v>
      </c>
      <c r="J2867" s="411">
        <v>66.840599999999995</v>
      </c>
      <c r="K2867" s="411">
        <v>6107.0138500000003</v>
      </c>
      <c r="L2867" s="526" t="s">
        <v>553</v>
      </c>
    </row>
    <row r="2868" spans="1:12" ht="15" x14ac:dyDescent="0.25">
      <c r="A2868">
        <v>216620</v>
      </c>
      <c r="B2868" t="str">
        <f t="shared" si="120"/>
        <v>SEVROLL Victoria II 2,7m úchytová lišta oliva tmavá kartáčovaná</v>
      </c>
      <c r="C2868" s="198">
        <f t="shared" si="121"/>
        <v>23.790369999999999</v>
      </c>
      <c r="D2868" s="526" t="s">
        <v>3044</v>
      </c>
      <c r="E2868" s="526" t="s">
        <v>4595</v>
      </c>
      <c r="F2868" s="526" t="s">
        <v>4596</v>
      </c>
      <c r="G2868" s="526" t="s">
        <v>4597</v>
      </c>
      <c r="H2868" s="412">
        <v>658.73212000000001</v>
      </c>
      <c r="I2868" s="411">
        <v>23.790369999999999</v>
      </c>
      <c r="J2868" s="411">
        <v>80.226699999999994</v>
      </c>
      <c r="K2868" s="411">
        <v>9056.3820300000007</v>
      </c>
      <c r="L2868" s="526" t="s">
        <v>554</v>
      </c>
    </row>
    <row r="2869" spans="1:12" ht="15" x14ac:dyDescent="0.25">
      <c r="A2869">
        <v>216621</v>
      </c>
      <c r="B2869" t="str">
        <f t="shared" si="120"/>
        <v>SEVROLL 04617 Victoria II úchytová lišta 2,7m čierna  kartáčovaná</v>
      </c>
      <c r="C2869" s="198">
        <f t="shared" si="121"/>
        <v>23.790369999999999</v>
      </c>
      <c r="D2869" s="526" t="s">
        <v>3045</v>
      </c>
      <c r="E2869" s="526" t="s">
        <v>4642</v>
      </c>
      <c r="F2869" s="526" t="s">
        <v>4643</v>
      </c>
      <c r="G2869" s="526" t="s">
        <v>4644</v>
      </c>
      <c r="H2869" s="412">
        <v>658.73212000000001</v>
      </c>
      <c r="I2869" s="411">
        <v>23.790369999999999</v>
      </c>
      <c r="J2869" s="411">
        <v>80.226699999999994</v>
      </c>
      <c r="K2869" s="411">
        <v>9056.3820300000007</v>
      </c>
      <c r="L2869" s="526" t="s">
        <v>553</v>
      </c>
    </row>
    <row r="2870" spans="1:12" ht="15" x14ac:dyDescent="0.25">
      <c r="A2870">
        <v>216744</v>
      </c>
      <c r="B2870" t="str">
        <f t="shared" si="120"/>
        <v>SEVROLL Comfort spodné vedenie 1,7m oliva</v>
      </c>
      <c r="C2870" s="198">
        <f t="shared" si="121"/>
        <v>16.797750000000001</v>
      </c>
      <c r="D2870" s="526" t="s">
        <v>3046</v>
      </c>
      <c r="E2870" s="526" t="s">
        <v>4308</v>
      </c>
      <c r="F2870" s="526" t="s">
        <v>1208</v>
      </c>
      <c r="G2870" s="526" t="s">
        <v>4309</v>
      </c>
      <c r="H2870" s="412">
        <v>465.11345999999998</v>
      </c>
      <c r="I2870" s="411">
        <v>16.797750000000001</v>
      </c>
      <c r="J2870" s="411">
        <v>62.933999999999997</v>
      </c>
      <c r="K2870" s="411">
        <v>6394.47361</v>
      </c>
      <c r="L2870" s="526" t="s">
        <v>554</v>
      </c>
    </row>
    <row r="2871" spans="1:12" ht="15" x14ac:dyDescent="0.25">
      <c r="A2871">
        <v>220613</v>
      </c>
      <c r="B2871" t="str">
        <f t="shared" si="120"/>
        <v>SEVROLL U profil oceľový 2m strieborný</v>
      </c>
      <c r="C2871" s="198">
        <f t="shared" si="121"/>
        <v>16.77195</v>
      </c>
      <c r="D2871" s="526" t="s">
        <v>3047</v>
      </c>
      <c r="E2871" s="526" t="s">
        <v>2147</v>
      </c>
      <c r="F2871" s="526" t="s">
        <v>2323</v>
      </c>
      <c r="G2871" s="526" t="s">
        <v>2623</v>
      </c>
      <c r="H2871" s="412">
        <v>442.6825</v>
      </c>
      <c r="I2871" s="411">
        <v>16.77195</v>
      </c>
      <c r="J2871" s="411">
        <v>57.708179999999999</v>
      </c>
      <c r="K2871" s="411">
        <v>6176.25</v>
      </c>
      <c r="L2871" s="526" t="s">
        <v>554</v>
      </c>
    </row>
    <row r="2872" spans="1:12" ht="15" x14ac:dyDescent="0.25">
      <c r="A2872">
        <v>220614</v>
      </c>
      <c r="B2872" t="str">
        <f t="shared" si="120"/>
        <v>SEVROLL sada Herkules plus 40kg pre 2 krídla</v>
      </c>
      <c r="C2872" s="198" t="e">
        <f t="shared" si="121"/>
        <v>#N/A</v>
      </c>
      <c r="D2872" s="526" t="s">
        <v>3048</v>
      </c>
      <c r="E2872" s="526" t="s">
        <v>2148</v>
      </c>
      <c r="F2872" s="526" t="s">
        <v>2324</v>
      </c>
      <c r="G2872" s="526" t="s">
        <v>2624</v>
      </c>
      <c r="H2872" s="412" t="e">
        <v>#N/A</v>
      </c>
      <c r="I2872" s="411" t="e">
        <v>#N/A</v>
      </c>
      <c r="J2872" s="411" t="e">
        <v>#N/A</v>
      </c>
      <c r="K2872" s="411" t="e">
        <v>#N/A</v>
      </c>
      <c r="L2872" s="526" t="e">
        <v>#N/A</v>
      </c>
    </row>
    <row r="2873" spans="1:12" ht="15" x14ac:dyDescent="0.25">
      <c r="A2873">
        <v>220615</v>
      </c>
      <c r="B2873" t="str">
        <f t="shared" ref="B2873:B2936" si="122">IF($A$2=1,D2873,IF($A$2=2,F2873,IF($A$2=3,G2873,IF($A$2=4,E2873,"zadat jazyk"))))</f>
        <v>SEVROLL vodítko pre skládacie dvere Herkules</v>
      </c>
      <c r="C2873" s="198" t="e">
        <f t="shared" ref="C2873:C2936" si="123">IF($A$2=1,H2873,IF($A$2=2,I2873,IF($A$2=3,J2873,IF($A$2=4,K2873,"zadat jazyk"))))</f>
        <v>#N/A</v>
      </c>
      <c r="D2873" s="526" t="s">
        <v>3049</v>
      </c>
      <c r="E2873" s="526" t="s">
        <v>2149</v>
      </c>
      <c r="F2873" s="526" t="s">
        <v>2325</v>
      </c>
      <c r="G2873" s="526" t="s">
        <v>2625</v>
      </c>
      <c r="H2873" s="412" t="e">
        <v>#N/A</v>
      </c>
      <c r="I2873" s="411" t="e">
        <v>#N/A</v>
      </c>
      <c r="J2873" s="411" t="e">
        <v>#N/A</v>
      </c>
      <c r="K2873" s="411" t="e">
        <v>#N/A</v>
      </c>
      <c r="L2873" s="526" t="e">
        <v>#N/A</v>
      </c>
    </row>
    <row r="2874" spans="1:12" ht="15" x14ac:dyDescent="0.25">
      <c r="A2874">
        <v>220616</v>
      </c>
      <c r="B2874" t="str">
        <f t="shared" si="122"/>
        <v>SEVROLL stredový záves pružinový strieborný</v>
      </c>
      <c r="C2874" s="198">
        <f t="shared" si="123"/>
        <v>3.3285900000000002</v>
      </c>
      <c r="D2874" s="526" t="s">
        <v>3050</v>
      </c>
      <c r="E2874" s="526" t="s">
        <v>2150</v>
      </c>
      <c r="F2874" s="526" t="s">
        <v>2326</v>
      </c>
      <c r="G2874" s="526" t="s">
        <v>2626</v>
      </c>
      <c r="H2874" s="412">
        <v>87.855450000000005</v>
      </c>
      <c r="I2874" s="411">
        <v>3.3285900000000002</v>
      </c>
      <c r="J2874" s="411">
        <v>11.45285</v>
      </c>
      <c r="K2874" s="411">
        <v>1225.7480700000001</v>
      </c>
      <c r="L2874" s="526" t="s">
        <v>554</v>
      </c>
    </row>
    <row r="2875" spans="1:12" ht="15" x14ac:dyDescent="0.25">
      <c r="A2875">
        <v>220617</v>
      </c>
      <c r="B2875" t="str">
        <f t="shared" si="122"/>
        <v>SEVROLL Herkules plus horné vedenie 1,5m</v>
      </c>
      <c r="C2875" s="198" t="e">
        <f t="shared" si="123"/>
        <v>#N/A</v>
      </c>
      <c r="D2875" s="526" t="s">
        <v>3051</v>
      </c>
      <c r="E2875" s="526" t="s">
        <v>2151</v>
      </c>
      <c r="F2875" s="526" t="s">
        <v>2327</v>
      </c>
      <c r="G2875" s="526" t="s">
        <v>2627</v>
      </c>
      <c r="H2875" s="412" t="e">
        <v>#N/A</v>
      </c>
      <c r="I2875" s="411" t="e">
        <v>#N/A</v>
      </c>
      <c r="J2875" s="411" t="e">
        <v>#N/A</v>
      </c>
      <c r="K2875" s="411" t="e">
        <v>#N/A</v>
      </c>
      <c r="L2875" s="526" t="e">
        <v>#N/A</v>
      </c>
    </row>
    <row r="2876" spans="1:12" ht="15" x14ac:dyDescent="0.25">
      <c r="A2876">
        <v>221063</v>
      </c>
      <c r="B2876" t="str">
        <f t="shared" si="122"/>
        <v>SEVROLL vodiaci tŕň</v>
      </c>
      <c r="C2876" s="198">
        <f t="shared" si="123"/>
        <v>0.74829000000000001</v>
      </c>
      <c r="D2876" s="526" t="s">
        <v>3052</v>
      </c>
      <c r="E2876" s="526" t="s">
        <v>6216</v>
      </c>
      <c r="F2876" s="526" t="s">
        <v>1102</v>
      </c>
      <c r="G2876" s="526" t="s">
        <v>6217</v>
      </c>
      <c r="H2876" s="412">
        <v>19.750450000000001</v>
      </c>
      <c r="I2876" s="411">
        <v>0.74829000000000001</v>
      </c>
      <c r="J2876" s="411">
        <v>2.5746799999999999</v>
      </c>
      <c r="K2876" s="411">
        <v>275.55577</v>
      </c>
      <c r="L2876" s="526" t="s">
        <v>554</v>
      </c>
    </row>
    <row r="2877" spans="1:12" ht="15" x14ac:dyDescent="0.25">
      <c r="A2877">
        <v>221220</v>
      </c>
      <c r="B2877" t="str">
        <f t="shared" si="122"/>
        <v>SEVROLL Comfort spodné vedenie 3m oliva</v>
      </c>
      <c r="C2877" s="198">
        <f t="shared" si="123"/>
        <v>29.570239999999998</v>
      </c>
      <c r="D2877" s="526" t="s">
        <v>3053</v>
      </c>
      <c r="E2877" s="526" t="s">
        <v>4673</v>
      </c>
      <c r="F2877" s="526" t="s">
        <v>1207</v>
      </c>
      <c r="G2877" s="526" t="s">
        <v>4674</v>
      </c>
      <c r="H2877" s="412">
        <v>818.77116000000001</v>
      </c>
      <c r="I2877" s="411">
        <v>29.570239999999998</v>
      </c>
      <c r="J2877" s="411">
        <v>111.027</v>
      </c>
      <c r="K2877" s="411">
        <v>11256.63091</v>
      </c>
      <c r="L2877" s="526" t="s">
        <v>554</v>
      </c>
    </row>
    <row r="2878" spans="1:12" ht="15" x14ac:dyDescent="0.25">
      <c r="A2878">
        <v>222571</v>
      </c>
      <c r="B2878" t="str">
        <f t="shared" si="122"/>
        <v>SEVROLL 04463 horná vodiaca lišta Simple/Blue 3m (pre lamino 18mm) strieborná</v>
      </c>
      <c r="C2878" s="198">
        <f t="shared" si="123"/>
        <v>10.295400000000001</v>
      </c>
      <c r="D2878" s="526" t="s">
        <v>3054</v>
      </c>
      <c r="E2878" s="526" t="s">
        <v>5418</v>
      </c>
      <c r="F2878" s="526" t="s">
        <v>5419</v>
      </c>
      <c r="G2878" s="526" t="s">
        <v>2406</v>
      </c>
      <c r="H2878" s="412">
        <v>281.99324999999999</v>
      </c>
      <c r="I2878" s="411">
        <v>10.295400000000001</v>
      </c>
      <c r="J2878" s="411">
        <v>50.028039999999997</v>
      </c>
      <c r="K2878" s="411">
        <v>3999.1769300000001</v>
      </c>
      <c r="L2878" s="526" t="s">
        <v>710</v>
      </c>
    </row>
    <row r="2879" spans="1:12" ht="15" x14ac:dyDescent="0.25">
      <c r="A2879">
        <v>222572</v>
      </c>
      <c r="B2879" t="str">
        <f t="shared" si="122"/>
        <v>SEVROLL 04455 spodná krycia lišta Simple/Blue 3m (pre lamino 18mm) strieborná</v>
      </c>
      <c r="C2879" s="198">
        <f t="shared" si="123"/>
        <v>20.048929999999999</v>
      </c>
      <c r="D2879" s="526" t="s">
        <v>3055</v>
      </c>
      <c r="E2879" s="526" t="s">
        <v>5592</v>
      </c>
      <c r="F2879" s="526" t="s">
        <v>5593</v>
      </c>
      <c r="G2879" s="526" t="s">
        <v>2407</v>
      </c>
      <c r="H2879" s="412">
        <v>549.14475000000004</v>
      </c>
      <c r="I2879" s="411">
        <v>20.048929999999999</v>
      </c>
      <c r="J2879" s="411">
        <v>96.374769999999998</v>
      </c>
      <c r="K2879" s="411">
        <v>7787.8711499999999</v>
      </c>
      <c r="L2879" s="526" t="s">
        <v>710</v>
      </c>
    </row>
    <row r="2880" spans="1:12" ht="15" x14ac:dyDescent="0.25">
      <c r="A2880">
        <v>222573</v>
      </c>
      <c r="B2880" t="str">
        <f t="shared" si="122"/>
        <v>SEVROLL horná vodiaca lišta Simple/Blue 3m(pre lamino 10mm)strieborná</v>
      </c>
      <c r="C2880" s="198">
        <f t="shared" si="123"/>
        <v>11.92099</v>
      </c>
      <c r="D2880" s="526" t="s">
        <v>3056</v>
      </c>
      <c r="E2880" s="526" t="s">
        <v>5398</v>
      </c>
      <c r="F2880" s="526" t="s">
        <v>5399</v>
      </c>
      <c r="G2880" s="526" t="s">
        <v>5400</v>
      </c>
      <c r="H2880" s="412">
        <v>326.51850000000002</v>
      </c>
      <c r="I2880" s="411">
        <v>11.92099</v>
      </c>
      <c r="J2880" s="411">
        <v>45.607320000000001</v>
      </c>
      <c r="K2880" s="411">
        <v>4630.6261500000001</v>
      </c>
      <c r="L2880" s="526" t="s">
        <v>553</v>
      </c>
    </row>
    <row r="2881" spans="1:12" ht="15" x14ac:dyDescent="0.25">
      <c r="A2881">
        <v>222574</v>
      </c>
      <c r="B2881" t="str">
        <f t="shared" si="122"/>
        <v>SEVROLL spodná krycia lišta Simple/Blue 3m (pre lamino 10mm) strieborná</v>
      </c>
      <c r="C2881" s="198">
        <f t="shared" si="123"/>
        <v>19.403860000000002</v>
      </c>
      <c r="D2881" s="526" t="s">
        <v>3057</v>
      </c>
      <c r="E2881" s="526" t="s">
        <v>5571</v>
      </c>
      <c r="F2881" s="526" t="s">
        <v>5572</v>
      </c>
      <c r="G2881" s="526" t="s">
        <v>5573</v>
      </c>
      <c r="H2881" s="412">
        <v>531.476</v>
      </c>
      <c r="I2881" s="411">
        <v>19.403860000000002</v>
      </c>
      <c r="J2881" s="411">
        <v>68.544700000000006</v>
      </c>
      <c r="K2881" s="411">
        <v>7537.2961500000001</v>
      </c>
      <c r="L2881" s="526" t="s">
        <v>553</v>
      </c>
    </row>
    <row r="2882" spans="1:12" ht="15" x14ac:dyDescent="0.25">
      <c r="A2882">
        <v>222761</v>
      </c>
      <c r="B2882" t="str">
        <f t="shared" si="122"/>
        <v>SEVROLL šablóna pre vozíky DTD 18mm</v>
      </c>
      <c r="C2882" s="198">
        <f t="shared" si="123"/>
        <v>4.0829800000000001</v>
      </c>
      <c r="D2882" s="526" t="s">
        <v>3058</v>
      </c>
      <c r="E2882" s="526" t="s">
        <v>5736</v>
      </c>
      <c r="F2882" s="526" t="s">
        <v>1096</v>
      </c>
      <c r="G2882" s="526" t="s">
        <v>5737</v>
      </c>
      <c r="H2882" s="412">
        <v>102.443</v>
      </c>
      <c r="I2882" s="411">
        <v>4.0829800000000001</v>
      </c>
      <c r="J2882" s="411">
        <v>17.821909999999999</v>
      </c>
      <c r="K2882" s="411">
        <v>1662.2421200000001</v>
      </c>
      <c r="L2882" s="526" t="s">
        <v>556</v>
      </c>
    </row>
    <row r="2883" spans="1:12" ht="15" x14ac:dyDescent="0.25">
      <c r="A2883">
        <v>222787</v>
      </c>
      <c r="B2883" t="str">
        <f t="shared" si="122"/>
        <v>SEVROLL Alfa II úchytová lišta 18mm 2,7m zlatá</v>
      </c>
      <c r="C2883" s="198">
        <f t="shared" si="123"/>
        <v>15.79144</v>
      </c>
      <c r="D2883" s="526" t="s">
        <v>1215</v>
      </c>
      <c r="E2883" s="526" t="s">
        <v>4333</v>
      </c>
      <c r="F2883" s="526" t="s">
        <v>4334</v>
      </c>
      <c r="G2883" s="526" t="s">
        <v>4335</v>
      </c>
      <c r="H2883" s="412">
        <v>437.24952000000002</v>
      </c>
      <c r="I2883" s="411">
        <v>15.79144</v>
      </c>
      <c r="J2883" s="411">
        <v>53.424889999999998</v>
      </c>
      <c r="K2883" s="411">
        <v>6011.3946299999998</v>
      </c>
      <c r="L2883" s="526" t="s">
        <v>553</v>
      </c>
    </row>
    <row r="2884" spans="1:12" ht="15" x14ac:dyDescent="0.25">
      <c r="A2884">
        <v>222788</v>
      </c>
      <c r="B2884" t="str">
        <f t="shared" si="122"/>
        <v>SEVROLL 04530 Alfa II úchytová lišta 18mm 2,70m strieborná</v>
      </c>
      <c r="C2884" s="198">
        <f t="shared" si="123"/>
        <v>12.54026</v>
      </c>
      <c r="D2884" s="526" t="s">
        <v>3059</v>
      </c>
      <c r="E2884" s="526" t="s">
        <v>4236</v>
      </c>
      <c r="F2884" s="526" t="s">
        <v>4237</v>
      </c>
      <c r="G2884" s="526" t="s">
        <v>4238</v>
      </c>
      <c r="H2884" s="412">
        <v>347.22755999999998</v>
      </c>
      <c r="I2884" s="411">
        <v>12.54026</v>
      </c>
      <c r="J2884" s="411">
        <v>45.701709999999999</v>
      </c>
      <c r="K2884" s="411">
        <v>4773.7545099999998</v>
      </c>
      <c r="L2884" s="526" t="s">
        <v>710</v>
      </c>
    </row>
    <row r="2885" spans="1:12" ht="15" x14ac:dyDescent="0.25">
      <c r="A2885">
        <v>222789</v>
      </c>
      <c r="B2885" t="str">
        <f t="shared" si="122"/>
        <v>SEVROLL 04529 Alfa II úchytová lišta 18mm 2,70m oliva</v>
      </c>
      <c r="C2885" s="198">
        <f t="shared" si="123"/>
        <v>15.79144</v>
      </c>
      <c r="D2885" s="526" t="s">
        <v>3060</v>
      </c>
      <c r="E2885" s="526" t="s">
        <v>4313</v>
      </c>
      <c r="F2885" s="526" t="s">
        <v>3060</v>
      </c>
      <c r="G2885" s="526" t="s">
        <v>4314</v>
      </c>
      <c r="H2885" s="412">
        <v>437.24952000000002</v>
      </c>
      <c r="I2885" s="411">
        <v>15.79144</v>
      </c>
      <c r="J2885" s="411">
        <v>53.424889999999998</v>
      </c>
      <c r="K2885" s="411">
        <v>6011.3946299999998</v>
      </c>
      <c r="L2885" s="526" t="s">
        <v>553</v>
      </c>
    </row>
    <row r="2886" spans="1:12" ht="15" x14ac:dyDescent="0.25">
      <c r="A2886">
        <v>222922</v>
      </c>
      <c r="B2886" t="str">
        <f t="shared" si="122"/>
        <v>SEVROLL ZR-18 Unicomfort sada pre rozbalovacie dvere</v>
      </c>
      <c r="C2886" s="198">
        <f t="shared" si="123"/>
        <v>30.199829999999999</v>
      </c>
      <c r="D2886" s="526" t="s">
        <v>3061</v>
      </c>
      <c r="E2886" s="526" t="s">
        <v>1886</v>
      </c>
      <c r="F2886" s="526" t="s">
        <v>2199</v>
      </c>
      <c r="G2886" s="526" t="s">
        <v>2431</v>
      </c>
      <c r="H2886" s="412">
        <v>835.91819999999996</v>
      </c>
      <c r="I2886" s="411">
        <v>30.199829999999999</v>
      </c>
      <c r="J2886" s="411">
        <v>106.2534</v>
      </c>
      <c r="K2886" s="411">
        <v>11496.30084</v>
      </c>
      <c r="L2886" s="526" t="s">
        <v>554</v>
      </c>
    </row>
    <row r="2887" spans="1:12" ht="15" x14ac:dyDescent="0.25">
      <c r="A2887">
        <v>223326</v>
      </c>
      <c r="B2887" t="str">
        <f t="shared" si="122"/>
        <v>SEVROLL úholník K2 1,7m oliva tmavá kartáčovaná</v>
      </c>
      <c r="C2887" s="198">
        <f t="shared" si="123"/>
        <v>4.8509599999999997</v>
      </c>
      <c r="D2887" s="526" t="s">
        <v>3062</v>
      </c>
      <c r="E2887" s="526" t="s">
        <v>3705</v>
      </c>
      <c r="F2887" s="526" t="s">
        <v>3706</v>
      </c>
      <c r="G2887" s="526" t="s">
        <v>3707</v>
      </c>
      <c r="H2887" s="412">
        <v>134.31847999999999</v>
      </c>
      <c r="I2887" s="411">
        <v>4.8509599999999997</v>
      </c>
      <c r="J2887" s="411">
        <v>16.4285</v>
      </c>
      <c r="K2887" s="411">
        <v>1846.6373699999999</v>
      </c>
      <c r="L2887" s="526" t="s">
        <v>554</v>
      </c>
    </row>
    <row r="2888" spans="1:12" ht="15" x14ac:dyDescent="0.25">
      <c r="A2888">
        <v>223330</v>
      </c>
      <c r="B2888" t="str">
        <f t="shared" si="122"/>
        <v>SEVROLL uholník K2 2,35m oliva tmavá kartáčovaná</v>
      </c>
      <c r="C2888" s="198">
        <f t="shared" si="123"/>
        <v>6.70878</v>
      </c>
      <c r="D2888" s="526" t="s">
        <v>3063</v>
      </c>
      <c r="E2888" s="526" t="s">
        <v>3822</v>
      </c>
      <c r="F2888" s="526" t="s">
        <v>3823</v>
      </c>
      <c r="G2888" s="526" t="s">
        <v>3824</v>
      </c>
      <c r="H2888" s="412">
        <v>185.75960000000001</v>
      </c>
      <c r="I2888" s="411">
        <v>6.70878</v>
      </c>
      <c r="J2888" s="411">
        <v>22.690899999999999</v>
      </c>
      <c r="K2888" s="411">
        <v>2553.8604</v>
      </c>
      <c r="L2888" s="526" t="s">
        <v>554</v>
      </c>
    </row>
    <row r="2889" spans="1:12" ht="15" x14ac:dyDescent="0.25">
      <c r="A2889">
        <v>223331</v>
      </c>
      <c r="B2889" t="str">
        <f t="shared" si="122"/>
        <v>SEVROLL uholník K2 3m oliva tmavá kartáč.</v>
      </c>
      <c r="C2889" s="198">
        <f t="shared" si="123"/>
        <v>8.5665999999999993</v>
      </c>
      <c r="D2889" s="526" t="s">
        <v>3064</v>
      </c>
      <c r="E2889" s="526" t="s">
        <v>3997</v>
      </c>
      <c r="F2889" s="526" t="s">
        <v>1117</v>
      </c>
      <c r="G2889" s="526" t="s">
        <v>3998</v>
      </c>
      <c r="H2889" s="412">
        <v>237.20071999999999</v>
      </c>
      <c r="I2889" s="411">
        <v>8.5665999999999993</v>
      </c>
      <c r="J2889" s="411">
        <v>31.558800000000002</v>
      </c>
      <c r="K2889" s="411">
        <v>3261.0834300000001</v>
      </c>
      <c r="L2889" s="526" t="s">
        <v>554</v>
      </c>
    </row>
    <row r="2890" spans="1:12" ht="15" x14ac:dyDescent="0.25">
      <c r="A2890">
        <v>223332</v>
      </c>
      <c r="B2890" t="str">
        <f t="shared" si="122"/>
        <v>SEVROLL spoj.lišta H18 3m oliva tm.kartáč</v>
      </c>
      <c r="C2890" s="198">
        <f t="shared" si="123"/>
        <v>19.197430000000001</v>
      </c>
      <c r="D2890" s="526" t="s">
        <v>3065</v>
      </c>
      <c r="E2890" s="526" t="s">
        <v>5615</v>
      </c>
      <c r="F2890" s="526" t="s">
        <v>1125</v>
      </c>
      <c r="G2890" s="526" t="s">
        <v>5616</v>
      </c>
      <c r="H2890" s="412">
        <v>531.55823999999996</v>
      </c>
      <c r="I2890" s="411">
        <v>19.197430000000001</v>
      </c>
      <c r="J2890" s="411">
        <v>67.391400000000004</v>
      </c>
      <c r="K2890" s="411">
        <v>7307.9696899999999</v>
      </c>
      <c r="L2890" s="526" t="s">
        <v>554</v>
      </c>
    </row>
    <row r="2891" spans="1:12" ht="15" x14ac:dyDescent="0.25">
      <c r="A2891">
        <v>223341</v>
      </c>
      <c r="B2891" t="str">
        <f t="shared" si="122"/>
        <v>SEVROLL profil "U" 18mm 3m oliva kartáčovaná</v>
      </c>
      <c r="C2891" s="198">
        <f t="shared" si="123"/>
        <v>8.4891900000000007</v>
      </c>
      <c r="D2891" s="526" t="s">
        <v>3066</v>
      </c>
      <c r="E2891" s="526" t="s">
        <v>4150</v>
      </c>
      <c r="F2891" s="526" t="s">
        <v>1137</v>
      </c>
      <c r="G2891" s="526" t="s">
        <v>4151</v>
      </c>
      <c r="H2891" s="412">
        <v>235.05734000000001</v>
      </c>
      <c r="I2891" s="411">
        <v>8.4891900000000007</v>
      </c>
      <c r="J2891" s="411">
        <v>36.934199999999997</v>
      </c>
      <c r="K2891" s="411">
        <v>3231.6155899999999</v>
      </c>
      <c r="L2891" s="526" t="s">
        <v>554</v>
      </c>
    </row>
    <row r="2892" spans="1:12" ht="15" x14ac:dyDescent="0.25">
      <c r="A2892">
        <v>223342</v>
      </c>
      <c r="B2892" t="str">
        <f t="shared" si="122"/>
        <v>SEVROLL profil "U" 18mm 3m oliva tmavá kartáčovaná</v>
      </c>
      <c r="C2892" s="198">
        <f t="shared" si="123"/>
        <v>8.4891900000000007</v>
      </c>
      <c r="D2892" s="526" t="s">
        <v>3067</v>
      </c>
      <c r="E2892" s="526" t="s">
        <v>4152</v>
      </c>
      <c r="F2892" s="526" t="s">
        <v>1136</v>
      </c>
      <c r="G2892" s="526" t="s">
        <v>4153</v>
      </c>
      <c r="H2892" s="412">
        <v>235.05734000000001</v>
      </c>
      <c r="I2892" s="411">
        <v>8.4891900000000007</v>
      </c>
      <c r="J2892" s="411">
        <v>36.934199999999997</v>
      </c>
      <c r="K2892" s="411">
        <v>3231.6155899999999</v>
      </c>
      <c r="L2892" s="526" t="s">
        <v>554</v>
      </c>
    </row>
    <row r="2893" spans="1:12" ht="15" x14ac:dyDescent="0.25">
      <c r="A2893">
        <v>223343</v>
      </c>
      <c r="B2893" t="str">
        <f t="shared" si="122"/>
        <v>SEVROLL profil "U" 18mm 3m čierna kartáčovaná</v>
      </c>
      <c r="C2893" s="198">
        <f t="shared" si="123"/>
        <v>8.4891900000000007</v>
      </c>
      <c r="D2893" s="526" t="s">
        <v>3068</v>
      </c>
      <c r="E2893" s="526" t="s">
        <v>4157</v>
      </c>
      <c r="F2893" s="526" t="s">
        <v>4158</v>
      </c>
      <c r="G2893" s="526" t="s">
        <v>4159</v>
      </c>
      <c r="H2893" s="412">
        <v>235.05734000000001</v>
      </c>
      <c r="I2893" s="411">
        <v>8.4891900000000007</v>
      </c>
      <c r="J2893" s="411">
        <v>36.934199999999997</v>
      </c>
      <c r="K2893" s="411">
        <v>3231.6155899999999</v>
      </c>
      <c r="L2893" s="526" t="s">
        <v>553</v>
      </c>
    </row>
    <row r="2894" spans="1:12" ht="15" x14ac:dyDescent="0.25">
      <c r="A2894">
        <v>223391</v>
      </c>
      <c r="B2894" t="str">
        <f t="shared" si="122"/>
        <v>SEVROLL spoj.lišta H18 3m čierna kartáč</v>
      </c>
      <c r="C2894" s="198">
        <f t="shared" si="123"/>
        <v>19.197430000000001</v>
      </c>
      <c r="D2894" s="526" t="s">
        <v>3069</v>
      </c>
      <c r="E2894" s="526" t="s">
        <v>5610</v>
      </c>
      <c r="F2894" s="526" t="s">
        <v>1230</v>
      </c>
      <c r="G2894" s="526" t="s">
        <v>5611</v>
      </c>
      <c r="H2894" s="412">
        <v>531.55823999999996</v>
      </c>
      <c r="I2894" s="411">
        <v>19.197430000000001</v>
      </c>
      <c r="J2894" s="411">
        <v>67.391400000000004</v>
      </c>
      <c r="K2894" s="411">
        <v>7307.9696899999999</v>
      </c>
      <c r="L2894" s="526" t="s">
        <v>553</v>
      </c>
    </row>
    <row r="2895" spans="1:12" ht="15" x14ac:dyDescent="0.25">
      <c r="A2895">
        <v>223392</v>
      </c>
      <c r="B2895" t="str">
        <f t="shared" si="122"/>
        <v>SEVROLL uholník K2 1,7m čierna kartáčovaná</v>
      </c>
      <c r="C2895" s="198">
        <f t="shared" si="123"/>
        <v>4.8509599999999997</v>
      </c>
      <c r="D2895" s="526" t="s">
        <v>3070</v>
      </c>
      <c r="E2895" s="526" t="s">
        <v>3682</v>
      </c>
      <c r="F2895" s="526" t="s">
        <v>3683</v>
      </c>
      <c r="G2895" s="526" t="s">
        <v>3684</v>
      </c>
      <c r="H2895" s="412">
        <v>134.31847999999999</v>
      </c>
      <c r="I2895" s="411">
        <v>4.8509599999999997</v>
      </c>
      <c r="J2895" s="411">
        <v>16.4285</v>
      </c>
      <c r="K2895" s="411">
        <v>1846.6373699999999</v>
      </c>
      <c r="L2895" s="526" t="s">
        <v>554</v>
      </c>
    </row>
    <row r="2896" spans="1:12" ht="15" x14ac:dyDescent="0.25">
      <c r="A2896">
        <v>223393</v>
      </c>
      <c r="B2896" t="str">
        <f t="shared" si="122"/>
        <v>SEVROLL uholník K2 2,35m čierna kartáčovaná</v>
      </c>
      <c r="C2896" s="198">
        <f t="shared" si="123"/>
        <v>6.70878</v>
      </c>
      <c r="D2896" s="526" t="s">
        <v>3071</v>
      </c>
      <c r="E2896" s="526" t="s">
        <v>3819</v>
      </c>
      <c r="F2896" s="526" t="s">
        <v>3820</v>
      </c>
      <c r="G2896" s="526" t="s">
        <v>3821</v>
      </c>
      <c r="H2896" s="412">
        <v>185.75960000000001</v>
      </c>
      <c r="I2896" s="411">
        <v>6.70878</v>
      </c>
      <c r="J2896" s="411">
        <v>22.690899999999999</v>
      </c>
      <c r="K2896" s="411">
        <v>2553.8604</v>
      </c>
      <c r="L2896" s="526" t="s">
        <v>553</v>
      </c>
    </row>
    <row r="2897" spans="1:12" ht="15" x14ac:dyDescent="0.25">
      <c r="A2897">
        <v>223394</v>
      </c>
      <c r="B2897" t="str">
        <f t="shared" si="122"/>
        <v>SEVROLL uholník K2 3m čierna kartač</v>
      </c>
      <c r="C2897" s="198">
        <f t="shared" si="123"/>
        <v>8.5665999999999993</v>
      </c>
      <c r="D2897" s="526" t="s">
        <v>3072</v>
      </c>
      <c r="E2897" s="526" t="s">
        <v>4037</v>
      </c>
      <c r="F2897" s="526" t="s">
        <v>1223</v>
      </c>
      <c r="G2897" s="526" t="s">
        <v>4038</v>
      </c>
      <c r="H2897" s="412">
        <v>237.20071999999999</v>
      </c>
      <c r="I2897" s="411">
        <v>8.5665999999999993</v>
      </c>
      <c r="J2897" s="411">
        <v>31.558800000000002</v>
      </c>
      <c r="K2897" s="411">
        <v>3261.0834300000001</v>
      </c>
      <c r="L2897" s="526" t="s">
        <v>553</v>
      </c>
    </row>
    <row r="2898" spans="1:12" ht="15" x14ac:dyDescent="0.25">
      <c r="A2898">
        <v>223405</v>
      </c>
      <c r="B2898" t="str">
        <f t="shared" si="122"/>
        <v>SEVROLL Hide M spodné vedenie 3m oliva</v>
      </c>
      <c r="C2898" s="198">
        <f t="shared" si="123"/>
        <v>10.527620000000001</v>
      </c>
      <c r="D2898" s="526" t="s">
        <v>3073</v>
      </c>
      <c r="E2898" s="526" t="s">
        <v>4063</v>
      </c>
      <c r="F2898" s="526" t="s">
        <v>4064</v>
      </c>
      <c r="G2898" s="526" t="s">
        <v>4065</v>
      </c>
      <c r="H2898" s="412">
        <v>277.86840000000001</v>
      </c>
      <c r="I2898" s="411">
        <v>10.527620000000001</v>
      </c>
      <c r="J2898" s="411">
        <v>36.22298</v>
      </c>
      <c r="K2898" s="411">
        <v>3876.7846300000001</v>
      </c>
      <c r="L2898" s="526" t="s">
        <v>554</v>
      </c>
    </row>
    <row r="2899" spans="1:12" ht="15" x14ac:dyDescent="0.25">
      <c r="A2899">
        <v>223506</v>
      </c>
      <c r="B2899" t="str">
        <f t="shared" si="122"/>
        <v>SEVROLL Herkules 2 horné vedenie 1,2m alu</v>
      </c>
      <c r="C2899" s="198" t="e">
        <f t="shared" si="123"/>
        <v>#N/A</v>
      </c>
      <c r="D2899" s="526" t="s">
        <v>3074</v>
      </c>
      <c r="E2899" s="526" t="s">
        <v>4377</v>
      </c>
      <c r="F2899" s="526" t="s">
        <v>4378</v>
      </c>
      <c r="G2899" s="526" t="s">
        <v>4379</v>
      </c>
      <c r="H2899" s="412" t="e">
        <v>#N/A</v>
      </c>
      <c r="I2899" s="411" t="e">
        <v>#N/A</v>
      </c>
      <c r="J2899" s="411" t="e">
        <v>#N/A</v>
      </c>
      <c r="K2899" s="411" t="e">
        <v>#N/A</v>
      </c>
      <c r="L2899" s="526" t="e">
        <v>#N/A</v>
      </c>
    </row>
    <row r="2900" spans="1:12" ht="15" x14ac:dyDescent="0.25">
      <c r="A2900">
        <v>223507</v>
      </c>
      <c r="B2900" t="str">
        <f t="shared" si="122"/>
        <v>SEVROLL Herkules 2 horné vedenie 1,5m alu</v>
      </c>
      <c r="C2900" s="198" t="e">
        <f t="shared" si="123"/>
        <v>#N/A</v>
      </c>
      <c r="D2900" s="526" t="s">
        <v>3075</v>
      </c>
      <c r="E2900" s="526" t="s">
        <v>4521</v>
      </c>
      <c r="F2900" s="526" t="s">
        <v>4522</v>
      </c>
      <c r="G2900" s="526" t="s">
        <v>4523</v>
      </c>
      <c r="H2900" s="412" t="e">
        <v>#N/A</v>
      </c>
      <c r="I2900" s="411" t="e">
        <v>#N/A</v>
      </c>
      <c r="J2900" s="411" t="e">
        <v>#N/A</v>
      </c>
      <c r="K2900" s="411" t="e">
        <v>#N/A</v>
      </c>
      <c r="L2900" s="526" t="e">
        <v>#N/A</v>
      </c>
    </row>
    <row r="2901" spans="1:12" ht="15" x14ac:dyDescent="0.25">
      <c r="A2901">
        <v>223508</v>
      </c>
      <c r="B2901" t="str">
        <f t="shared" si="122"/>
        <v>SEVROLL Herkules 2 horné vedenie 1,8m alu</v>
      </c>
      <c r="C2901" s="198" t="e">
        <f t="shared" si="123"/>
        <v>#N/A</v>
      </c>
      <c r="D2901" s="526" t="s">
        <v>3076</v>
      </c>
      <c r="E2901" s="526" t="s">
        <v>4633</v>
      </c>
      <c r="F2901" s="526" t="s">
        <v>4634</v>
      </c>
      <c r="G2901" s="526" t="s">
        <v>4635</v>
      </c>
      <c r="H2901" s="412" t="e">
        <v>#N/A</v>
      </c>
      <c r="I2901" s="411" t="e">
        <v>#N/A</v>
      </c>
      <c r="J2901" s="411" t="e">
        <v>#N/A</v>
      </c>
      <c r="K2901" s="411" t="e">
        <v>#N/A</v>
      </c>
      <c r="L2901" s="526" t="e">
        <v>#N/A</v>
      </c>
    </row>
    <row r="2902" spans="1:12" ht="15" x14ac:dyDescent="0.25">
      <c r="A2902">
        <v>223509</v>
      </c>
      <c r="B2902" t="str">
        <f t="shared" si="122"/>
        <v>SEVROLL Herkules 2 horné vedenie 2m alu</v>
      </c>
      <c r="C2902" s="198" t="e">
        <f t="shared" si="123"/>
        <v>#N/A</v>
      </c>
      <c r="D2902" s="526" t="s">
        <v>3077</v>
      </c>
      <c r="E2902" s="526" t="s">
        <v>4707</v>
      </c>
      <c r="F2902" s="526" t="s">
        <v>4708</v>
      </c>
      <c r="G2902" s="526" t="s">
        <v>4709</v>
      </c>
      <c r="H2902" s="412" t="e">
        <v>#N/A</v>
      </c>
      <c r="I2902" s="411" t="e">
        <v>#N/A</v>
      </c>
      <c r="J2902" s="411" t="e">
        <v>#N/A</v>
      </c>
      <c r="K2902" s="411" t="e">
        <v>#N/A</v>
      </c>
      <c r="L2902" s="526" t="e">
        <v>#N/A</v>
      </c>
    </row>
    <row r="2903" spans="1:12" ht="15" x14ac:dyDescent="0.25">
      <c r="A2903">
        <v>223510</v>
      </c>
      <c r="B2903" t="str">
        <f t="shared" si="122"/>
        <v>SEVROLL Herkules 2 horné vedenie 3m alu</v>
      </c>
      <c r="C2903" s="198" t="e">
        <f t="shared" si="123"/>
        <v>#N/A</v>
      </c>
      <c r="D2903" s="526" t="s">
        <v>2748</v>
      </c>
      <c r="E2903" s="526" t="s">
        <v>4920</v>
      </c>
      <c r="F2903" s="526" t="s">
        <v>4921</v>
      </c>
      <c r="G2903" s="526" t="s">
        <v>4922</v>
      </c>
      <c r="H2903" s="412" t="e">
        <v>#N/A</v>
      </c>
      <c r="I2903" s="411" t="e">
        <v>#N/A</v>
      </c>
      <c r="J2903" s="411" t="e">
        <v>#N/A</v>
      </c>
      <c r="K2903" s="411" t="e">
        <v>#N/A</v>
      </c>
      <c r="L2903" s="526" t="e">
        <v>#N/A</v>
      </c>
    </row>
    <row r="2904" spans="1:12" ht="15" x14ac:dyDescent="0.25">
      <c r="A2904">
        <v>223511</v>
      </c>
      <c r="B2904" t="str">
        <f t="shared" si="122"/>
        <v>SEVROLL Herkules 2 horné vedenie 4m alu</v>
      </c>
      <c r="C2904" s="198" t="e">
        <f t="shared" si="123"/>
        <v>#N/A</v>
      </c>
      <c r="D2904" s="526" t="s">
        <v>3078</v>
      </c>
      <c r="E2904" s="526" t="s">
        <v>5005</v>
      </c>
      <c r="F2904" s="526" t="s">
        <v>5006</v>
      </c>
      <c r="G2904" s="526" t="s">
        <v>5007</v>
      </c>
      <c r="H2904" s="412" t="e">
        <v>#N/A</v>
      </c>
      <c r="I2904" s="411" t="e">
        <v>#N/A</v>
      </c>
      <c r="J2904" s="411" t="e">
        <v>#N/A</v>
      </c>
      <c r="K2904" s="411" t="e">
        <v>#N/A</v>
      </c>
      <c r="L2904" s="526" t="e">
        <v>#N/A</v>
      </c>
    </row>
    <row r="2905" spans="1:12" ht="15" x14ac:dyDescent="0.25">
      <c r="A2905">
        <v>223512</v>
      </c>
      <c r="B2905" t="str">
        <f t="shared" si="122"/>
        <v>SEVROLL Herkules 2 horné vedenie 6m alu</v>
      </c>
      <c r="C2905" s="198" t="e">
        <f t="shared" si="123"/>
        <v>#N/A</v>
      </c>
      <c r="D2905" s="526" t="s">
        <v>3079</v>
      </c>
      <c r="E2905" s="526" t="s">
        <v>5090</v>
      </c>
      <c r="F2905" s="526" t="s">
        <v>5091</v>
      </c>
      <c r="G2905" s="526" t="s">
        <v>5092</v>
      </c>
      <c r="H2905" s="412" t="e">
        <v>#N/A</v>
      </c>
      <c r="I2905" s="411" t="e">
        <v>#N/A</v>
      </c>
      <c r="J2905" s="411" t="e">
        <v>#N/A</v>
      </c>
      <c r="K2905" s="411" t="e">
        <v>#N/A</v>
      </c>
      <c r="L2905" s="526" t="e">
        <v>#N/A</v>
      </c>
    </row>
    <row r="2906" spans="1:12" ht="15" x14ac:dyDescent="0.25">
      <c r="A2906">
        <v>223514</v>
      </c>
      <c r="B2906" t="str">
        <f t="shared" si="122"/>
        <v>SEVROLL Herkules sada kovania60kg, 1,2m</v>
      </c>
      <c r="C2906" s="198" t="e">
        <f t="shared" si="123"/>
        <v>#N/A</v>
      </c>
      <c r="D2906" s="526" t="s">
        <v>3080</v>
      </c>
      <c r="E2906" s="526" t="s">
        <v>4987</v>
      </c>
      <c r="F2906" s="526" t="s">
        <v>1177</v>
      </c>
      <c r="G2906" s="526" t="s">
        <v>4988</v>
      </c>
      <c r="H2906" s="412" t="e">
        <v>#N/A</v>
      </c>
      <c r="I2906" s="411" t="e">
        <v>#N/A</v>
      </c>
      <c r="J2906" s="411" t="e">
        <v>#N/A</v>
      </c>
      <c r="K2906" s="411" t="e">
        <v>#N/A</v>
      </c>
      <c r="L2906" s="526" t="e">
        <v>#N/A</v>
      </c>
    </row>
    <row r="2907" spans="1:12" ht="15" x14ac:dyDescent="0.25">
      <c r="A2907">
        <v>223515</v>
      </c>
      <c r="B2907" t="str">
        <f t="shared" si="122"/>
        <v>SEVROLL Herkules sada kovania120kg, 1,2m</v>
      </c>
      <c r="C2907" s="198" t="e">
        <f t="shared" si="123"/>
        <v>#N/A</v>
      </c>
      <c r="D2907" s="526" t="s">
        <v>3081</v>
      </c>
      <c r="E2907" s="526" t="s">
        <v>5027</v>
      </c>
      <c r="F2907" s="526" t="s">
        <v>1184</v>
      </c>
      <c r="G2907" s="526" t="s">
        <v>5028</v>
      </c>
      <c r="H2907" s="412" t="e">
        <v>#N/A</v>
      </c>
      <c r="I2907" s="411" t="e">
        <v>#N/A</v>
      </c>
      <c r="J2907" s="411" t="e">
        <v>#N/A</v>
      </c>
      <c r="K2907" s="411" t="e">
        <v>#N/A</v>
      </c>
      <c r="L2907" s="526" t="e">
        <v>#N/A</v>
      </c>
    </row>
    <row r="2908" spans="1:12" ht="15" x14ac:dyDescent="0.25">
      <c r="A2908">
        <v>223516</v>
      </c>
      <c r="B2908" t="str">
        <f t="shared" si="122"/>
        <v>SEVROLL Herkules sada kovania60kg, 1,5m</v>
      </c>
      <c r="C2908" s="198" t="e">
        <f t="shared" si="123"/>
        <v>#N/A</v>
      </c>
      <c r="D2908" s="526" t="s">
        <v>3082</v>
      </c>
      <c r="E2908" s="526" t="s">
        <v>5011</v>
      </c>
      <c r="F2908" s="526" t="s">
        <v>1176</v>
      </c>
      <c r="G2908" s="526" t="s">
        <v>5012</v>
      </c>
      <c r="H2908" s="412" t="e">
        <v>#N/A</v>
      </c>
      <c r="I2908" s="411" t="e">
        <v>#N/A</v>
      </c>
      <c r="J2908" s="411" t="e">
        <v>#N/A</v>
      </c>
      <c r="K2908" s="411" t="e">
        <v>#N/A</v>
      </c>
      <c r="L2908" s="526" t="e">
        <v>#N/A</v>
      </c>
    </row>
    <row r="2909" spans="1:12" ht="15" x14ac:dyDescent="0.25">
      <c r="A2909">
        <v>223517</v>
      </c>
      <c r="B2909" t="str">
        <f t="shared" si="122"/>
        <v>SEVROLL Herkules sada kovania120kg, 1,5m</v>
      </c>
      <c r="C2909" s="198" t="e">
        <f t="shared" si="123"/>
        <v>#N/A</v>
      </c>
      <c r="D2909" s="526" t="s">
        <v>3083</v>
      </c>
      <c r="E2909" s="526" t="s">
        <v>5061</v>
      </c>
      <c r="F2909" s="526" t="s">
        <v>1183</v>
      </c>
      <c r="G2909" s="526" t="s">
        <v>5062</v>
      </c>
      <c r="H2909" s="412" t="e">
        <v>#N/A</v>
      </c>
      <c r="I2909" s="411" t="e">
        <v>#N/A</v>
      </c>
      <c r="J2909" s="411" t="e">
        <v>#N/A</v>
      </c>
      <c r="K2909" s="411" t="e">
        <v>#N/A</v>
      </c>
      <c r="L2909" s="526" t="e">
        <v>#N/A</v>
      </c>
    </row>
    <row r="2910" spans="1:12" ht="15" x14ac:dyDescent="0.25">
      <c r="A2910">
        <v>223518</v>
      </c>
      <c r="B2910" t="str">
        <f t="shared" si="122"/>
        <v>SEVROLL Herkules sada kovania60kg, 1,8m</v>
      </c>
      <c r="C2910" s="198" t="e">
        <f t="shared" si="123"/>
        <v>#N/A</v>
      </c>
      <c r="D2910" s="526" t="s">
        <v>3084</v>
      </c>
      <c r="E2910" s="526" t="s">
        <v>5057</v>
      </c>
      <c r="F2910" s="526" t="s">
        <v>1175</v>
      </c>
      <c r="G2910" s="526" t="s">
        <v>5058</v>
      </c>
      <c r="H2910" s="412" t="e">
        <v>#N/A</v>
      </c>
      <c r="I2910" s="411" t="e">
        <v>#N/A</v>
      </c>
      <c r="J2910" s="411" t="e">
        <v>#N/A</v>
      </c>
      <c r="K2910" s="411" t="e">
        <v>#N/A</v>
      </c>
      <c r="L2910" s="526" t="e">
        <v>#N/A</v>
      </c>
    </row>
    <row r="2911" spans="1:12" ht="15" x14ac:dyDescent="0.25">
      <c r="A2911">
        <v>223519</v>
      </c>
      <c r="B2911" t="str">
        <f t="shared" si="122"/>
        <v>SEVROLL Herkules sada kovania120kg, 1,8m</v>
      </c>
      <c r="C2911" s="198" t="e">
        <f t="shared" si="123"/>
        <v>#N/A</v>
      </c>
      <c r="D2911" s="526" t="s">
        <v>3085</v>
      </c>
      <c r="E2911" s="526" t="s">
        <v>5066</v>
      </c>
      <c r="F2911" s="526" t="s">
        <v>1182</v>
      </c>
      <c r="G2911" s="526" t="s">
        <v>5067</v>
      </c>
      <c r="H2911" s="412" t="e">
        <v>#N/A</v>
      </c>
      <c r="I2911" s="411" t="e">
        <v>#N/A</v>
      </c>
      <c r="J2911" s="411" t="e">
        <v>#N/A</v>
      </c>
      <c r="K2911" s="411" t="e">
        <v>#N/A</v>
      </c>
      <c r="L2911" s="526" t="e">
        <v>#N/A</v>
      </c>
    </row>
    <row r="2912" spans="1:12" ht="15" x14ac:dyDescent="0.25">
      <c r="A2912">
        <v>223520</v>
      </c>
      <c r="B2912" t="str">
        <f t="shared" si="122"/>
        <v>SEVROLL Herkules sada kovania60kg, 2m</v>
      </c>
      <c r="C2912" s="198" t="e">
        <f t="shared" si="123"/>
        <v>#N/A</v>
      </c>
      <c r="D2912" s="526" t="s">
        <v>3086</v>
      </c>
      <c r="E2912" s="526" t="s">
        <v>5059</v>
      </c>
      <c r="F2912" s="526" t="s">
        <v>1173</v>
      </c>
      <c r="G2912" s="526" t="s">
        <v>5060</v>
      </c>
      <c r="H2912" s="412" t="e">
        <v>#N/A</v>
      </c>
      <c r="I2912" s="411" t="e">
        <v>#N/A</v>
      </c>
      <c r="J2912" s="411" t="e">
        <v>#N/A</v>
      </c>
      <c r="K2912" s="411" t="e">
        <v>#N/A</v>
      </c>
      <c r="L2912" s="526" t="e">
        <v>#N/A</v>
      </c>
    </row>
    <row r="2913" spans="1:12" ht="15" x14ac:dyDescent="0.25">
      <c r="A2913">
        <v>223521</v>
      </c>
      <c r="B2913" t="str">
        <f t="shared" si="122"/>
        <v>SEVROLL Herkules sada kovania120kg, 2m</v>
      </c>
      <c r="C2913" s="198" t="e">
        <f t="shared" si="123"/>
        <v>#N/A</v>
      </c>
      <c r="D2913" s="526" t="s">
        <v>3087</v>
      </c>
      <c r="E2913" s="526" t="s">
        <v>5078</v>
      </c>
      <c r="F2913" s="526" t="s">
        <v>1180</v>
      </c>
      <c r="G2913" s="526" t="s">
        <v>5079</v>
      </c>
      <c r="H2913" s="412" t="e">
        <v>#N/A</v>
      </c>
      <c r="I2913" s="411" t="e">
        <v>#N/A</v>
      </c>
      <c r="J2913" s="411" t="e">
        <v>#N/A</v>
      </c>
      <c r="K2913" s="411" t="e">
        <v>#N/A</v>
      </c>
      <c r="L2913" s="526" t="e">
        <v>#N/A</v>
      </c>
    </row>
    <row r="2914" spans="1:12" ht="15" x14ac:dyDescent="0.25">
      <c r="A2914">
        <v>223522</v>
      </c>
      <c r="B2914" t="str">
        <f t="shared" si="122"/>
        <v>SEVROLL Herkules sada kovania60kg, 2,4m</v>
      </c>
      <c r="C2914" s="198" t="e">
        <f t="shared" si="123"/>
        <v>#N/A</v>
      </c>
      <c r="D2914" s="526" t="s">
        <v>3088</v>
      </c>
      <c r="E2914" s="526" t="s">
        <v>5070</v>
      </c>
      <c r="F2914" s="526" t="s">
        <v>1174</v>
      </c>
      <c r="G2914" s="526" t="s">
        <v>5071</v>
      </c>
      <c r="H2914" s="412" t="e">
        <v>#N/A</v>
      </c>
      <c r="I2914" s="411" t="e">
        <v>#N/A</v>
      </c>
      <c r="J2914" s="411" t="e">
        <v>#N/A</v>
      </c>
      <c r="K2914" s="411" t="e">
        <v>#N/A</v>
      </c>
      <c r="L2914" s="526" t="e">
        <v>#N/A</v>
      </c>
    </row>
    <row r="2915" spans="1:12" ht="15" x14ac:dyDescent="0.25">
      <c r="A2915">
        <v>223523</v>
      </c>
      <c r="B2915" t="str">
        <f t="shared" si="122"/>
        <v>SEVROLL Herkules sada kovania120kg, 2,4m</v>
      </c>
      <c r="C2915" s="198" t="e">
        <f t="shared" si="123"/>
        <v>#N/A</v>
      </c>
      <c r="D2915" s="526" t="s">
        <v>3089</v>
      </c>
      <c r="E2915" s="526" t="s">
        <v>5098</v>
      </c>
      <c r="F2915" s="526" t="s">
        <v>1181</v>
      </c>
      <c r="G2915" s="526" t="s">
        <v>5099</v>
      </c>
      <c r="H2915" s="412" t="e">
        <v>#N/A</v>
      </c>
      <c r="I2915" s="411" t="e">
        <v>#N/A</v>
      </c>
      <c r="J2915" s="411" t="e">
        <v>#N/A</v>
      </c>
      <c r="K2915" s="411" t="e">
        <v>#N/A</v>
      </c>
      <c r="L2915" s="526" t="e">
        <v>#N/A</v>
      </c>
    </row>
    <row r="2916" spans="1:12" ht="15" x14ac:dyDescent="0.25">
      <c r="A2916">
        <v>223524</v>
      </c>
      <c r="B2916" t="str">
        <f t="shared" si="122"/>
        <v>SEVROLL Herkules sada kovania60kg, 3m</v>
      </c>
      <c r="C2916" s="198" t="e">
        <f t="shared" si="123"/>
        <v>#N/A</v>
      </c>
      <c r="D2916" s="526" t="s">
        <v>3090</v>
      </c>
      <c r="E2916" s="526" t="s">
        <v>5100</v>
      </c>
      <c r="F2916" s="526" t="s">
        <v>1172</v>
      </c>
      <c r="G2916" s="526" t="s">
        <v>5101</v>
      </c>
      <c r="H2916" s="412" t="e">
        <v>#N/A</v>
      </c>
      <c r="I2916" s="411" t="e">
        <v>#N/A</v>
      </c>
      <c r="J2916" s="411" t="e">
        <v>#N/A</v>
      </c>
      <c r="K2916" s="411" t="e">
        <v>#N/A</v>
      </c>
      <c r="L2916" s="526" t="e">
        <v>#N/A</v>
      </c>
    </row>
    <row r="2917" spans="1:12" ht="15" x14ac:dyDescent="0.25">
      <c r="A2917">
        <v>223525</v>
      </c>
      <c r="B2917" t="str">
        <f t="shared" si="122"/>
        <v>SEVROLL Herkules sada kovania120kg, 3m</v>
      </c>
      <c r="C2917" s="198" t="e">
        <f t="shared" si="123"/>
        <v>#N/A</v>
      </c>
      <c r="D2917" s="526" t="s">
        <v>3091</v>
      </c>
      <c r="E2917" s="526" t="s">
        <v>5105</v>
      </c>
      <c r="F2917" s="526" t="s">
        <v>1179</v>
      </c>
      <c r="G2917" s="526" t="s">
        <v>5106</v>
      </c>
      <c r="H2917" s="412" t="e">
        <v>#N/A</v>
      </c>
      <c r="I2917" s="411" t="e">
        <v>#N/A</v>
      </c>
      <c r="J2917" s="411" t="e">
        <v>#N/A</v>
      </c>
      <c r="K2917" s="411" t="e">
        <v>#N/A</v>
      </c>
      <c r="L2917" s="526" t="e">
        <v>#N/A</v>
      </c>
    </row>
    <row r="2918" spans="1:12" ht="15" x14ac:dyDescent="0.25">
      <c r="A2918">
        <v>223528</v>
      </c>
      <c r="B2918" t="str">
        <f t="shared" si="122"/>
        <v>SEVROLL Herkules sada kovania 60kg</v>
      </c>
      <c r="C2918" s="198" t="e">
        <f t="shared" si="123"/>
        <v>#N/A</v>
      </c>
      <c r="D2918" s="526" t="s">
        <v>3092</v>
      </c>
      <c r="E2918" s="526" t="s">
        <v>4775</v>
      </c>
      <c r="F2918" s="526" t="s">
        <v>1178</v>
      </c>
      <c r="G2918" s="526" t="s">
        <v>4776</v>
      </c>
      <c r="H2918" s="412" t="e">
        <v>#N/A</v>
      </c>
      <c r="I2918" s="411" t="e">
        <v>#N/A</v>
      </c>
      <c r="J2918" s="411" t="e">
        <v>#N/A</v>
      </c>
      <c r="K2918" s="411" t="e">
        <v>#N/A</v>
      </c>
      <c r="L2918" s="526" t="e">
        <v>#N/A</v>
      </c>
    </row>
    <row r="2919" spans="1:12" ht="15" x14ac:dyDescent="0.25">
      <c r="A2919">
        <v>223529</v>
      </c>
      <c r="B2919" t="str">
        <f t="shared" si="122"/>
        <v>SEVROLL Herkules sada kovania 120kg</v>
      </c>
      <c r="C2919" s="198" t="e">
        <f t="shared" si="123"/>
        <v>#N/A</v>
      </c>
      <c r="D2919" s="526" t="s">
        <v>3093</v>
      </c>
      <c r="E2919" s="526" t="s">
        <v>4864</v>
      </c>
      <c r="F2919" s="526" t="s">
        <v>1185</v>
      </c>
      <c r="G2919" s="526" t="s">
        <v>4865</v>
      </c>
      <c r="H2919" s="412" t="e">
        <v>#N/A</v>
      </c>
      <c r="I2919" s="411" t="e">
        <v>#N/A</v>
      </c>
      <c r="J2919" s="411" t="e">
        <v>#N/A</v>
      </c>
      <c r="K2919" s="411" t="e">
        <v>#N/A</v>
      </c>
      <c r="L2919" s="526" t="e">
        <v>#N/A</v>
      </c>
    </row>
    <row r="2920" spans="1:12" ht="15" x14ac:dyDescent="0.25">
      <c r="A2920">
        <v>223549</v>
      </c>
      <c r="B2920" t="str">
        <f t="shared" si="122"/>
        <v>SEVROLL Libra úchytová lišta 18mm 2,7m oliva</v>
      </c>
      <c r="C2920" s="198">
        <f t="shared" si="123"/>
        <v>16.230090000000001</v>
      </c>
      <c r="D2920" s="526" t="s">
        <v>3094</v>
      </c>
      <c r="E2920" s="526" t="s">
        <v>4260</v>
      </c>
      <c r="F2920" s="526" t="s">
        <v>4261</v>
      </c>
      <c r="G2920" s="526" t="s">
        <v>4262</v>
      </c>
      <c r="H2920" s="412">
        <v>444.54575</v>
      </c>
      <c r="I2920" s="411">
        <v>16.230090000000001</v>
      </c>
      <c r="J2920" s="411">
        <v>54.908920000000002</v>
      </c>
      <c r="K2920" s="411">
        <v>6304.4669299999996</v>
      </c>
      <c r="L2920" s="526" t="s">
        <v>554</v>
      </c>
    </row>
    <row r="2921" spans="1:12" ht="15" x14ac:dyDescent="0.25">
      <c r="A2921">
        <v>223550</v>
      </c>
      <c r="B2921" t="str">
        <f t="shared" si="122"/>
        <v>SEVROLL Fala úchytová lišta 10mm 2,70m oliva</v>
      </c>
      <c r="C2921" s="198">
        <f t="shared" si="123"/>
        <v>14.03683</v>
      </c>
      <c r="D2921" s="526" t="s">
        <v>3095</v>
      </c>
      <c r="E2921" s="526" t="s">
        <v>5254</v>
      </c>
      <c r="F2921" s="526" t="s">
        <v>1193</v>
      </c>
      <c r="G2921" s="526" t="s">
        <v>5255</v>
      </c>
      <c r="H2921" s="412">
        <v>384.47199999999998</v>
      </c>
      <c r="I2921" s="411">
        <v>14.03683</v>
      </c>
      <c r="J2921" s="411">
        <v>52.309190000000001</v>
      </c>
      <c r="K2921" s="411">
        <v>5452.5119299999997</v>
      </c>
      <c r="L2921" s="526" t="s">
        <v>710</v>
      </c>
    </row>
    <row r="2922" spans="1:12" ht="15" x14ac:dyDescent="0.25">
      <c r="A2922">
        <v>223551</v>
      </c>
      <c r="B2922" t="str">
        <f t="shared" si="122"/>
        <v>SEVROLL Polo úchytová lišta 10mm 2,7m oliva</v>
      </c>
      <c r="C2922" s="198">
        <f t="shared" si="123"/>
        <v>15.43019</v>
      </c>
      <c r="D2922" s="526" t="s">
        <v>3096</v>
      </c>
      <c r="E2922" s="526" t="s">
        <v>5497</v>
      </c>
      <c r="F2922" s="526" t="s">
        <v>1140</v>
      </c>
      <c r="G2922" s="526" t="s">
        <v>5498</v>
      </c>
      <c r="H2922" s="412">
        <v>422.63650000000001</v>
      </c>
      <c r="I2922" s="411">
        <v>15.43019</v>
      </c>
      <c r="J2922" s="411">
        <v>52.202739999999999</v>
      </c>
      <c r="K2922" s="411">
        <v>5993.7538500000001</v>
      </c>
      <c r="L2922" s="526" t="s">
        <v>710</v>
      </c>
    </row>
    <row r="2923" spans="1:12" ht="15" x14ac:dyDescent="0.25">
      <c r="A2923">
        <v>223554</v>
      </c>
      <c r="B2923" t="str">
        <f t="shared" si="122"/>
        <v>SEVROLL Simple horné vedenie 6m oliva</v>
      </c>
      <c r="C2923" s="198">
        <f t="shared" si="123"/>
        <v>53.218690000000002</v>
      </c>
      <c r="D2923" s="526" t="s">
        <v>3097</v>
      </c>
      <c r="E2923" s="526" t="s">
        <v>4966</v>
      </c>
      <c r="F2923" s="526" t="s">
        <v>4967</v>
      </c>
      <c r="G2923" s="526" t="s">
        <v>4968</v>
      </c>
      <c r="H2923" s="412">
        <v>1458.0252499999999</v>
      </c>
      <c r="I2923" s="411">
        <v>53.218690000000002</v>
      </c>
      <c r="J2923" s="411">
        <v>181.37522999999999</v>
      </c>
      <c r="K2923" s="411">
        <v>20672.437699999999</v>
      </c>
      <c r="L2923" s="526" t="s">
        <v>554</v>
      </c>
    </row>
    <row r="2924" spans="1:12" ht="15" x14ac:dyDescent="0.25">
      <c r="A2924">
        <v>223557</v>
      </c>
      <c r="B2924" t="str">
        <f t="shared" si="122"/>
        <v>SEVROLL Simple spodné vedenie 6m oliva</v>
      </c>
      <c r="C2924" s="198" t="e">
        <f t="shared" si="123"/>
        <v>#N/A</v>
      </c>
      <c r="D2924" s="526" t="s">
        <v>3098</v>
      </c>
      <c r="E2924" s="526" t="s">
        <v>4649</v>
      </c>
      <c r="F2924" s="526" t="s">
        <v>4650</v>
      </c>
      <c r="G2924" s="526" t="s">
        <v>4651</v>
      </c>
      <c r="H2924" s="412" t="e">
        <v>#N/A</v>
      </c>
      <c r="I2924" s="411" t="e">
        <v>#N/A</v>
      </c>
      <c r="J2924" s="411" t="e">
        <v>#N/A</v>
      </c>
      <c r="K2924" s="411" t="e">
        <v>#N/A</v>
      </c>
      <c r="L2924" s="526" t="e">
        <v>#N/A</v>
      </c>
    </row>
    <row r="2925" spans="1:12" ht="15" x14ac:dyDescent="0.25">
      <c r="A2925">
        <v>223560</v>
      </c>
      <c r="B2925" t="str">
        <f t="shared" si="122"/>
        <v>SEVROLL 04444 spojovacia lišta Simple/Blue H28 3m (pre lamino 18mm) oliva</v>
      </c>
      <c r="C2925" s="198">
        <f t="shared" si="123"/>
        <v>24.577359999999999</v>
      </c>
      <c r="D2925" s="526" t="s">
        <v>3099</v>
      </c>
      <c r="E2925" s="526" t="s">
        <v>5624</v>
      </c>
      <c r="F2925" s="526" t="s">
        <v>5625</v>
      </c>
      <c r="G2925" s="526" t="s">
        <v>5626</v>
      </c>
      <c r="H2925" s="412">
        <v>673.53274999999996</v>
      </c>
      <c r="I2925" s="411">
        <v>24.577359999999999</v>
      </c>
      <c r="J2925" s="411">
        <v>83.149019999999993</v>
      </c>
      <c r="K2925" s="411">
        <v>9546.9076999999997</v>
      </c>
      <c r="L2925" s="526" t="s">
        <v>553</v>
      </c>
    </row>
    <row r="2926" spans="1:12" ht="15" x14ac:dyDescent="0.25">
      <c r="A2926">
        <v>223561</v>
      </c>
      <c r="B2926" t="str">
        <f t="shared" si="122"/>
        <v>SEVROLL 04459 horná vodiaca lišta Simple/Blue 3m (pre lamino 18mm) oliva</v>
      </c>
      <c r="C2926" s="198">
        <f t="shared" si="123"/>
        <v>12.74668</v>
      </c>
      <c r="D2926" s="526" t="s">
        <v>3100</v>
      </c>
      <c r="E2926" s="526" t="s">
        <v>5415</v>
      </c>
      <c r="F2926" s="526" t="s">
        <v>5416</v>
      </c>
      <c r="G2926" s="526" t="s">
        <v>5417</v>
      </c>
      <c r="H2926" s="412">
        <v>349.1345</v>
      </c>
      <c r="I2926" s="411">
        <v>12.74668</v>
      </c>
      <c r="J2926" s="411">
        <v>57.532240000000002</v>
      </c>
      <c r="K2926" s="411">
        <v>4951.36193</v>
      </c>
      <c r="L2926" s="526" t="s">
        <v>553</v>
      </c>
    </row>
    <row r="2927" spans="1:12" ht="15" x14ac:dyDescent="0.25">
      <c r="A2927">
        <v>223562</v>
      </c>
      <c r="B2927" t="str">
        <f t="shared" si="122"/>
        <v>SEVROLL 04451 spodná krycia lišta Simple/Blue 3m (pre lamino 18mm) oliva</v>
      </c>
      <c r="C2927" s="198">
        <f t="shared" si="123"/>
        <v>24.860669999999999</v>
      </c>
      <c r="D2927" s="526" t="s">
        <v>3101</v>
      </c>
      <c r="E2927" s="526" t="s">
        <v>5589</v>
      </c>
      <c r="F2927" s="526" t="s">
        <v>5590</v>
      </c>
      <c r="G2927" s="526" t="s">
        <v>5591</v>
      </c>
      <c r="H2927" s="412">
        <v>680.60024999999996</v>
      </c>
      <c r="I2927" s="411">
        <v>24.860669999999999</v>
      </c>
      <c r="J2927" s="411">
        <v>108.34688</v>
      </c>
      <c r="K2927" s="411">
        <v>9656.9599999999991</v>
      </c>
      <c r="L2927" s="526" t="s">
        <v>553</v>
      </c>
    </row>
    <row r="2928" spans="1:12" ht="15" x14ac:dyDescent="0.25">
      <c r="A2928">
        <v>223563</v>
      </c>
      <c r="B2928" t="str">
        <f t="shared" si="122"/>
        <v>SEVROLL horná vodiaca lišta Simple/Blue 3m (pre lamino 10mm) oliva</v>
      </c>
      <c r="C2928" s="198">
        <f t="shared" si="123"/>
        <v>14.90123</v>
      </c>
      <c r="D2928" s="526" t="s">
        <v>3102</v>
      </c>
      <c r="E2928" s="526" t="s">
        <v>5395</v>
      </c>
      <c r="F2928" s="526" t="s">
        <v>5396</v>
      </c>
      <c r="G2928" s="526" t="s">
        <v>5397</v>
      </c>
      <c r="H2928" s="412">
        <v>408.50150000000002</v>
      </c>
      <c r="I2928" s="411">
        <v>14.90123</v>
      </c>
      <c r="J2928" s="411">
        <v>52.450780000000002</v>
      </c>
      <c r="K2928" s="411">
        <v>5788.2826999999997</v>
      </c>
      <c r="L2928" s="526" t="s">
        <v>710</v>
      </c>
    </row>
    <row r="2929" spans="1:12" ht="15" x14ac:dyDescent="0.25">
      <c r="A2929">
        <v>223564</v>
      </c>
      <c r="B2929" t="str">
        <f t="shared" si="122"/>
        <v>SEVROLL spodná krycia lišta Simple/Blue 3m (pre lamino 10mm) oliva</v>
      </c>
      <c r="C2929" s="198">
        <f t="shared" si="123"/>
        <v>23.067879999999999</v>
      </c>
      <c r="D2929" s="526" t="s">
        <v>3103</v>
      </c>
      <c r="E2929" s="526" t="s">
        <v>5568</v>
      </c>
      <c r="F2929" s="526" t="s">
        <v>5569</v>
      </c>
      <c r="G2929" s="526" t="s">
        <v>5570</v>
      </c>
      <c r="H2929" s="412">
        <v>631.83450000000005</v>
      </c>
      <c r="I2929" s="411">
        <v>23.067879999999999</v>
      </c>
      <c r="J2929" s="411">
        <v>78.802019999999999</v>
      </c>
      <c r="K2929" s="411">
        <v>8872.2623100000001</v>
      </c>
      <c r="L2929" s="526" t="s">
        <v>554</v>
      </c>
    </row>
    <row r="2930" spans="1:12" ht="15" x14ac:dyDescent="0.25">
      <c r="A2930">
        <v>223569</v>
      </c>
      <c r="B2930" t="str">
        <f t="shared" si="122"/>
        <v>SEVROLL 20223 spona dorazovej kefky</v>
      </c>
      <c r="C2930" s="198">
        <f t="shared" si="123"/>
        <v>7.1209999999999996E-2</v>
      </c>
      <c r="D2930" s="526" t="s">
        <v>3104</v>
      </c>
      <c r="E2930" s="526" t="s">
        <v>6218</v>
      </c>
      <c r="F2930" s="526" t="s">
        <v>6219</v>
      </c>
      <c r="G2930" s="526" t="s">
        <v>6220</v>
      </c>
      <c r="H2930" s="412">
        <v>2.2744499999999999</v>
      </c>
      <c r="I2930" s="411">
        <v>7.1209999999999996E-2</v>
      </c>
      <c r="J2930" s="411">
        <v>0.23857999999999999</v>
      </c>
      <c r="K2930" s="411">
        <v>27.66348</v>
      </c>
      <c r="L2930" s="526" t="s">
        <v>710</v>
      </c>
    </row>
    <row r="2931" spans="1:12" ht="15" x14ac:dyDescent="0.25">
      <c r="A2931">
        <v>223572</v>
      </c>
      <c r="B2931" t="str">
        <f t="shared" si="122"/>
        <v>SEVROLL Karat úch.lišta 2,7m str</v>
      </c>
      <c r="C2931" s="198">
        <f t="shared" si="123"/>
        <v>21.880939999999999</v>
      </c>
      <c r="D2931" s="526" t="s">
        <v>3105</v>
      </c>
      <c r="E2931" s="526" t="s">
        <v>4665</v>
      </c>
      <c r="F2931" s="526" t="s">
        <v>1259</v>
      </c>
      <c r="G2931" s="526" t="s">
        <v>4666</v>
      </c>
      <c r="H2931" s="412">
        <v>605.86207999999999</v>
      </c>
      <c r="I2931" s="411">
        <v>21.880939999999999</v>
      </c>
      <c r="J2931" s="411">
        <v>78.988799999999998</v>
      </c>
      <c r="K2931" s="411">
        <v>8329.5137699999996</v>
      </c>
      <c r="L2931" s="526" t="s">
        <v>553</v>
      </c>
    </row>
    <row r="2932" spans="1:12" ht="15" x14ac:dyDescent="0.25">
      <c r="A2932">
        <v>223573</v>
      </c>
      <c r="B2932" t="str">
        <f t="shared" si="122"/>
        <v>SEVROLL karat úchytová lišta 2,7m oliva</v>
      </c>
      <c r="C2932" s="198">
        <f t="shared" si="123"/>
        <v>27.351179999999999</v>
      </c>
      <c r="D2932" s="526" t="s">
        <v>3106</v>
      </c>
      <c r="E2932" s="526" t="s">
        <v>4705</v>
      </c>
      <c r="F2932" s="526" t="s">
        <v>1169</v>
      </c>
      <c r="G2932" s="526" t="s">
        <v>4706</v>
      </c>
      <c r="H2932" s="412">
        <v>757.32759999999996</v>
      </c>
      <c r="I2932" s="411">
        <v>27.351179999999999</v>
      </c>
      <c r="J2932" s="411">
        <v>92.813500000000005</v>
      </c>
      <c r="K2932" s="411">
        <v>10411.892400000001</v>
      </c>
      <c r="L2932" s="526" t="s">
        <v>554</v>
      </c>
    </row>
    <row r="2933" spans="1:12" ht="15" x14ac:dyDescent="0.25">
      <c r="A2933">
        <v>224010</v>
      </c>
      <c r="B2933" t="str">
        <f t="shared" si="122"/>
        <v>SEVROLL Simple horné vedenie 1,5m strieborná</v>
      </c>
      <c r="C2933" s="198">
        <f t="shared" si="123"/>
        <v>12.359640000000001</v>
      </c>
      <c r="D2933" s="526" t="s">
        <v>3107</v>
      </c>
      <c r="E2933" s="526" t="s">
        <v>4099</v>
      </c>
      <c r="F2933" s="526" t="s">
        <v>1076</v>
      </c>
      <c r="G2933" s="526" t="s">
        <v>4100</v>
      </c>
      <c r="H2933" s="412">
        <v>278.66025000000002</v>
      </c>
      <c r="I2933" s="411">
        <v>12.359640000000001</v>
      </c>
      <c r="J2933" s="411">
        <v>41.814579999999999</v>
      </c>
      <c r="K2933" s="411">
        <v>4753.7065499999999</v>
      </c>
      <c r="L2933" s="526" t="s">
        <v>555</v>
      </c>
    </row>
    <row r="2934" spans="1:12" ht="15" x14ac:dyDescent="0.25">
      <c r="A2934">
        <v>224011</v>
      </c>
      <c r="B2934" t="str">
        <f t="shared" si="122"/>
        <v>SEVROLL Simple horné vedenie 2m strieborná</v>
      </c>
      <c r="C2934" s="198">
        <f t="shared" si="123"/>
        <v>14.191649999999999</v>
      </c>
      <c r="D2934" s="526" t="s">
        <v>3108</v>
      </c>
      <c r="E2934" s="526" t="s">
        <v>4304</v>
      </c>
      <c r="F2934" s="526" t="s">
        <v>1075</v>
      </c>
      <c r="G2934" s="526" t="s">
        <v>4305</v>
      </c>
      <c r="H2934" s="412">
        <v>388.71249999999998</v>
      </c>
      <c r="I2934" s="411">
        <v>14.191649999999999</v>
      </c>
      <c r="J2934" s="411">
        <v>52.592370000000003</v>
      </c>
      <c r="K2934" s="411">
        <v>5512.65</v>
      </c>
      <c r="L2934" s="526" t="s">
        <v>554</v>
      </c>
    </row>
    <row r="2935" spans="1:12" ht="15" x14ac:dyDescent="0.25">
      <c r="A2935">
        <v>224012</v>
      </c>
      <c r="B2935" t="str">
        <f t="shared" si="122"/>
        <v>SEVROLL Simple horné vedenie 2,5m strieborná</v>
      </c>
      <c r="C2935" s="198">
        <f t="shared" si="123"/>
        <v>17.739560000000001</v>
      </c>
      <c r="D2935" s="526" t="s">
        <v>3109</v>
      </c>
      <c r="E2935" s="526" t="s">
        <v>4424</v>
      </c>
      <c r="F2935" s="526" t="s">
        <v>4425</v>
      </c>
      <c r="G2935" s="526" t="s">
        <v>4426</v>
      </c>
      <c r="H2935" s="412">
        <v>486.24400000000003</v>
      </c>
      <c r="I2935" s="411">
        <v>17.739560000000001</v>
      </c>
      <c r="J2935" s="411">
        <v>65.697199999999995</v>
      </c>
      <c r="K2935" s="411">
        <v>6890.8127000000004</v>
      </c>
      <c r="L2935" s="526" t="s">
        <v>554</v>
      </c>
    </row>
    <row r="2936" spans="1:12" ht="15" x14ac:dyDescent="0.25">
      <c r="A2936">
        <v>224013</v>
      </c>
      <c r="B2936" t="str">
        <f t="shared" si="122"/>
        <v>SEVROLL Simple horné vedene 3m strieborná</v>
      </c>
      <c r="C2936" s="198">
        <f t="shared" si="123"/>
        <v>21.287479999999999</v>
      </c>
      <c r="D2936" s="526" t="s">
        <v>3110</v>
      </c>
      <c r="E2936" s="526" t="s">
        <v>4548</v>
      </c>
      <c r="F2936" s="526" t="s">
        <v>4549</v>
      </c>
      <c r="G2936" s="526" t="s">
        <v>4550</v>
      </c>
      <c r="H2936" s="412">
        <v>583.06875000000002</v>
      </c>
      <c r="I2936" s="411">
        <v>21.287479999999999</v>
      </c>
      <c r="J2936" s="411">
        <v>78.849220000000003</v>
      </c>
      <c r="K2936" s="411">
        <v>8268.9750000000004</v>
      </c>
      <c r="L2936" s="526" t="s">
        <v>554</v>
      </c>
    </row>
    <row r="2937" spans="1:12" ht="15" x14ac:dyDescent="0.25">
      <c r="A2937">
        <v>224014</v>
      </c>
      <c r="B2937" t="str">
        <f t="shared" ref="B2937:B3000" si="124">IF($A$2=1,D2937,IF($A$2=2,F2937,IF($A$2=3,G2937,IF($A$2=4,E2937,"zadat jazyk"))))</f>
        <v>SEVROLL Simple horné vedenie 4m strieborná</v>
      </c>
      <c r="C2937" s="198">
        <f t="shared" ref="C2937:C3000" si="125">IF($A$2=1,H2937,IF($A$2=2,I2937,IF($A$2=3,J2937,IF($A$2=4,K2937,"zadat jazyk"))))</f>
        <v>28.383299999999998</v>
      </c>
      <c r="D2937" s="526" t="s">
        <v>3111</v>
      </c>
      <c r="E2937" s="526" t="s">
        <v>4735</v>
      </c>
      <c r="F2937" s="526" t="s">
        <v>1074</v>
      </c>
      <c r="G2937" s="526" t="s">
        <v>4736</v>
      </c>
      <c r="H2937" s="412">
        <v>777.42499999999995</v>
      </c>
      <c r="I2937" s="411">
        <v>28.383299999999998</v>
      </c>
      <c r="J2937" s="411">
        <v>105.13754</v>
      </c>
      <c r="K2937" s="411">
        <v>11025.3</v>
      </c>
      <c r="L2937" s="526" t="s">
        <v>554</v>
      </c>
    </row>
    <row r="2938" spans="1:12" ht="15" x14ac:dyDescent="0.25">
      <c r="A2938">
        <v>224016</v>
      </c>
      <c r="B2938" t="str">
        <f t="shared" si="124"/>
        <v>SEVROLL Simple spodné vedenie 1,5m strieborn</v>
      </c>
      <c r="C2938" s="198">
        <f t="shared" si="125"/>
        <v>6.5023600000000004</v>
      </c>
      <c r="D2938" s="526" t="s">
        <v>3112</v>
      </c>
      <c r="E2938" s="526" t="s">
        <v>3771</v>
      </c>
      <c r="F2938" s="526" t="s">
        <v>1072</v>
      </c>
      <c r="G2938" s="526" t="s">
        <v>3772</v>
      </c>
      <c r="H2938" s="412">
        <v>150.12</v>
      </c>
      <c r="I2938" s="411">
        <v>6.5023600000000004</v>
      </c>
      <c r="J2938" s="411">
        <v>21.998480000000001</v>
      </c>
      <c r="K2938" s="411">
        <v>2500.9061700000002</v>
      </c>
      <c r="L2938" s="526" t="s">
        <v>555</v>
      </c>
    </row>
    <row r="2939" spans="1:12" ht="15" x14ac:dyDescent="0.25">
      <c r="A2939">
        <v>224017</v>
      </c>
      <c r="B2939" t="str">
        <f t="shared" si="124"/>
        <v>SEVROLL Simple spodné vedenie 2m strieborná</v>
      </c>
      <c r="C2939" s="198">
        <f t="shared" si="125"/>
        <v>7.6118899999999998</v>
      </c>
      <c r="D2939" s="526" t="s">
        <v>3113</v>
      </c>
      <c r="E2939" s="526" t="s">
        <v>3884</v>
      </c>
      <c r="F2939" s="526" t="s">
        <v>3885</v>
      </c>
      <c r="G2939" s="526" t="s">
        <v>3886</v>
      </c>
      <c r="H2939" s="412">
        <v>208.49125000000001</v>
      </c>
      <c r="I2939" s="411">
        <v>7.6118899999999998</v>
      </c>
      <c r="J2939" s="411">
        <v>27.562619999999999</v>
      </c>
      <c r="K2939" s="411">
        <v>2956.7849999999999</v>
      </c>
      <c r="L2939" s="526" t="s">
        <v>554</v>
      </c>
    </row>
    <row r="2940" spans="1:12" ht="15" x14ac:dyDescent="0.25">
      <c r="A2940">
        <v>224018</v>
      </c>
      <c r="B2940" t="str">
        <f t="shared" si="124"/>
        <v>SEVROLL Simple spodné vedenie 2,5m strieborná</v>
      </c>
      <c r="C2940" s="198">
        <f t="shared" si="125"/>
        <v>9.4438999999999993</v>
      </c>
      <c r="D2940" s="526" t="s">
        <v>3114</v>
      </c>
      <c r="E2940" s="526" t="s">
        <v>4034</v>
      </c>
      <c r="F2940" s="526" t="s">
        <v>4035</v>
      </c>
      <c r="G2940" s="526" t="s">
        <v>4036</v>
      </c>
      <c r="H2940" s="412">
        <v>258.6705</v>
      </c>
      <c r="I2940" s="411">
        <v>9.4438999999999993</v>
      </c>
      <c r="J2940" s="411">
        <v>34.437539999999998</v>
      </c>
      <c r="K2940" s="411">
        <v>3668.4180799999999</v>
      </c>
      <c r="L2940" s="526" t="s">
        <v>554</v>
      </c>
    </row>
    <row r="2941" spans="1:12" ht="15" x14ac:dyDescent="0.25">
      <c r="A2941">
        <v>224019</v>
      </c>
      <c r="B2941" t="str">
        <f t="shared" si="124"/>
        <v>SEVROLL Simple spodné vedenie 3m strieborná</v>
      </c>
      <c r="C2941" s="198">
        <f t="shared" si="125"/>
        <v>11.121090000000001</v>
      </c>
      <c r="D2941" s="526" t="s">
        <v>3115</v>
      </c>
      <c r="E2941" s="526" t="s">
        <v>4126</v>
      </c>
      <c r="F2941" s="526" t="s">
        <v>4127</v>
      </c>
      <c r="G2941" s="526" t="s">
        <v>4128</v>
      </c>
      <c r="H2941" s="412">
        <v>304.60924999999997</v>
      </c>
      <c r="I2941" s="411">
        <v>11.121090000000001</v>
      </c>
      <c r="J2941" s="411">
        <v>41.375390000000003</v>
      </c>
      <c r="K2941" s="411">
        <v>4319.9130800000003</v>
      </c>
      <c r="L2941" s="526" t="s">
        <v>554</v>
      </c>
    </row>
    <row r="2942" spans="1:12" ht="15" x14ac:dyDescent="0.25">
      <c r="A2942">
        <v>224020</v>
      </c>
      <c r="B2942" t="str">
        <f t="shared" si="124"/>
        <v>SEVROLL Simple spodné vedenie 4m strieborná</v>
      </c>
      <c r="C2942" s="198">
        <f t="shared" si="125"/>
        <v>14.88833</v>
      </c>
      <c r="D2942" s="526" t="s">
        <v>3116</v>
      </c>
      <c r="E2942" s="526" t="s">
        <v>4330</v>
      </c>
      <c r="F2942" s="526" t="s">
        <v>4331</v>
      </c>
      <c r="G2942" s="526" t="s">
        <v>4332</v>
      </c>
      <c r="H2942" s="412">
        <v>407.79475000000002</v>
      </c>
      <c r="I2942" s="411">
        <v>14.88833</v>
      </c>
      <c r="J2942" s="411">
        <v>55.125230000000002</v>
      </c>
      <c r="K2942" s="411">
        <v>5783.2711499999996</v>
      </c>
      <c r="L2942" s="526" t="s">
        <v>554</v>
      </c>
    </row>
    <row r="2943" spans="1:12" ht="15" x14ac:dyDescent="0.25">
      <c r="A2943">
        <v>224118</v>
      </c>
      <c r="B2943" t="str">
        <f t="shared" si="124"/>
        <v>SEVROLL Simple horné vedenie 1,5m oliva</v>
      </c>
      <c r="C2943" s="198" t="e">
        <f t="shared" si="125"/>
        <v>#N/A</v>
      </c>
      <c r="D2943" s="526" t="s">
        <v>3117</v>
      </c>
      <c r="E2943" s="526" t="s">
        <v>4154</v>
      </c>
      <c r="F2943" s="526" t="s">
        <v>4155</v>
      </c>
      <c r="G2943" s="526" t="s">
        <v>4156</v>
      </c>
      <c r="H2943" s="412" t="e">
        <v>#N/A</v>
      </c>
      <c r="I2943" s="411" t="e">
        <v>#N/A</v>
      </c>
      <c r="J2943" s="411" t="e">
        <v>#N/A</v>
      </c>
      <c r="K2943" s="411" t="e">
        <v>#N/A</v>
      </c>
      <c r="L2943" s="526" t="e">
        <v>#N/A</v>
      </c>
    </row>
    <row r="2944" spans="1:12" ht="15" x14ac:dyDescent="0.25">
      <c r="A2944">
        <v>224119</v>
      </c>
      <c r="B2944" t="str">
        <f t="shared" si="124"/>
        <v>SEVROLL Simple horné vedenie 2m oliva</v>
      </c>
      <c r="C2944" s="198" t="e">
        <f t="shared" si="125"/>
        <v>#N/A</v>
      </c>
      <c r="D2944" s="526" t="s">
        <v>3118</v>
      </c>
      <c r="E2944" s="526" t="s">
        <v>4360</v>
      </c>
      <c r="F2944" s="526" t="s">
        <v>4361</v>
      </c>
      <c r="G2944" s="526" t="s">
        <v>4362</v>
      </c>
      <c r="H2944" s="412" t="e">
        <v>#N/A</v>
      </c>
      <c r="I2944" s="411" t="e">
        <v>#N/A</v>
      </c>
      <c r="J2944" s="411" t="e">
        <v>#N/A</v>
      </c>
      <c r="K2944" s="411" t="e">
        <v>#N/A</v>
      </c>
      <c r="L2944" s="526" t="e">
        <v>#N/A</v>
      </c>
    </row>
    <row r="2945" spans="1:12" ht="15" x14ac:dyDescent="0.25">
      <c r="A2945">
        <v>224120</v>
      </c>
      <c r="B2945" t="str">
        <f t="shared" si="124"/>
        <v>SEVROLL Simple horné vedenie 2,5m oliva</v>
      </c>
      <c r="C2945" s="198" t="e">
        <f t="shared" si="125"/>
        <v>#N/A</v>
      </c>
      <c r="D2945" s="526" t="s">
        <v>3119</v>
      </c>
      <c r="E2945" s="526" t="s">
        <v>4524</v>
      </c>
      <c r="F2945" s="526" t="s">
        <v>4525</v>
      </c>
      <c r="G2945" s="526" t="s">
        <v>4526</v>
      </c>
      <c r="H2945" s="412" t="e">
        <v>#N/A</v>
      </c>
      <c r="I2945" s="411" t="e">
        <v>#N/A</v>
      </c>
      <c r="J2945" s="411" t="e">
        <v>#N/A</v>
      </c>
      <c r="K2945" s="411" t="e">
        <v>#N/A</v>
      </c>
      <c r="L2945" s="526" t="e">
        <v>#N/A</v>
      </c>
    </row>
    <row r="2946" spans="1:12" ht="15" x14ac:dyDescent="0.25">
      <c r="A2946">
        <v>224121</v>
      </c>
      <c r="B2946" t="str">
        <f t="shared" si="124"/>
        <v>SEVROLL Simple horné vedenie 3m oliva</v>
      </c>
      <c r="C2946" s="198" t="e">
        <f t="shared" si="125"/>
        <v>#N/A</v>
      </c>
      <c r="D2946" s="526" t="s">
        <v>3120</v>
      </c>
      <c r="E2946" s="526" t="s">
        <v>4608</v>
      </c>
      <c r="F2946" s="526" t="s">
        <v>4609</v>
      </c>
      <c r="G2946" s="526" t="s">
        <v>4610</v>
      </c>
      <c r="H2946" s="412" t="e">
        <v>#N/A</v>
      </c>
      <c r="I2946" s="411" t="e">
        <v>#N/A</v>
      </c>
      <c r="J2946" s="411" t="e">
        <v>#N/A</v>
      </c>
      <c r="K2946" s="411" t="e">
        <v>#N/A</v>
      </c>
      <c r="L2946" s="526" t="e">
        <v>#N/A</v>
      </c>
    </row>
    <row r="2947" spans="1:12" ht="15" x14ac:dyDescent="0.25">
      <c r="A2947">
        <v>224122</v>
      </c>
      <c r="B2947" t="str">
        <f t="shared" si="124"/>
        <v>SEVROLL Simple horné vedenie 4m oliva</v>
      </c>
      <c r="C2947" s="198" t="e">
        <f t="shared" si="125"/>
        <v>#N/A</v>
      </c>
      <c r="D2947" s="526" t="s">
        <v>3121</v>
      </c>
      <c r="E2947" s="526" t="s">
        <v>4792</v>
      </c>
      <c r="F2947" s="526" t="s">
        <v>4793</v>
      </c>
      <c r="G2947" s="526" t="s">
        <v>4794</v>
      </c>
      <c r="H2947" s="412" t="e">
        <v>#N/A</v>
      </c>
      <c r="I2947" s="411" t="e">
        <v>#N/A</v>
      </c>
      <c r="J2947" s="411" t="e">
        <v>#N/A</v>
      </c>
      <c r="K2947" s="411" t="e">
        <v>#N/A</v>
      </c>
      <c r="L2947" s="526" t="e">
        <v>#N/A</v>
      </c>
    </row>
    <row r="2948" spans="1:12" ht="15" x14ac:dyDescent="0.25">
      <c r="A2948">
        <v>224123</v>
      </c>
      <c r="B2948" t="str">
        <f t="shared" si="124"/>
        <v>SEVROLL Simple spodné vedenie 1,5m oliva</v>
      </c>
      <c r="C2948" s="198" t="e">
        <f t="shared" si="125"/>
        <v>#N/A</v>
      </c>
      <c r="D2948" s="526" t="s">
        <v>3122</v>
      </c>
      <c r="E2948" s="526" t="s">
        <v>3805</v>
      </c>
      <c r="F2948" s="526" t="s">
        <v>3806</v>
      </c>
      <c r="G2948" s="526" t="s">
        <v>3807</v>
      </c>
      <c r="H2948" s="412" t="e">
        <v>#N/A</v>
      </c>
      <c r="I2948" s="411" t="e">
        <v>#N/A</v>
      </c>
      <c r="J2948" s="411" t="e">
        <v>#N/A</v>
      </c>
      <c r="K2948" s="411" t="e">
        <v>#N/A</v>
      </c>
      <c r="L2948" s="526" t="e">
        <v>#N/A</v>
      </c>
    </row>
    <row r="2949" spans="1:12" ht="15" x14ac:dyDescent="0.25">
      <c r="A2949">
        <v>224125</v>
      </c>
      <c r="B2949" t="str">
        <f t="shared" si="124"/>
        <v>SEVROLL Simple spodné vedenie 2m oliva</v>
      </c>
      <c r="C2949" s="198" t="e">
        <f t="shared" si="125"/>
        <v>#N/A</v>
      </c>
      <c r="D2949" s="526" t="s">
        <v>3123</v>
      </c>
      <c r="E2949" s="526" t="s">
        <v>3944</v>
      </c>
      <c r="F2949" s="526" t="s">
        <v>3945</v>
      </c>
      <c r="G2949" s="526" t="s">
        <v>3946</v>
      </c>
      <c r="H2949" s="412" t="e">
        <v>#N/A</v>
      </c>
      <c r="I2949" s="411" t="e">
        <v>#N/A</v>
      </c>
      <c r="J2949" s="411" t="e">
        <v>#N/A</v>
      </c>
      <c r="K2949" s="411" t="e">
        <v>#N/A</v>
      </c>
      <c r="L2949" s="526" t="e">
        <v>#N/A</v>
      </c>
    </row>
    <row r="2950" spans="1:12" ht="15" x14ac:dyDescent="0.25">
      <c r="A2950">
        <v>224127</v>
      </c>
      <c r="B2950" t="str">
        <f t="shared" si="124"/>
        <v>SEVROLL Simple spodné vedenie 2,5m oliva</v>
      </c>
      <c r="C2950" s="198" t="e">
        <f t="shared" si="125"/>
        <v>#N/A</v>
      </c>
      <c r="D2950" s="526" t="s">
        <v>3124</v>
      </c>
      <c r="E2950" s="526" t="s">
        <v>4119</v>
      </c>
      <c r="F2950" s="526" t="s">
        <v>4120</v>
      </c>
      <c r="G2950" s="526" t="s">
        <v>4121</v>
      </c>
      <c r="H2950" s="412" t="e">
        <v>#N/A</v>
      </c>
      <c r="I2950" s="411" t="e">
        <v>#N/A</v>
      </c>
      <c r="J2950" s="411" t="e">
        <v>#N/A</v>
      </c>
      <c r="K2950" s="411" t="e">
        <v>#N/A</v>
      </c>
      <c r="L2950" s="526" t="e">
        <v>#N/A</v>
      </c>
    </row>
    <row r="2951" spans="1:12" ht="15" x14ac:dyDescent="0.25">
      <c r="A2951">
        <v>224128</v>
      </c>
      <c r="B2951" t="str">
        <f t="shared" si="124"/>
        <v>SEVROLL Simple spodné vedenie 3m oliva</v>
      </c>
      <c r="C2951" s="198" t="e">
        <f t="shared" si="125"/>
        <v>#N/A</v>
      </c>
      <c r="D2951" s="526" t="s">
        <v>3125</v>
      </c>
      <c r="E2951" s="526" t="s">
        <v>4168</v>
      </c>
      <c r="F2951" s="526" t="s">
        <v>4169</v>
      </c>
      <c r="G2951" s="526" t="s">
        <v>4170</v>
      </c>
      <c r="H2951" s="412" t="e">
        <v>#N/A</v>
      </c>
      <c r="I2951" s="411" t="e">
        <v>#N/A</v>
      </c>
      <c r="J2951" s="411" t="e">
        <v>#N/A</v>
      </c>
      <c r="K2951" s="411" t="e">
        <v>#N/A</v>
      </c>
      <c r="L2951" s="526" t="e">
        <v>#N/A</v>
      </c>
    </row>
    <row r="2952" spans="1:12" ht="15" x14ac:dyDescent="0.25">
      <c r="A2952">
        <v>224129</v>
      </c>
      <c r="B2952" t="str">
        <f t="shared" si="124"/>
        <v>SEVROLL Simple spodné vedenie 4m oliva</v>
      </c>
      <c r="C2952" s="198" t="e">
        <f t="shared" si="125"/>
        <v>#N/A</v>
      </c>
      <c r="D2952" s="526" t="s">
        <v>3126</v>
      </c>
      <c r="E2952" s="526" t="s">
        <v>4386</v>
      </c>
      <c r="F2952" s="526" t="s">
        <v>4387</v>
      </c>
      <c r="G2952" s="526" t="s">
        <v>4388</v>
      </c>
      <c r="H2952" s="412" t="e">
        <v>#N/A</v>
      </c>
      <c r="I2952" s="411" t="e">
        <v>#N/A</v>
      </c>
      <c r="J2952" s="411" t="e">
        <v>#N/A</v>
      </c>
      <c r="K2952" s="411" t="e">
        <v>#N/A</v>
      </c>
      <c r="L2952" s="526" t="e">
        <v>#N/A</v>
      </c>
    </row>
    <row r="2953" spans="1:12" ht="15" x14ac:dyDescent="0.25">
      <c r="A2953">
        <v>224131</v>
      </c>
      <c r="B2953" t="str">
        <f t="shared" si="124"/>
        <v>SEVROLL 04460 horná vodiaca lišta Simple/Blue 1,5m (pre lamino 18mm) strieborná</v>
      </c>
      <c r="C2953" s="198">
        <f t="shared" si="125"/>
        <v>5.1477000000000004</v>
      </c>
      <c r="D2953" s="526" t="s">
        <v>3127</v>
      </c>
      <c r="E2953" s="526" t="s">
        <v>5401</v>
      </c>
      <c r="F2953" s="526" t="s">
        <v>5402</v>
      </c>
      <c r="G2953" s="526" t="s">
        <v>2504</v>
      </c>
      <c r="H2953" s="412">
        <v>141.35</v>
      </c>
      <c r="I2953" s="411">
        <v>5.1477000000000004</v>
      </c>
      <c r="J2953" s="411">
        <v>24.998290000000001</v>
      </c>
      <c r="K2953" s="411">
        <v>1999.5884799999999</v>
      </c>
      <c r="L2953" s="526" t="s">
        <v>553</v>
      </c>
    </row>
    <row r="2954" spans="1:12" ht="15" x14ac:dyDescent="0.25">
      <c r="A2954">
        <v>224132</v>
      </c>
      <c r="B2954" t="str">
        <f t="shared" si="124"/>
        <v>SEVROLL 04461 horná vodiaca lišta Simple/Blue 2m (pre lamino 18mm) strieborná</v>
      </c>
      <c r="C2954" s="198">
        <f t="shared" si="125"/>
        <v>6.8635999999999999</v>
      </c>
      <c r="D2954" s="526" t="s">
        <v>3128</v>
      </c>
      <c r="E2954" s="526" t="s">
        <v>5412</v>
      </c>
      <c r="F2954" s="526" t="s">
        <v>5413</v>
      </c>
      <c r="G2954" s="526" t="s">
        <v>5414</v>
      </c>
      <c r="H2954" s="412">
        <v>187.99549999999999</v>
      </c>
      <c r="I2954" s="411">
        <v>6.8635999999999999</v>
      </c>
      <c r="J2954" s="411">
        <v>33.336289999999998</v>
      </c>
      <c r="K2954" s="411">
        <v>2666.1180800000002</v>
      </c>
      <c r="L2954" s="526" t="s">
        <v>553</v>
      </c>
    </row>
    <row r="2955" spans="1:12" ht="15" x14ac:dyDescent="0.25">
      <c r="A2955">
        <v>224133</v>
      </c>
      <c r="B2955" t="str">
        <f t="shared" si="124"/>
        <v>SEVROLL 04462 horná vodiaca lišta Simple/Blue 2,5m (pre lamino 18mm) strieborná</v>
      </c>
      <c r="C2955" s="198">
        <f t="shared" si="125"/>
        <v>8.5794999999999995</v>
      </c>
      <c r="D2955" s="526" t="s">
        <v>3129</v>
      </c>
      <c r="E2955" s="526" t="s">
        <v>5406</v>
      </c>
      <c r="F2955" s="526" t="s">
        <v>5407</v>
      </c>
      <c r="G2955" s="526" t="s">
        <v>5408</v>
      </c>
      <c r="H2955" s="412">
        <v>235.34774999999999</v>
      </c>
      <c r="I2955" s="411">
        <v>8.5794999999999995</v>
      </c>
      <c r="J2955" s="411">
        <v>41.658569999999997</v>
      </c>
      <c r="K2955" s="411">
        <v>3332.6477</v>
      </c>
      <c r="L2955" s="526" t="s">
        <v>554</v>
      </c>
    </row>
    <row r="2956" spans="1:12" ht="15" x14ac:dyDescent="0.25">
      <c r="A2956">
        <v>224135</v>
      </c>
      <c r="B2956" t="str">
        <f t="shared" si="124"/>
        <v>SEVROLL 04457 horná vodiaca lišta Simple/Blue 2m (pre lamino 18mm) oliva</v>
      </c>
      <c r="C2956" s="198">
        <f t="shared" si="125"/>
        <v>8.5149899999999992</v>
      </c>
      <c r="D2956" s="526" t="s">
        <v>3130</v>
      </c>
      <c r="E2956" s="526" t="s">
        <v>5409</v>
      </c>
      <c r="F2956" s="526" t="s">
        <v>5410</v>
      </c>
      <c r="G2956" s="526" t="s">
        <v>5411</v>
      </c>
      <c r="H2956" s="412">
        <v>233.22749999999999</v>
      </c>
      <c r="I2956" s="411">
        <v>8.5149899999999992</v>
      </c>
      <c r="J2956" s="411">
        <v>38.323360000000001</v>
      </c>
      <c r="K2956" s="411">
        <v>3307.59</v>
      </c>
      <c r="L2956" s="526" t="s">
        <v>553</v>
      </c>
    </row>
    <row r="2957" spans="1:12" ht="15" x14ac:dyDescent="0.25">
      <c r="A2957">
        <v>224136</v>
      </c>
      <c r="B2957" t="str">
        <f t="shared" si="124"/>
        <v>SEVROLL 04458 horná vodiaca lišta Simple/Blue 2,5m (pre lamino 18mm) oliva</v>
      </c>
      <c r="C2957" s="198">
        <f t="shared" si="125"/>
        <v>0</v>
      </c>
      <c r="D2957" s="526" t="s">
        <v>3131</v>
      </c>
      <c r="E2957" s="526" t="s">
        <v>5403</v>
      </c>
      <c r="F2957" s="526" t="s">
        <v>5404</v>
      </c>
      <c r="G2957" s="526" t="s">
        <v>5405</v>
      </c>
      <c r="H2957" s="412">
        <v>0</v>
      </c>
      <c r="I2957" s="411">
        <v>0</v>
      </c>
      <c r="J2957" s="411">
        <v>27.547039999999999</v>
      </c>
      <c r="K2957" s="411">
        <v>0</v>
      </c>
      <c r="L2957" s="526" t="s">
        <v>554</v>
      </c>
    </row>
    <row r="2958" spans="1:12" ht="15" x14ac:dyDescent="0.25">
      <c r="A2958">
        <v>224137</v>
      </c>
      <c r="B2958" t="str">
        <f t="shared" si="124"/>
        <v>SEVROLL 04452 spodná krycia lišta Simple/Blue 1,5m (pre lamino 18mm) strieborná</v>
      </c>
      <c r="C2958" s="198">
        <f t="shared" si="125"/>
        <v>10.024470000000001</v>
      </c>
      <c r="D2958" s="526" t="s">
        <v>3132</v>
      </c>
      <c r="E2958" s="526" t="s">
        <v>5574</v>
      </c>
      <c r="F2958" s="526" t="s">
        <v>5575</v>
      </c>
      <c r="G2958" s="526" t="s">
        <v>5576</v>
      </c>
      <c r="H2958" s="412">
        <v>274.92574999999999</v>
      </c>
      <c r="I2958" s="411">
        <v>10.024470000000001</v>
      </c>
      <c r="J2958" s="411">
        <v>48.17165</v>
      </c>
      <c r="K2958" s="411">
        <v>3893.9353799999999</v>
      </c>
      <c r="L2958" s="526" t="s">
        <v>553</v>
      </c>
    </row>
    <row r="2959" spans="1:12" ht="15" x14ac:dyDescent="0.25">
      <c r="A2959">
        <v>224138</v>
      </c>
      <c r="B2959" t="str">
        <f t="shared" si="124"/>
        <v>SEVROLL 04453 spodná krycia lišta Simple/Blue 2m (pre lamino 18mm) strieborná</v>
      </c>
      <c r="C2959" s="198">
        <f t="shared" si="125"/>
        <v>13.36595</v>
      </c>
      <c r="D2959" s="526" t="s">
        <v>3133</v>
      </c>
      <c r="E2959" s="526" t="s">
        <v>5586</v>
      </c>
      <c r="F2959" s="526" t="s">
        <v>5587</v>
      </c>
      <c r="G2959" s="526" t="s">
        <v>5588</v>
      </c>
      <c r="H2959" s="412">
        <v>366.09649999999999</v>
      </c>
      <c r="I2959" s="411">
        <v>13.36595</v>
      </c>
      <c r="J2959" s="411">
        <v>64.234110000000001</v>
      </c>
      <c r="K2959" s="411">
        <v>5191.9138499999999</v>
      </c>
      <c r="L2959" s="526" t="s">
        <v>553</v>
      </c>
    </row>
    <row r="2960" spans="1:12" ht="15" x14ac:dyDescent="0.25">
      <c r="A2960">
        <v>224139</v>
      </c>
      <c r="B2960" t="str">
        <f t="shared" si="124"/>
        <v>SEVROLL 04454 spodná krycia lišta Simple/Blue 2,5m (pre lamino 18mm) strieborná</v>
      </c>
      <c r="C2960" s="198">
        <f t="shared" si="125"/>
        <v>16.707439999999998</v>
      </c>
      <c r="D2960" s="526" t="s">
        <v>3134</v>
      </c>
      <c r="E2960" s="526" t="s">
        <v>5580</v>
      </c>
      <c r="F2960" s="526" t="s">
        <v>5581</v>
      </c>
      <c r="G2960" s="526" t="s">
        <v>5582</v>
      </c>
      <c r="H2960" s="412">
        <v>457.97399999999999</v>
      </c>
      <c r="I2960" s="411">
        <v>16.707439999999998</v>
      </c>
      <c r="J2960" s="411">
        <v>80.296570000000003</v>
      </c>
      <c r="K2960" s="411">
        <v>6489.8927000000003</v>
      </c>
      <c r="L2960" s="526" t="s">
        <v>554</v>
      </c>
    </row>
    <row r="2961" spans="1:12" ht="15" x14ac:dyDescent="0.25">
      <c r="A2961">
        <v>224141</v>
      </c>
      <c r="B2961" t="str">
        <f t="shared" si="124"/>
        <v>SEVROLL 04449 spodná krycia lišta Simple/Blue 2m (pre lamino 18mm) oliva</v>
      </c>
      <c r="C2961" s="198">
        <f t="shared" si="125"/>
        <v>16.57377</v>
      </c>
      <c r="D2961" s="526" t="s">
        <v>3135</v>
      </c>
      <c r="E2961" s="526" t="s">
        <v>5583</v>
      </c>
      <c r="F2961" s="526" t="s">
        <v>5584</v>
      </c>
      <c r="G2961" s="526" t="s">
        <v>5585</v>
      </c>
      <c r="H2961" s="412">
        <v>453.73349999999999</v>
      </c>
      <c r="I2961" s="411">
        <v>16.57377</v>
      </c>
      <c r="J2961" s="411">
        <v>72.241739999999993</v>
      </c>
      <c r="K2961" s="411">
        <v>6437.9734799999997</v>
      </c>
      <c r="L2961" s="526" t="s">
        <v>553</v>
      </c>
    </row>
    <row r="2962" spans="1:12" ht="15" x14ac:dyDescent="0.25">
      <c r="A2962">
        <v>224142</v>
      </c>
      <c r="B2962" t="str">
        <f t="shared" si="124"/>
        <v>SEVROLL 04450 spodná krycia lišta Simple/Blue 2,5m (pre lamino 18mm) oliva</v>
      </c>
      <c r="C2962" s="198">
        <f t="shared" si="125"/>
        <v>0</v>
      </c>
      <c r="D2962" s="526" t="s">
        <v>3136</v>
      </c>
      <c r="E2962" s="526" t="s">
        <v>5577</v>
      </c>
      <c r="F2962" s="526" t="s">
        <v>5578</v>
      </c>
      <c r="G2962" s="526" t="s">
        <v>5579</v>
      </c>
      <c r="H2962" s="412">
        <v>0</v>
      </c>
      <c r="I2962" s="411">
        <v>0</v>
      </c>
      <c r="J2962" s="411">
        <v>58.638979999999997</v>
      </c>
      <c r="K2962" s="411">
        <v>0</v>
      </c>
      <c r="L2962" s="526" t="s">
        <v>554</v>
      </c>
    </row>
    <row r="2963" spans="1:12" ht="15" x14ac:dyDescent="0.25">
      <c r="A2963">
        <v>224146</v>
      </c>
      <c r="B2963" t="str">
        <f t="shared" si="124"/>
        <v>SEVROLL horná vodiaca lišta Simple/Blue 1,5m( pre lamino 10mm)strieborná</v>
      </c>
      <c r="C2963" s="198">
        <f t="shared" si="125"/>
        <v>5.9604900000000001</v>
      </c>
      <c r="D2963" s="526" t="s">
        <v>3137</v>
      </c>
      <c r="E2963" s="526" t="s">
        <v>3802</v>
      </c>
      <c r="F2963" s="526" t="s">
        <v>3803</v>
      </c>
      <c r="G2963" s="526" t="s">
        <v>3804</v>
      </c>
      <c r="H2963" s="412">
        <v>163.25925000000001</v>
      </c>
      <c r="I2963" s="411">
        <v>5.9604900000000001</v>
      </c>
      <c r="J2963" s="411">
        <v>22.79579</v>
      </c>
      <c r="K2963" s="411">
        <v>2315.3130799999999</v>
      </c>
      <c r="L2963" s="526" t="s">
        <v>554</v>
      </c>
    </row>
    <row r="2964" spans="1:12" ht="15" x14ac:dyDescent="0.25">
      <c r="A2964">
        <v>224147</v>
      </c>
      <c r="B2964" t="str">
        <f t="shared" si="124"/>
        <v>SEVROLL horná vodiaca lišta Simple/Blue 2m(pre lamino 10mm)strieborná</v>
      </c>
      <c r="C2964" s="198">
        <f t="shared" si="125"/>
        <v>7.9473200000000004</v>
      </c>
      <c r="D2964" s="526" t="s">
        <v>3138</v>
      </c>
      <c r="E2964" s="526" t="s">
        <v>3941</v>
      </c>
      <c r="F2964" s="526" t="s">
        <v>3942</v>
      </c>
      <c r="G2964" s="526" t="s">
        <v>3943</v>
      </c>
      <c r="H2964" s="412">
        <v>217.679</v>
      </c>
      <c r="I2964" s="411">
        <v>7.9473200000000004</v>
      </c>
      <c r="J2964" s="411">
        <v>30.410119999999999</v>
      </c>
      <c r="K2964" s="411">
        <v>3087.08385</v>
      </c>
      <c r="L2964" s="526" t="s">
        <v>553</v>
      </c>
    </row>
    <row r="2965" spans="1:12" ht="15" x14ac:dyDescent="0.25">
      <c r="A2965">
        <v>224148</v>
      </c>
      <c r="B2965" t="str">
        <f t="shared" si="124"/>
        <v>SEVROLL 03757 horná vodiaca lišta Simple/Blue 2,5m (pre lamino 10mm) strieborná</v>
      </c>
      <c r="C2965" s="198">
        <f t="shared" si="125"/>
        <v>9.9341600000000003</v>
      </c>
      <c r="D2965" s="526" t="s">
        <v>3139</v>
      </c>
      <c r="E2965" s="526" t="s">
        <v>4046</v>
      </c>
      <c r="F2965" s="526" t="s">
        <v>4047</v>
      </c>
      <c r="G2965" s="526" t="s">
        <v>4048</v>
      </c>
      <c r="H2965" s="412">
        <v>272.09875</v>
      </c>
      <c r="I2965" s="411">
        <v>9.9341600000000003</v>
      </c>
      <c r="J2965" s="411">
        <v>38.008719999999997</v>
      </c>
      <c r="K2965" s="411">
        <v>3858.855</v>
      </c>
      <c r="L2965" s="526" t="s">
        <v>554</v>
      </c>
    </row>
    <row r="2966" spans="1:12" ht="15" x14ac:dyDescent="0.25">
      <c r="A2966">
        <v>224149</v>
      </c>
      <c r="B2966" t="str">
        <f t="shared" si="124"/>
        <v>SEVROLL 03758 horná vodiaca lišta Simple/Blue 1,5m (pre lamino 10mm) oliva</v>
      </c>
      <c r="C2966" s="198" t="e">
        <f t="shared" si="125"/>
        <v>#N/A</v>
      </c>
      <c r="D2966" s="526" t="s">
        <v>3140</v>
      </c>
      <c r="E2966" s="526" t="s">
        <v>5386</v>
      </c>
      <c r="F2966" s="526" t="s">
        <v>5387</v>
      </c>
      <c r="G2966" s="526" t="s">
        <v>5388</v>
      </c>
      <c r="H2966" s="412" t="e">
        <v>#N/A</v>
      </c>
      <c r="I2966" s="411" t="e">
        <v>#N/A</v>
      </c>
      <c r="J2966" s="411" t="e">
        <v>#N/A</v>
      </c>
      <c r="K2966" s="411" t="e">
        <v>#N/A</v>
      </c>
      <c r="L2966" s="526" t="e">
        <v>#N/A</v>
      </c>
    </row>
    <row r="2967" spans="1:12" ht="15" x14ac:dyDescent="0.25">
      <c r="A2967">
        <v>224150</v>
      </c>
      <c r="B2967" t="str">
        <f t="shared" si="124"/>
        <v>SEVROLL 03759 horná vodiaca lišta Simple/Blue 2m (pre lamino 10mm) oliva</v>
      </c>
      <c r="C2967" s="198" t="e">
        <f t="shared" si="125"/>
        <v>#N/A</v>
      </c>
      <c r="D2967" s="526" t="s">
        <v>3141</v>
      </c>
      <c r="E2967" s="526" t="s">
        <v>5392</v>
      </c>
      <c r="F2967" s="526" t="s">
        <v>5393</v>
      </c>
      <c r="G2967" s="526" t="s">
        <v>5394</v>
      </c>
      <c r="H2967" s="412" t="e">
        <v>#N/A</v>
      </c>
      <c r="I2967" s="411" t="e">
        <v>#N/A</v>
      </c>
      <c r="J2967" s="411" t="e">
        <v>#N/A</v>
      </c>
      <c r="K2967" s="411" t="e">
        <v>#N/A</v>
      </c>
      <c r="L2967" s="526" t="e">
        <v>#N/A</v>
      </c>
    </row>
    <row r="2968" spans="1:12" ht="15" x14ac:dyDescent="0.25">
      <c r="A2968">
        <v>224151</v>
      </c>
      <c r="B2968" t="str">
        <f t="shared" si="124"/>
        <v>SEVROLL 03760 horná vodiaca lišta Simple/Blue 2,5m (pre lamino 10mm) oliva</v>
      </c>
      <c r="C2968" s="198" t="e">
        <f t="shared" si="125"/>
        <v>#N/A</v>
      </c>
      <c r="D2968" s="526" t="s">
        <v>3142</v>
      </c>
      <c r="E2968" s="526" t="s">
        <v>5389</v>
      </c>
      <c r="F2968" s="526" t="s">
        <v>5390</v>
      </c>
      <c r="G2968" s="526" t="s">
        <v>5391</v>
      </c>
      <c r="H2968" s="412" t="e">
        <v>#N/A</v>
      </c>
      <c r="I2968" s="411" t="e">
        <v>#N/A</v>
      </c>
      <c r="J2968" s="411" t="e">
        <v>#N/A</v>
      </c>
      <c r="K2968" s="411" t="e">
        <v>#N/A</v>
      </c>
      <c r="L2968" s="526" t="e">
        <v>#N/A</v>
      </c>
    </row>
    <row r="2969" spans="1:12" ht="15" x14ac:dyDescent="0.25">
      <c r="A2969">
        <v>224152</v>
      </c>
      <c r="B2969" t="str">
        <f t="shared" si="124"/>
        <v>SEVROLL spodná krycia lišta Simple/Blue 1,5m (pre lamino 10mm) strieborná</v>
      </c>
      <c r="C2969" s="198">
        <f t="shared" si="125"/>
        <v>9.9599600000000006</v>
      </c>
      <c r="D2969" s="526" t="s">
        <v>3143</v>
      </c>
      <c r="E2969" s="526" t="s">
        <v>4049</v>
      </c>
      <c r="F2969" s="526" t="s">
        <v>4050</v>
      </c>
      <c r="G2969" s="526" t="s">
        <v>4051</v>
      </c>
      <c r="H2969" s="412">
        <v>272.80549999999999</v>
      </c>
      <c r="I2969" s="411">
        <v>9.9599600000000006</v>
      </c>
      <c r="J2969" s="411">
        <v>34.248750000000001</v>
      </c>
      <c r="K2969" s="411">
        <v>3868.87808</v>
      </c>
      <c r="L2969" s="526" t="s">
        <v>553</v>
      </c>
    </row>
    <row r="2970" spans="1:12" ht="15" x14ac:dyDescent="0.25">
      <c r="A2970">
        <v>224153</v>
      </c>
      <c r="B2970" t="str">
        <f t="shared" si="124"/>
        <v>SEVROLL spodná krycia lišta Simple/Blue 2m(pre lamino 10mm) strieborná</v>
      </c>
      <c r="C2970" s="198">
        <f t="shared" si="125"/>
        <v>13.10792</v>
      </c>
      <c r="D2970" s="526" t="s">
        <v>3144</v>
      </c>
      <c r="E2970" s="526" t="s">
        <v>4231</v>
      </c>
      <c r="F2970" s="526" t="s">
        <v>4232</v>
      </c>
      <c r="G2970" s="526" t="s">
        <v>4233</v>
      </c>
      <c r="H2970" s="412">
        <v>359.029</v>
      </c>
      <c r="I2970" s="411">
        <v>13.10792</v>
      </c>
      <c r="J2970" s="411">
        <v>45.701709999999999</v>
      </c>
      <c r="K2970" s="411">
        <v>5091.6838500000003</v>
      </c>
      <c r="L2970" s="526" t="s">
        <v>553</v>
      </c>
    </row>
    <row r="2971" spans="1:12" ht="15" x14ac:dyDescent="0.25">
      <c r="A2971">
        <v>224154</v>
      </c>
      <c r="B2971" t="str">
        <f t="shared" si="124"/>
        <v>SEVROLL 03748 spodná krycia lišta Simple/Blue 2,5m (pre lamino 10mm) strieborná</v>
      </c>
      <c r="C2971" s="198">
        <f t="shared" si="125"/>
        <v>16.255890000000001</v>
      </c>
      <c r="D2971" s="526" t="s">
        <v>3145</v>
      </c>
      <c r="E2971" s="526" t="s">
        <v>4416</v>
      </c>
      <c r="F2971" s="526" t="s">
        <v>4417</v>
      </c>
      <c r="G2971" s="526" t="s">
        <v>4418</v>
      </c>
      <c r="H2971" s="412">
        <v>445.2525</v>
      </c>
      <c r="I2971" s="411">
        <v>16.255890000000001</v>
      </c>
      <c r="J2971" s="411">
        <v>57.107480000000002</v>
      </c>
      <c r="K2971" s="411">
        <v>6314.49</v>
      </c>
      <c r="L2971" s="526" t="s">
        <v>554</v>
      </c>
    </row>
    <row r="2972" spans="1:12" ht="15" x14ac:dyDescent="0.25">
      <c r="A2972">
        <v>224155</v>
      </c>
      <c r="B2972" t="str">
        <f t="shared" si="124"/>
        <v>SEVROLL 03751 spodná krycia lišta Simple/Blue 1,5m (pre lamino 10mm) oliva</v>
      </c>
      <c r="C2972" s="198" t="e">
        <f t="shared" si="125"/>
        <v>#N/A</v>
      </c>
      <c r="D2972" s="526" t="s">
        <v>3146</v>
      </c>
      <c r="E2972" s="526" t="s">
        <v>4086</v>
      </c>
      <c r="F2972" s="526" t="s">
        <v>4087</v>
      </c>
      <c r="G2972" s="526" t="s">
        <v>4088</v>
      </c>
      <c r="H2972" s="412" t="e">
        <v>#N/A</v>
      </c>
      <c r="I2972" s="411" t="e">
        <v>#N/A</v>
      </c>
      <c r="J2972" s="411" t="e">
        <v>#N/A</v>
      </c>
      <c r="K2972" s="411" t="e">
        <v>#N/A</v>
      </c>
      <c r="L2972" s="526" t="e">
        <v>#N/A</v>
      </c>
    </row>
    <row r="2973" spans="1:12" ht="15" x14ac:dyDescent="0.25">
      <c r="A2973">
        <v>224156</v>
      </c>
      <c r="B2973" t="str">
        <f t="shared" si="124"/>
        <v>SEVROLL 03752 spodná krycia lišta Simple/Blue 2m (pre lamino 10mm) oliva</v>
      </c>
      <c r="C2973" s="198" t="e">
        <f t="shared" si="125"/>
        <v>#N/A</v>
      </c>
      <c r="D2973" s="526" t="s">
        <v>3147</v>
      </c>
      <c r="E2973" s="526" t="s">
        <v>4265</v>
      </c>
      <c r="F2973" s="526" t="s">
        <v>4266</v>
      </c>
      <c r="G2973" s="526" t="s">
        <v>4267</v>
      </c>
      <c r="H2973" s="412" t="e">
        <v>#N/A</v>
      </c>
      <c r="I2973" s="411" t="e">
        <v>#N/A</v>
      </c>
      <c r="J2973" s="411" t="e">
        <v>#N/A</v>
      </c>
      <c r="K2973" s="411" t="e">
        <v>#N/A</v>
      </c>
      <c r="L2973" s="526" t="e">
        <v>#N/A</v>
      </c>
    </row>
    <row r="2974" spans="1:12" ht="15" x14ac:dyDescent="0.25">
      <c r="A2974">
        <v>224157</v>
      </c>
      <c r="B2974" t="str">
        <f t="shared" si="124"/>
        <v>SEVROLL 03753 spodná krycia lišta Simple/Blue 2,5m (pre lamino 10mm) oliva</v>
      </c>
      <c r="C2974" s="198" t="e">
        <f t="shared" si="125"/>
        <v>#N/A</v>
      </c>
      <c r="D2974" s="526" t="s">
        <v>3148</v>
      </c>
      <c r="E2974" s="526" t="s">
        <v>4516</v>
      </c>
      <c r="F2974" s="526" t="s">
        <v>4517</v>
      </c>
      <c r="G2974" s="526" t="s">
        <v>4518</v>
      </c>
      <c r="H2974" s="412" t="e">
        <v>#N/A</v>
      </c>
      <c r="I2974" s="411" t="e">
        <v>#N/A</v>
      </c>
      <c r="J2974" s="411" t="e">
        <v>#N/A</v>
      </c>
      <c r="K2974" s="411" t="e">
        <v>#N/A</v>
      </c>
      <c r="L2974" s="526" t="e">
        <v>#N/A</v>
      </c>
    </row>
    <row r="2975" spans="1:12" ht="15" x14ac:dyDescent="0.25">
      <c r="A2975">
        <v>224158</v>
      </c>
      <c r="B2975" t="str">
        <f t="shared" si="124"/>
        <v>SEVROLL 04446 spojovacia lišta Simple/Blue H21 3m (pre lamino 18mm) oliva</v>
      </c>
      <c r="C2975" s="198">
        <f t="shared" si="125"/>
        <v>14.159409999999999</v>
      </c>
      <c r="D2975" s="526" t="s">
        <v>3149</v>
      </c>
      <c r="E2975" s="526" t="s">
        <v>5621</v>
      </c>
      <c r="F2975" s="526" t="s">
        <v>5622</v>
      </c>
      <c r="G2975" s="526" t="s">
        <v>5623</v>
      </c>
      <c r="H2975" s="412">
        <v>387.82906000000003</v>
      </c>
      <c r="I2975" s="411">
        <v>14.159409999999999</v>
      </c>
      <c r="J2975" s="411">
        <v>54.071179999999998</v>
      </c>
      <c r="K2975" s="411">
        <v>5500.1215499999998</v>
      </c>
      <c r="L2975" s="526" t="s">
        <v>553</v>
      </c>
    </row>
    <row r="2976" spans="1:12" ht="15" x14ac:dyDescent="0.25">
      <c r="A2976">
        <v>224161</v>
      </c>
      <c r="B2976" t="str">
        <f t="shared" si="124"/>
        <v>SEVROLL 219-070 Symetric sada kovania pre 2 krídla</v>
      </c>
      <c r="C2976" s="198">
        <f t="shared" si="125"/>
        <v>39.633409999999998</v>
      </c>
      <c r="D2976" s="526" t="s">
        <v>3150</v>
      </c>
      <c r="E2976" s="526" t="s">
        <v>4772</v>
      </c>
      <c r="F2976" s="526" t="s">
        <v>4773</v>
      </c>
      <c r="G2976" s="526" t="s">
        <v>4774</v>
      </c>
      <c r="H2976" s="412">
        <v>1046.0927999999999</v>
      </c>
      <c r="I2976" s="411">
        <v>39.633409999999998</v>
      </c>
      <c r="J2976" s="411">
        <v>136.36887999999999</v>
      </c>
      <c r="K2976" s="411">
        <v>14594.95384</v>
      </c>
      <c r="L2976" s="526" t="s">
        <v>554</v>
      </c>
    </row>
    <row r="2977" spans="1:12" ht="15" x14ac:dyDescent="0.25">
      <c r="A2977">
        <v>224214</v>
      </c>
      <c r="B2977" t="str">
        <f t="shared" si="124"/>
        <v>SEVROLL 20240 Simple/Blue pozícionér pre horný vozík</v>
      </c>
      <c r="C2977" s="198">
        <f t="shared" si="125"/>
        <v>0.46961999999999998</v>
      </c>
      <c r="D2977" s="526" t="s">
        <v>3151</v>
      </c>
      <c r="E2977" s="526" t="s">
        <v>6221</v>
      </c>
      <c r="F2977" s="526" t="s">
        <v>6222</v>
      </c>
      <c r="G2977" s="526" t="s">
        <v>6223</v>
      </c>
      <c r="H2977" s="412">
        <v>13.79833</v>
      </c>
      <c r="I2977" s="411">
        <v>0.46961999999999998</v>
      </c>
      <c r="J2977" s="411">
        <v>1.5743100000000001</v>
      </c>
      <c r="K2977" s="411">
        <v>182.41847999999999</v>
      </c>
      <c r="L2977" s="526" t="s">
        <v>554</v>
      </c>
    </row>
    <row r="2978" spans="1:12" ht="15" x14ac:dyDescent="0.25">
      <c r="A2978">
        <v>225358</v>
      </c>
      <c r="B2978" t="str">
        <f t="shared" si="124"/>
        <v>SEVROLL Exclusive horné vedenie 1,8m oliva</v>
      </c>
      <c r="C2978" s="198">
        <f t="shared" si="125"/>
        <v>23.506530000000001</v>
      </c>
      <c r="D2978" s="526" t="s">
        <v>3152</v>
      </c>
      <c r="E2978" s="526" t="s">
        <v>4563</v>
      </c>
      <c r="F2978" s="526" t="s">
        <v>1199</v>
      </c>
      <c r="G2978" s="526" t="s">
        <v>4564</v>
      </c>
      <c r="H2978" s="412">
        <v>620.43655000000001</v>
      </c>
      <c r="I2978" s="411">
        <v>23.506530000000001</v>
      </c>
      <c r="J2978" s="411">
        <v>80.880240000000001</v>
      </c>
      <c r="K2978" s="411">
        <v>8656.2519300000004</v>
      </c>
      <c r="L2978" s="526" t="s">
        <v>554</v>
      </c>
    </row>
    <row r="2979" spans="1:12" ht="15" x14ac:dyDescent="0.25">
      <c r="A2979">
        <v>225367</v>
      </c>
      <c r="B2979" t="str">
        <f t="shared" si="124"/>
        <v>SEVROLL Elegant II spodné vedenie 6m oliva kartáčovaná</v>
      </c>
      <c r="C2979" s="198">
        <f t="shared" si="125"/>
        <v>54.341119999999997</v>
      </c>
      <c r="D2979" s="526" t="s">
        <v>3153</v>
      </c>
      <c r="E2979" s="526" t="s">
        <v>5245</v>
      </c>
      <c r="F2979" s="526" t="s">
        <v>5246</v>
      </c>
      <c r="G2979" s="526" t="s">
        <v>5247</v>
      </c>
      <c r="H2979" s="412">
        <v>1504.6527599999999</v>
      </c>
      <c r="I2979" s="411">
        <v>54.341119999999997</v>
      </c>
      <c r="J2979" s="411">
        <v>195.35040000000001</v>
      </c>
      <c r="K2979" s="411">
        <v>20686.26931</v>
      </c>
      <c r="L2979" s="526" t="s">
        <v>554</v>
      </c>
    </row>
    <row r="2980" spans="1:12" ht="15" x14ac:dyDescent="0.25">
      <c r="A2980">
        <v>225368</v>
      </c>
      <c r="B2980" t="str">
        <f t="shared" si="124"/>
        <v>SEVROLL Elegant II spodné vedenie 6m oliva tmavá kartáčovaná</v>
      </c>
      <c r="C2980" s="198">
        <f t="shared" si="125"/>
        <v>54.341119999999997</v>
      </c>
      <c r="D2980" s="526" t="s">
        <v>3154</v>
      </c>
      <c r="E2980" s="526" t="s">
        <v>5248</v>
      </c>
      <c r="F2980" s="526" t="s">
        <v>5249</v>
      </c>
      <c r="G2980" s="526" t="s">
        <v>5250</v>
      </c>
      <c r="H2980" s="412">
        <v>1504.6527599999999</v>
      </c>
      <c r="I2980" s="411">
        <v>54.341119999999997</v>
      </c>
      <c r="J2980" s="411">
        <v>195.35040000000001</v>
      </c>
      <c r="K2980" s="411">
        <v>20686.26931</v>
      </c>
      <c r="L2980" s="526" t="s">
        <v>554</v>
      </c>
    </row>
    <row r="2981" spans="1:12" ht="15" x14ac:dyDescent="0.25">
      <c r="A2981">
        <v>225369</v>
      </c>
      <c r="B2981" t="str">
        <f t="shared" si="124"/>
        <v>SEVROLL Elegant II spodné vedenie 6m čierna kartáčovaná</v>
      </c>
      <c r="C2981" s="198">
        <f t="shared" si="125"/>
        <v>54.341119999999997</v>
      </c>
      <c r="D2981" s="526" t="s">
        <v>3155</v>
      </c>
      <c r="E2981" s="526" t="s">
        <v>5242</v>
      </c>
      <c r="F2981" s="526" t="s">
        <v>5243</v>
      </c>
      <c r="G2981" s="526" t="s">
        <v>5244</v>
      </c>
      <c r="H2981" s="412">
        <v>1504.6527599999999</v>
      </c>
      <c r="I2981" s="411">
        <v>54.341119999999997</v>
      </c>
      <c r="J2981" s="411">
        <v>195.35040000000001</v>
      </c>
      <c r="K2981" s="411">
        <v>20686.26931</v>
      </c>
      <c r="L2981" s="526" t="s">
        <v>553</v>
      </c>
    </row>
    <row r="2982" spans="1:12" ht="15" x14ac:dyDescent="0.25">
      <c r="A2982">
        <v>225370</v>
      </c>
      <c r="B2982" t="str">
        <f t="shared" si="124"/>
        <v>SEVROLL Gemini horné vedenie 6m oliva kartáč</v>
      </c>
      <c r="C2982" s="198">
        <f t="shared" si="125"/>
        <v>85.072490000000002</v>
      </c>
      <c r="D2982" s="526" t="s">
        <v>3156</v>
      </c>
      <c r="E2982" s="526" t="s">
        <v>5325</v>
      </c>
      <c r="F2982" s="526" t="s">
        <v>1189</v>
      </c>
      <c r="G2982" s="526" t="s">
        <v>5326</v>
      </c>
      <c r="H2982" s="412">
        <v>2355.5746199999999</v>
      </c>
      <c r="I2982" s="411">
        <v>85.072490000000002</v>
      </c>
      <c r="J2982" s="411">
        <v>297.64620000000002</v>
      </c>
      <c r="K2982" s="411">
        <v>32384.914529999998</v>
      </c>
      <c r="L2982" s="526" t="s">
        <v>554</v>
      </c>
    </row>
    <row r="2983" spans="1:12" ht="15" x14ac:dyDescent="0.25">
      <c r="A2983">
        <v>225371</v>
      </c>
      <c r="B2983" t="str">
        <f t="shared" si="124"/>
        <v>SEVROLL Gemini horné vedenie 6m oliva tmavá</v>
      </c>
      <c r="C2983" s="198">
        <f t="shared" si="125"/>
        <v>85.072490000000002</v>
      </c>
      <c r="D2983" s="526" t="s">
        <v>3157</v>
      </c>
      <c r="E2983" s="526" t="s">
        <v>5327</v>
      </c>
      <c r="F2983" s="526" t="s">
        <v>1188</v>
      </c>
      <c r="G2983" s="526" t="s">
        <v>5328</v>
      </c>
      <c r="H2983" s="412">
        <v>2355.5746199999999</v>
      </c>
      <c r="I2983" s="411">
        <v>85.072490000000002</v>
      </c>
      <c r="J2983" s="411">
        <v>297.64620000000002</v>
      </c>
      <c r="K2983" s="411">
        <v>32384.914529999998</v>
      </c>
      <c r="L2983" s="526" t="s">
        <v>554</v>
      </c>
    </row>
    <row r="2984" spans="1:12" ht="15" x14ac:dyDescent="0.25">
      <c r="A2984">
        <v>225372</v>
      </c>
      <c r="B2984" t="str">
        <f t="shared" si="124"/>
        <v>SEVROLL Gemini horné vedenie 6m čierna kartá</v>
      </c>
      <c r="C2984" s="198">
        <f t="shared" si="125"/>
        <v>85.072490000000002</v>
      </c>
      <c r="D2984" s="526" t="s">
        <v>3158</v>
      </c>
      <c r="E2984" s="526" t="s">
        <v>5323</v>
      </c>
      <c r="F2984" s="526" t="s">
        <v>1190</v>
      </c>
      <c r="G2984" s="526" t="s">
        <v>5324</v>
      </c>
      <c r="H2984" s="412">
        <v>2355.5746199999999</v>
      </c>
      <c r="I2984" s="411">
        <v>85.072490000000002</v>
      </c>
      <c r="J2984" s="411">
        <v>297.64620000000002</v>
      </c>
      <c r="K2984" s="411">
        <v>32384.914529999998</v>
      </c>
      <c r="L2984" s="526" t="s">
        <v>553</v>
      </c>
    </row>
    <row r="2985" spans="1:12" ht="15" x14ac:dyDescent="0.25">
      <c r="A2985">
        <v>227067</v>
      </c>
      <c r="B2985" t="str">
        <f t="shared" si="124"/>
        <v>SEVROLL 20138-SV tĺmič dorazu Sevromatic 10/18mm 14-25kg ľavý</v>
      </c>
      <c r="C2985" s="198">
        <f t="shared" si="125"/>
        <v>12.74668</v>
      </c>
      <c r="D2985" s="526" t="s">
        <v>3159</v>
      </c>
      <c r="E2985" s="526" t="s">
        <v>4292</v>
      </c>
      <c r="F2985" s="526" t="s">
        <v>4293</v>
      </c>
      <c r="G2985" s="526" t="s">
        <v>4294</v>
      </c>
      <c r="H2985" s="412">
        <v>374.52609999999999</v>
      </c>
      <c r="I2985" s="411">
        <v>12.74668</v>
      </c>
      <c r="J2985" s="411">
        <v>44.777999999999999</v>
      </c>
      <c r="K2985" s="411">
        <v>4951.36193</v>
      </c>
      <c r="L2985" s="526" t="s">
        <v>710</v>
      </c>
    </row>
    <row r="2986" spans="1:12" ht="15" x14ac:dyDescent="0.25">
      <c r="A2986">
        <v>227068</v>
      </c>
      <c r="B2986" t="str">
        <f t="shared" si="124"/>
        <v>SEVROLL 20137-SV tĺmič dorazu Sevromatic 10/18mm 14-25kg pravý</v>
      </c>
      <c r="C2986" s="198">
        <f t="shared" si="125"/>
        <v>12.74668</v>
      </c>
      <c r="D2986" s="526" t="s">
        <v>3160</v>
      </c>
      <c r="E2986" s="526" t="s">
        <v>4295</v>
      </c>
      <c r="F2986" s="526" t="s">
        <v>4296</v>
      </c>
      <c r="G2986" s="526" t="s">
        <v>4297</v>
      </c>
      <c r="H2986" s="412">
        <v>374.52609999999999</v>
      </c>
      <c r="I2986" s="411">
        <v>12.74668</v>
      </c>
      <c r="J2986" s="411">
        <v>44.777999999999999</v>
      </c>
      <c r="K2986" s="411">
        <v>4951.36193</v>
      </c>
      <c r="L2986" s="526" t="s">
        <v>710</v>
      </c>
    </row>
    <row r="2987" spans="1:12" ht="15" x14ac:dyDescent="0.25">
      <c r="A2987">
        <v>227069</v>
      </c>
      <c r="B2987" t="str">
        <f t="shared" si="124"/>
        <v>SEVROLL 20196-SV tlmič dorazu Sevromatic 10/18mm 25-50kg ľavý</v>
      </c>
      <c r="C2987" s="198">
        <f t="shared" si="125"/>
        <v>12.74668</v>
      </c>
      <c r="D2987" s="526" t="s">
        <v>3161</v>
      </c>
      <c r="E2987" s="526" t="s">
        <v>4298</v>
      </c>
      <c r="F2987" s="526" t="s">
        <v>4299</v>
      </c>
      <c r="G2987" s="526" t="s">
        <v>4300</v>
      </c>
      <c r="H2987" s="412">
        <v>374.52609999999999</v>
      </c>
      <c r="I2987" s="411">
        <v>12.74668</v>
      </c>
      <c r="J2987" s="411">
        <v>44.777999999999999</v>
      </c>
      <c r="K2987" s="411">
        <v>4951.36193</v>
      </c>
      <c r="L2987" s="526" t="s">
        <v>710</v>
      </c>
    </row>
    <row r="2988" spans="1:12" ht="15" x14ac:dyDescent="0.25">
      <c r="A2988">
        <v>227070</v>
      </c>
      <c r="B2988" t="str">
        <f t="shared" si="124"/>
        <v>SEVROLL 20197-SV tlmič dorazu Sevromatic 10/18mm 25-50kg pravý</v>
      </c>
      <c r="C2988" s="198">
        <f t="shared" si="125"/>
        <v>12.74668</v>
      </c>
      <c r="D2988" s="526" t="s">
        <v>3162</v>
      </c>
      <c r="E2988" s="526" t="s">
        <v>4301</v>
      </c>
      <c r="F2988" s="526" t="s">
        <v>4302</v>
      </c>
      <c r="G2988" s="526" t="s">
        <v>4303</v>
      </c>
      <c r="H2988" s="412">
        <v>374.52609999999999</v>
      </c>
      <c r="I2988" s="411">
        <v>12.74668</v>
      </c>
      <c r="J2988" s="411">
        <v>44.777999999999999</v>
      </c>
      <c r="K2988" s="411">
        <v>4951.36193</v>
      </c>
      <c r="L2988" s="526" t="s">
        <v>553</v>
      </c>
    </row>
    <row r="2989" spans="1:12" ht="15" x14ac:dyDescent="0.25">
      <c r="A2989">
        <v>227185</v>
      </c>
      <c r="B2989" t="str">
        <f t="shared" si="124"/>
        <v>K-SEVROLL tlmič dorazu 10/18mm 14-25kg L+P</v>
      </c>
      <c r="C2989" s="198">
        <f t="shared" si="125"/>
        <v>0</v>
      </c>
      <c r="D2989" s="526" t="s">
        <v>3163</v>
      </c>
      <c r="E2989" s="526" t="s">
        <v>4719</v>
      </c>
      <c r="F2989" s="526" t="s">
        <v>4720</v>
      </c>
      <c r="G2989" s="526" t="s">
        <v>4721</v>
      </c>
      <c r="H2989" s="412">
        <v>0</v>
      </c>
      <c r="I2989" s="411">
        <v>0</v>
      </c>
      <c r="J2989" s="411">
        <v>0</v>
      </c>
      <c r="K2989" s="411">
        <v>0</v>
      </c>
      <c r="L2989" s="526" t="s">
        <v>553</v>
      </c>
    </row>
    <row r="2990" spans="1:12" ht="15" x14ac:dyDescent="0.25">
      <c r="A2990">
        <v>227187</v>
      </c>
      <c r="B2990" t="str">
        <f t="shared" si="124"/>
        <v>K-SEVROLL tlmič dorazu 10/18mm 25-50kg L+P</v>
      </c>
      <c r="C2990" s="198">
        <f t="shared" si="125"/>
        <v>0</v>
      </c>
      <c r="D2990" s="526" t="s">
        <v>3164</v>
      </c>
      <c r="E2990" s="526" t="s">
        <v>4722</v>
      </c>
      <c r="F2990" s="526" t="s">
        <v>4723</v>
      </c>
      <c r="G2990" s="526" t="s">
        <v>4724</v>
      </c>
      <c r="H2990" s="412">
        <v>0</v>
      </c>
      <c r="I2990" s="411">
        <v>0</v>
      </c>
      <c r="J2990" s="411">
        <v>0</v>
      </c>
      <c r="K2990" s="411">
        <v>0</v>
      </c>
      <c r="L2990" s="526" t="s">
        <v>553</v>
      </c>
    </row>
    <row r="2991" spans="1:12" ht="15" x14ac:dyDescent="0.25">
      <c r="A2991">
        <v>227193</v>
      </c>
      <c r="B2991" t="str">
        <f t="shared" si="124"/>
        <v>SEVROLL spojovacia lišta H10 Decor 3m oliva</v>
      </c>
      <c r="C2991" s="198">
        <f t="shared" si="125"/>
        <v>16.642939999999999</v>
      </c>
      <c r="D2991" s="526" t="s">
        <v>3165</v>
      </c>
      <c r="E2991" s="526" t="s">
        <v>4393</v>
      </c>
      <c r="F2991" s="526" t="s">
        <v>1126</v>
      </c>
      <c r="G2991" s="526" t="s">
        <v>4394</v>
      </c>
      <c r="H2991" s="412">
        <v>460.82670000000002</v>
      </c>
      <c r="I2991" s="411">
        <v>16.642939999999999</v>
      </c>
      <c r="J2991" s="411">
        <v>56.483800000000002</v>
      </c>
      <c r="K2991" s="411">
        <v>6335.5383000000002</v>
      </c>
      <c r="L2991" s="526" t="s">
        <v>554</v>
      </c>
    </row>
    <row r="2992" spans="1:12" ht="15" x14ac:dyDescent="0.25">
      <c r="A2992">
        <v>227196</v>
      </c>
      <c r="B2992" t="str">
        <f t="shared" si="124"/>
        <v>SEVROLL Comfort horné vedenie 6m strieborné</v>
      </c>
      <c r="C2992" s="198">
        <f t="shared" si="125"/>
        <v>105.19883</v>
      </c>
      <c r="D2992" s="526" t="s">
        <v>3166</v>
      </c>
      <c r="E2992" s="526" t="s">
        <v>5110</v>
      </c>
      <c r="F2992" s="526" t="s">
        <v>1209</v>
      </c>
      <c r="G2992" s="526" t="s">
        <v>5111</v>
      </c>
      <c r="H2992" s="412">
        <v>2912.8534199999999</v>
      </c>
      <c r="I2992" s="411">
        <v>105.19883</v>
      </c>
      <c r="J2992" s="411">
        <v>382.18380000000002</v>
      </c>
      <c r="K2992" s="411">
        <v>40046.495730000002</v>
      </c>
      <c r="L2992" s="526" t="s">
        <v>554</v>
      </c>
    </row>
    <row r="2993" spans="1:12" ht="15" x14ac:dyDescent="0.25">
      <c r="A2993">
        <v>227197</v>
      </c>
      <c r="B2993" t="str">
        <f t="shared" si="124"/>
        <v>SEVROLL Comfort horné vedenie 6m oliva</v>
      </c>
      <c r="C2993" s="198">
        <f t="shared" si="125"/>
        <v>131.44048000000001</v>
      </c>
      <c r="D2993" s="526" t="s">
        <v>3167</v>
      </c>
      <c r="E2993" s="526" t="s">
        <v>5116</v>
      </c>
      <c r="F2993" s="526" t="s">
        <v>1210</v>
      </c>
      <c r="G2993" s="526" t="s">
        <v>5117</v>
      </c>
      <c r="H2993" s="412">
        <v>3639.4592400000001</v>
      </c>
      <c r="I2993" s="411">
        <v>131.44048000000001</v>
      </c>
      <c r="J2993" s="411">
        <v>445.12200000000001</v>
      </c>
      <c r="K2993" s="411">
        <v>50036.018689999997</v>
      </c>
      <c r="L2993" s="526" t="s">
        <v>554</v>
      </c>
    </row>
    <row r="2994" spans="1:12" ht="15" x14ac:dyDescent="0.25">
      <c r="A2994">
        <v>227321</v>
      </c>
      <c r="B2994" t="str">
        <f t="shared" si="124"/>
        <v>SEVROLL Comfort horné vedenie 2,35m strieborná</v>
      </c>
      <c r="C2994" s="198">
        <f t="shared" si="125"/>
        <v>41.207389999999997</v>
      </c>
      <c r="D2994" s="526" t="s">
        <v>3168</v>
      </c>
      <c r="E2994" s="526" t="s">
        <v>4949</v>
      </c>
      <c r="F2994" s="526" t="s">
        <v>1285</v>
      </c>
      <c r="G2994" s="526" t="s">
        <v>4950</v>
      </c>
      <c r="H2994" s="412">
        <v>1140.99262</v>
      </c>
      <c r="I2994" s="411">
        <v>41.207389999999997</v>
      </c>
      <c r="J2994" s="411">
        <v>149.685</v>
      </c>
      <c r="K2994" s="411">
        <v>15686.596530000001</v>
      </c>
      <c r="L2994" s="526" t="s">
        <v>553</v>
      </c>
    </row>
    <row r="2995" spans="1:12" ht="15" x14ac:dyDescent="0.25">
      <c r="A2995">
        <v>227324</v>
      </c>
      <c r="B2995" t="str">
        <f t="shared" si="124"/>
        <v>SEVROLL Comfort horné vedenie 3m strieborné</v>
      </c>
      <c r="C2995" s="198">
        <f t="shared" si="125"/>
        <v>52.586509999999997</v>
      </c>
      <c r="D2995" s="526" t="s">
        <v>3169</v>
      </c>
      <c r="E2995" s="526" t="s">
        <v>5019</v>
      </c>
      <c r="F2995" s="526" t="s">
        <v>1284</v>
      </c>
      <c r="G2995" s="526" t="s">
        <v>5020</v>
      </c>
      <c r="H2995" s="412">
        <v>1456.0694800000001</v>
      </c>
      <c r="I2995" s="411">
        <v>52.586509999999997</v>
      </c>
      <c r="J2995" s="411">
        <v>191.09700000000001</v>
      </c>
      <c r="K2995" s="411">
        <v>20018.336370000001</v>
      </c>
      <c r="L2995" s="526" t="s">
        <v>553</v>
      </c>
    </row>
    <row r="2996" spans="1:12" ht="15" x14ac:dyDescent="0.25">
      <c r="A2996">
        <v>228009</v>
      </c>
      <c r="B2996" t="str">
        <f t="shared" si="124"/>
        <v>SEVROLL 10204 horný vozík Gemini symetrický 10mm - 2ks</v>
      </c>
      <c r="C2996" s="198">
        <f t="shared" si="125"/>
        <v>5.1322099999999997</v>
      </c>
      <c r="D2996" s="526" t="s">
        <v>3170</v>
      </c>
      <c r="E2996" s="526" t="s">
        <v>5426</v>
      </c>
      <c r="F2996" s="526" t="s">
        <v>5427</v>
      </c>
      <c r="G2996" s="526" t="s">
        <v>5428</v>
      </c>
      <c r="H2996" s="412">
        <v>150.79604</v>
      </c>
      <c r="I2996" s="411">
        <v>5.1322099999999997</v>
      </c>
      <c r="J2996" s="411">
        <v>23.174399999999999</v>
      </c>
      <c r="K2996" s="411">
        <v>1993.5746300000001</v>
      </c>
      <c r="L2996" s="526" t="s">
        <v>710</v>
      </c>
    </row>
    <row r="2997" spans="1:12" ht="15" x14ac:dyDescent="0.25">
      <c r="A2997">
        <v>228023</v>
      </c>
      <c r="B2997" t="str">
        <f t="shared" si="124"/>
        <v>SEVROLL 10196 Focus horný vozík 18mm 2ks</v>
      </c>
      <c r="C2997" s="198">
        <f t="shared" si="125"/>
        <v>3.9014199999999999</v>
      </c>
      <c r="D2997" s="526" t="s">
        <v>3171</v>
      </c>
      <c r="E2997" s="526" t="s">
        <v>5263</v>
      </c>
      <c r="F2997" s="526" t="s">
        <v>5264</v>
      </c>
      <c r="G2997" s="526" t="s">
        <v>5265</v>
      </c>
      <c r="H2997" s="412">
        <v>114.63227999999999</v>
      </c>
      <c r="I2997" s="411">
        <v>3.9014199999999999</v>
      </c>
      <c r="J2997" s="411">
        <v>13.907170000000001</v>
      </c>
      <c r="K2997" s="411">
        <v>1515.4776999999999</v>
      </c>
      <c r="L2997" s="526" t="s">
        <v>553</v>
      </c>
    </row>
    <row r="2998" spans="1:12" ht="15" x14ac:dyDescent="0.25">
      <c r="A2998">
        <v>228198</v>
      </c>
      <c r="B2998" t="str">
        <f t="shared" si="124"/>
        <v>SEVROLL profil "U" DTD 16mm 3m str</v>
      </c>
      <c r="C2998" s="198">
        <f t="shared" si="125"/>
        <v>5.9863</v>
      </c>
      <c r="D2998" s="526" t="s">
        <v>3172</v>
      </c>
      <c r="E2998" s="526" t="s">
        <v>3773</v>
      </c>
      <c r="F2998" s="526" t="s">
        <v>1133</v>
      </c>
      <c r="G2998" s="526" t="s">
        <v>3774</v>
      </c>
      <c r="H2998" s="412">
        <v>165.75471999999999</v>
      </c>
      <c r="I2998" s="411">
        <v>5.9863</v>
      </c>
      <c r="J2998" s="411">
        <v>20.7774</v>
      </c>
      <c r="K2998" s="411">
        <v>2278.8294299999998</v>
      </c>
      <c r="L2998" s="526" t="s">
        <v>554</v>
      </c>
    </row>
    <row r="2999" spans="1:12" ht="15" x14ac:dyDescent="0.25">
      <c r="A2999">
        <v>228201</v>
      </c>
      <c r="B2999" t="str">
        <f t="shared" si="124"/>
        <v>SEVROLL Beta 16 úchytová lišta 2,70m striebo</v>
      </c>
      <c r="C2999" s="198">
        <f t="shared" si="125"/>
        <v>7.79251</v>
      </c>
      <c r="D2999" s="526" t="s">
        <v>3173</v>
      </c>
      <c r="E2999" s="526" t="s">
        <v>3828</v>
      </c>
      <c r="F2999" s="526" t="s">
        <v>1214</v>
      </c>
      <c r="G2999" s="526" t="s">
        <v>3829</v>
      </c>
      <c r="H2999" s="412">
        <v>215.76692</v>
      </c>
      <c r="I2999" s="411">
        <v>7.79251</v>
      </c>
      <c r="J2999" s="411">
        <v>29.4984</v>
      </c>
      <c r="K2999" s="411">
        <v>2966.4072299999998</v>
      </c>
      <c r="L2999" s="526" t="s">
        <v>554</v>
      </c>
    </row>
    <row r="3000" spans="1:12" ht="15" x14ac:dyDescent="0.25">
      <c r="A3000">
        <v>228202</v>
      </c>
      <c r="B3000" t="str">
        <f t="shared" si="124"/>
        <v>SEVROLL Ergo 16 úchytová lišta 2,7m striebor</v>
      </c>
      <c r="C3000" s="198">
        <f t="shared" si="125"/>
        <v>7.3796600000000003</v>
      </c>
      <c r="D3000" s="526" t="s">
        <v>3174</v>
      </c>
      <c r="E3000" s="526" t="s">
        <v>3928</v>
      </c>
      <c r="F3000" s="526" t="s">
        <v>1202</v>
      </c>
      <c r="G3000" s="526" t="s">
        <v>3929</v>
      </c>
      <c r="H3000" s="412">
        <v>215.76692</v>
      </c>
      <c r="I3000" s="411">
        <v>7.3796600000000003</v>
      </c>
      <c r="J3000" s="411">
        <v>33.579320000000003</v>
      </c>
      <c r="K3000" s="411">
        <v>2809.2465099999999</v>
      </c>
      <c r="L3000" s="526" t="s">
        <v>554</v>
      </c>
    </row>
    <row r="3001" spans="1:12" ht="15" x14ac:dyDescent="0.25">
      <c r="A3001">
        <v>228213</v>
      </c>
      <c r="B3001" t="str">
        <f t="shared" ref="B3001:B3063" si="126">IF($A$2=1,D3001,IF($A$2=2,F3001,IF($A$2=3,G3001,IF($A$2=4,E3001,"zadat jazyk"))))</f>
        <v>SEVROLL Fiesta 16 úchytová lišta 2,70m strieborná</v>
      </c>
      <c r="C3001" s="198">
        <f t="shared" ref="C3001:C3063" si="127">IF($A$2=1,H3001,IF($A$2=2,I3001,IF($A$2=3,J3001,IF($A$2=4,K3001,"zadat jazyk"))))</f>
        <v>8.7900600000000004</v>
      </c>
      <c r="D3001" s="526" t="s">
        <v>3175</v>
      </c>
      <c r="E3001" s="526" t="s">
        <v>4060</v>
      </c>
      <c r="F3001" s="526" t="s">
        <v>4061</v>
      </c>
      <c r="G3001" s="526" t="s">
        <v>4062</v>
      </c>
      <c r="H3001" s="412" t="e">
        <v>#N/A</v>
      </c>
      <c r="I3001" s="411">
        <v>8.7900600000000004</v>
      </c>
      <c r="J3001" s="411">
        <v>30.724810000000002</v>
      </c>
      <c r="K3001" s="411">
        <v>0</v>
      </c>
      <c r="L3001" s="526" t="e">
        <v>#N/A</v>
      </c>
    </row>
    <row r="3002" spans="1:12" ht="15" x14ac:dyDescent="0.25">
      <c r="A3002">
        <v>228221</v>
      </c>
      <c r="B3002" t="str">
        <f t="shared" si="126"/>
        <v>SEVROLL Universal 16 úchytová lišta 2,7m str</v>
      </c>
      <c r="C3002" s="198">
        <f t="shared" si="127"/>
        <v>15.84304</v>
      </c>
      <c r="D3002" s="526" t="s">
        <v>3176</v>
      </c>
      <c r="E3002" s="526" t="s">
        <v>4419</v>
      </c>
      <c r="F3002" s="526" t="s">
        <v>1114</v>
      </c>
      <c r="G3002" s="526" t="s">
        <v>4420</v>
      </c>
      <c r="H3002" s="412">
        <v>438.67844000000002</v>
      </c>
      <c r="I3002" s="411">
        <v>15.84304</v>
      </c>
      <c r="J3002" s="411">
        <v>55.712400000000002</v>
      </c>
      <c r="K3002" s="411">
        <v>6031.0394900000001</v>
      </c>
      <c r="L3002" s="526" t="s">
        <v>554</v>
      </c>
    </row>
    <row r="3003" spans="1:12" ht="15" x14ac:dyDescent="0.25">
      <c r="A3003">
        <v>229433</v>
      </c>
      <c r="B3003" t="str">
        <f t="shared" si="126"/>
        <v>SEVROLL dorazová kefa zásuvná 4,8x4mm sivá</v>
      </c>
      <c r="C3003" s="198">
        <f t="shared" si="127"/>
        <v>0.13</v>
      </c>
      <c r="D3003" s="526" t="s">
        <v>3177</v>
      </c>
      <c r="E3003" s="526" t="s">
        <v>5160</v>
      </c>
      <c r="F3003" s="526" t="s">
        <v>5161</v>
      </c>
      <c r="G3003" s="526" t="s">
        <v>5162</v>
      </c>
      <c r="H3003" s="412">
        <v>3.45</v>
      </c>
      <c r="I3003" s="411">
        <v>0.13</v>
      </c>
      <c r="J3003" s="411">
        <v>0.35</v>
      </c>
      <c r="K3003" s="411">
        <v>19.995799999999999</v>
      </c>
      <c r="L3003" s="526" t="s">
        <v>710</v>
      </c>
    </row>
    <row r="3004" spans="1:12" ht="15" x14ac:dyDescent="0.25">
      <c r="A3004">
        <v>229436</v>
      </c>
      <c r="B3004" t="str">
        <f t="shared" si="126"/>
        <v>SEVROLL spodný vozík WD18V (2x vozík+pozic.) s pružinou</v>
      </c>
      <c r="C3004" s="198">
        <f t="shared" si="127"/>
        <v>0</v>
      </c>
      <c r="D3004" s="526" t="s">
        <v>3178</v>
      </c>
      <c r="E3004" s="526" t="s">
        <v>5600</v>
      </c>
      <c r="F3004" s="526" t="s">
        <v>5601</v>
      </c>
      <c r="G3004" s="526" t="s">
        <v>5602</v>
      </c>
      <c r="H3004" s="412">
        <v>0</v>
      </c>
      <c r="I3004" s="411">
        <v>0</v>
      </c>
      <c r="J3004" s="411">
        <v>14.272180000000001</v>
      </c>
      <c r="K3004" s="411">
        <v>0</v>
      </c>
      <c r="L3004" s="526" t="s">
        <v>555</v>
      </c>
    </row>
    <row r="3005" spans="1:12" ht="15" x14ac:dyDescent="0.25">
      <c r="A3005">
        <v>229439</v>
      </c>
      <c r="B3005" t="str">
        <f t="shared" si="126"/>
        <v>SEVROLL 10208 Maxim horný vozík 18mm - 2ks</v>
      </c>
      <c r="C3005" s="198">
        <f t="shared" si="127"/>
        <v>7.1822600000000003</v>
      </c>
      <c r="D3005" s="526" t="s">
        <v>3179</v>
      </c>
      <c r="E3005" s="526" t="s">
        <v>3986</v>
      </c>
      <c r="F3005" s="526" t="s">
        <v>3987</v>
      </c>
      <c r="G3005" s="526" t="s">
        <v>3988</v>
      </c>
      <c r="H3005" s="412">
        <v>199.57113000000001</v>
      </c>
      <c r="I3005" s="411">
        <v>7.1822600000000003</v>
      </c>
      <c r="J3005" s="411">
        <v>24.2668</v>
      </c>
      <c r="K3005" s="411">
        <v>2774.16185</v>
      </c>
      <c r="L3005" s="526" t="s">
        <v>555</v>
      </c>
    </row>
    <row r="3006" spans="1:12" ht="15" x14ac:dyDescent="0.25">
      <c r="A3006">
        <v>229440</v>
      </c>
      <c r="B3006" t="str">
        <f t="shared" si="126"/>
        <v>SEVROLL 10198 spodný vozík WD 18C HI-TEC - 2ks</v>
      </c>
      <c r="C3006" s="198">
        <f t="shared" si="127"/>
        <v>5.1863999999999999</v>
      </c>
      <c r="D3006" s="526" t="s">
        <v>3180</v>
      </c>
      <c r="E3006" s="526" t="s">
        <v>3782</v>
      </c>
      <c r="F3006" s="526" t="s">
        <v>3783</v>
      </c>
      <c r="G3006" s="526" t="s">
        <v>3784</v>
      </c>
      <c r="H3006" s="412">
        <v>152.38815</v>
      </c>
      <c r="I3006" s="411">
        <v>5.1863999999999999</v>
      </c>
      <c r="J3006" s="411">
        <v>17.546399999999998</v>
      </c>
      <c r="K3006" s="411">
        <v>2014.6230800000001</v>
      </c>
      <c r="L3006" s="526" t="s">
        <v>553</v>
      </c>
    </row>
    <row r="3007" spans="1:12" ht="15" x14ac:dyDescent="0.25">
      <c r="A3007">
        <v>229441</v>
      </c>
      <c r="B3007" t="str">
        <f t="shared" si="126"/>
        <v>SEVROLL 10200 spodný vozík WD 10C HI-TEC - 2ks</v>
      </c>
      <c r="C3007" s="198">
        <f t="shared" si="127"/>
        <v>6.5952500000000001</v>
      </c>
      <c r="D3007" s="526" t="s">
        <v>3181</v>
      </c>
      <c r="E3007" s="526" t="s">
        <v>3875</v>
      </c>
      <c r="F3007" s="526" t="s">
        <v>3876</v>
      </c>
      <c r="G3007" s="526" t="s">
        <v>3877</v>
      </c>
      <c r="H3007" s="412">
        <v>194.0864</v>
      </c>
      <c r="I3007" s="411">
        <v>6.5952500000000001</v>
      </c>
      <c r="J3007" s="411">
        <v>26.3874</v>
      </c>
      <c r="K3007" s="411">
        <v>2561.8788500000001</v>
      </c>
      <c r="L3007" s="526" t="s">
        <v>553</v>
      </c>
    </row>
    <row r="3008" spans="1:12" ht="15" x14ac:dyDescent="0.25">
      <c r="A3008">
        <v>229442</v>
      </c>
      <c r="B3008" t="str">
        <f t="shared" si="126"/>
        <v>SEVROLL 10205 Master horný vozík 10mm - 2ks</v>
      </c>
      <c r="C3008" s="198">
        <f t="shared" si="127"/>
        <v>7.5254500000000002</v>
      </c>
      <c r="D3008" s="526" t="s">
        <v>3182</v>
      </c>
      <c r="E3008" s="526" t="s">
        <v>4016</v>
      </c>
      <c r="F3008" s="526" t="s">
        <v>4017</v>
      </c>
      <c r="G3008" s="526" t="s">
        <v>4018</v>
      </c>
      <c r="H3008" s="412">
        <v>221.37979999999999</v>
      </c>
      <c r="I3008" s="411">
        <v>7.5254500000000002</v>
      </c>
      <c r="J3008" s="411">
        <v>25.3689</v>
      </c>
      <c r="K3008" s="411">
        <v>2923.2080799999999</v>
      </c>
      <c r="L3008" s="526" t="s">
        <v>553</v>
      </c>
    </row>
    <row r="3009" spans="1:12" ht="15" x14ac:dyDescent="0.25">
      <c r="A3009">
        <v>229443</v>
      </c>
      <c r="B3009" t="str">
        <f t="shared" si="126"/>
        <v>SEVROLL 10206 Maxim board horný vozík 18mm - 2ks</v>
      </c>
      <c r="C3009" s="198">
        <f t="shared" si="127"/>
        <v>7.1822600000000003</v>
      </c>
      <c r="D3009" s="526" t="s">
        <v>3183</v>
      </c>
      <c r="E3009" s="526" t="s">
        <v>3989</v>
      </c>
      <c r="F3009" s="526" t="s">
        <v>3990</v>
      </c>
      <c r="G3009" s="526" t="s">
        <v>3991</v>
      </c>
      <c r="H3009" s="412">
        <v>199.57113000000001</v>
      </c>
      <c r="I3009" s="411">
        <v>7.1822600000000003</v>
      </c>
      <c r="J3009" s="411">
        <v>24.2668</v>
      </c>
      <c r="K3009" s="411">
        <v>2774.16185</v>
      </c>
      <c r="L3009" s="526" t="s">
        <v>555</v>
      </c>
    </row>
    <row r="3010" spans="1:12" ht="15" x14ac:dyDescent="0.25">
      <c r="A3010">
        <v>229446</v>
      </c>
      <c r="B3010" t="str">
        <f t="shared" si="126"/>
        <v>SEVROLL 10223 spodný vozík Simple/Blue V (rámový systém) - 2ks</v>
      </c>
      <c r="C3010" s="198">
        <f t="shared" si="127"/>
        <v>2.70932</v>
      </c>
      <c r="D3010" s="526" t="s">
        <v>3184</v>
      </c>
      <c r="E3010" s="526" t="s">
        <v>5594</v>
      </c>
      <c r="F3010" s="526" t="s">
        <v>5595</v>
      </c>
      <c r="G3010" s="526" t="s">
        <v>5596</v>
      </c>
      <c r="H3010" s="412">
        <v>79.60575</v>
      </c>
      <c r="I3010" s="411">
        <v>2.70932</v>
      </c>
      <c r="J3010" s="411">
        <v>16.17259</v>
      </c>
      <c r="K3010" s="411">
        <v>1052.415</v>
      </c>
      <c r="L3010" s="526" t="s">
        <v>710</v>
      </c>
    </row>
    <row r="3011" spans="1:12" ht="15" x14ac:dyDescent="0.25">
      <c r="A3011">
        <v>229447</v>
      </c>
      <c r="B3011" t="str">
        <f t="shared" si="126"/>
        <v>SEVROLL 05197 spodný vozík Simple (bezrámový 18mm) - 2ks</v>
      </c>
      <c r="C3011" s="198">
        <f t="shared" si="127"/>
        <v>4.1026800000000003</v>
      </c>
      <c r="D3011" s="526" t="s">
        <v>3185</v>
      </c>
      <c r="E3011" s="526" t="s">
        <v>3656</v>
      </c>
      <c r="F3011" s="526" t="s">
        <v>3657</v>
      </c>
      <c r="G3011" s="526" t="s">
        <v>3658</v>
      </c>
      <c r="H3011" s="412">
        <v>120.54585</v>
      </c>
      <c r="I3011" s="411">
        <v>4.1026800000000003</v>
      </c>
      <c r="J3011" s="411">
        <v>13.88</v>
      </c>
      <c r="K3011" s="411">
        <v>1593.6569300000001</v>
      </c>
      <c r="L3011" s="526" t="s">
        <v>553</v>
      </c>
    </row>
    <row r="3012" spans="1:12" ht="15" x14ac:dyDescent="0.25">
      <c r="A3012">
        <v>229681</v>
      </c>
      <c r="B3012" t="str">
        <f t="shared" si="126"/>
        <v>SEVROLL 10163 Simple/Blue pozicionér pre spodný vozík</v>
      </c>
      <c r="C3012" s="198">
        <f t="shared" si="127"/>
        <v>0.36124000000000001</v>
      </c>
      <c r="D3012" s="526" t="s">
        <v>3186</v>
      </c>
      <c r="E3012" s="526" t="s">
        <v>6224</v>
      </c>
      <c r="F3012" s="526" t="s">
        <v>6225</v>
      </c>
      <c r="G3012" s="526" t="s">
        <v>6226</v>
      </c>
      <c r="H3012" s="412">
        <v>10.614100000000001</v>
      </c>
      <c r="I3012" s="411">
        <v>0.36124000000000001</v>
      </c>
      <c r="J3012" s="411">
        <v>1.2257</v>
      </c>
      <c r="K3012" s="411">
        <v>140.32193000000001</v>
      </c>
      <c r="L3012" s="526" t="s">
        <v>553</v>
      </c>
    </row>
    <row r="3013" spans="1:12" ht="15" x14ac:dyDescent="0.25">
      <c r="A3013">
        <v>230886</v>
      </c>
      <c r="B3013" t="str">
        <f t="shared" si="126"/>
        <v>SEVROLL krycia lišta Herkules Glass 2m strie</v>
      </c>
      <c r="C3013" s="198" t="e">
        <f t="shared" si="127"/>
        <v>#N/A</v>
      </c>
      <c r="D3013" s="526" t="s">
        <v>3187</v>
      </c>
      <c r="E3013" s="526" t="s">
        <v>4874</v>
      </c>
      <c r="F3013" s="526" t="s">
        <v>1168</v>
      </c>
      <c r="G3013" s="526" t="s">
        <v>4875</v>
      </c>
      <c r="H3013" s="412" t="e">
        <v>#N/A</v>
      </c>
      <c r="I3013" s="411" t="e">
        <v>#N/A</v>
      </c>
      <c r="J3013" s="411" t="e">
        <v>#N/A</v>
      </c>
      <c r="K3013" s="411" t="e">
        <v>#N/A</v>
      </c>
      <c r="L3013" s="526" t="e">
        <v>#N/A</v>
      </c>
    </row>
    <row r="3014" spans="1:12" ht="15" x14ac:dyDescent="0.25">
      <c r="A3014">
        <v>230887</v>
      </c>
      <c r="B3014" t="str">
        <f t="shared" si="126"/>
        <v>SEVROLL bočná krytka krycí profil Herkules Glas</v>
      </c>
      <c r="C3014" s="198" t="e">
        <f t="shared" si="127"/>
        <v>#N/A</v>
      </c>
      <c r="D3014" s="526" t="s">
        <v>3188</v>
      </c>
      <c r="E3014" s="526" t="s">
        <v>3735</v>
      </c>
      <c r="F3014" s="526" t="s">
        <v>3736</v>
      </c>
      <c r="G3014" s="526" t="s">
        <v>3737</v>
      </c>
      <c r="H3014" s="412" t="e">
        <v>#N/A</v>
      </c>
      <c r="I3014" s="411" t="e">
        <v>#N/A</v>
      </c>
      <c r="J3014" s="411" t="e">
        <v>#N/A</v>
      </c>
      <c r="K3014" s="411" t="e">
        <v>#N/A</v>
      </c>
      <c r="L3014" s="526" t="e">
        <v>#N/A</v>
      </c>
    </row>
    <row r="3015" spans="1:12" ht="15" x14ac:dyDescent="0.25">
      <c r="A3015">
        <v>232989</v>
      </c>
      <c r="B3015" t="str">
        <f t="shared" si="126"/>
        <v>SEVROLL Optima sada tlmičov P+L</v>
      </c>
      <c r="C3015" s="198">
        <f t="shared" si="127"/>
        <v>55.605469999999997</v>
      </c>
      <c r="D3015" s="526" t="s">
        <v>3189</v>
      </c>
      <c r="E3015" s="526" t="s">
        <v>5003</v>
      </c>
      <c r="F3015" s="526" t="s">
        <v>1144</v>
      </c>
      <c r="G3015" s="526" t="s">
        <v>5004</v>
      </c>
      <c r="H3015" s="412">
        <v>1633.8132499999999</v>
      </c>
      <c r="I3015" s="411">
        <v>55.605469999999997</v>
      </c>
      <c r="J3015" s="411">
        <v>198.7062</v>
      </c>
      <c r="K3015" s="411">
        <v>21599.564999999999</v>
      </c>
      <c r="L3015" s="526" t="s">
        <v>554</v>
      </c>
    </row>
    <row r="3016" spans="1:12" ht="15" x14ac:dyDescent="0.25">
      <c r="A3016">
        <v>233428</v>
      </c>
      <c r="B3016" t="str">
        <f t="shared" si="126"/>
        <v>Sevroll 85003 Fiona II úchytová lišta 2,7m strieborná</v>
      </c>
      <c r="C3016" s="198">
        <f t="shared" si="127"/>
        <v>12.6914</v>
      </c>
      <c r="D3016" s="526" t="s">
        <v>3190</v>
      </c>
      <c r="E3016" s="526" t="s">
        <v>4206</v>
      </c>
      <c r="F3016" s="526" t="s">
        <v>4207</v>
      </c>
      <c r="G3016" s="526" t="s">
        <v>4208</v>
      </c>
      <c r="H3016" s="412">
        <v>359.37338</v>
      </c>
      <c r="I3016" s="411">
        <v>12.6914</v>
      </c>
      <c r="J3016" s="411">
        <v>54.096670000000003</v>
      </c>
      <c r="K3016" s="411">
        <v>4881.3076899999996</v>
      </c>
      <c r="L3016" s="526" t="s">
        <v>553</v>
      </c>
    </row>
    <row r="3017" spans="1:12" ht="15" x14ac:dyDescent="0.25">
      <c r="A3017">
        <v>234399</v>
      </c>
      <c r="B3017" t="str">
        <f t="shared" si="126"/>
        <v>SEVROLL Exclusive horné vedenie 3,6m strieborná</v>
      </c>
      <c r="C3017" s="198">
        <f t="shared" si="127"/>
        <v>38.735469999999999</v>
      </c>
      <c r="D3017" s="526" t="s">
        <v>3191</v>
      </c>
      <c r="E3017" s="526" t="s">
        <v>4914</v>
      </c>
      <c r="F3017" s="526" t="s">
        <v>1197</v>
      </c>
      <c r="G3017" s="526" t="s">
        <v>4915</v>
      </c>
      <c r="H3017" s="412">
        <v>1022.39226</v>
      </c>
      <c r="I3017" s="411">
        <v>38.735469999999999</v>
      </c>
      <c r="J3017" s="411">
        <v>133.27927</v>
      </c>
      <c r="K3017" s="411">
        <v>14264.2904</v>
      </c>
      <c r="L3017" s="526" t="s">
        <v>554</v>
      </c>
    </row>
    <row r="3018" spans="1:12" ht="15" x14ac:dyDescent="0.25">
      <c r="A3018">
        <v>234757</v>
      </c>
      <c r="B3018" t="str">
        <f t="shared" si="126"/>
        <v>SEVROLL spojovacia lišta H16 3m strie</v>
      </c>
      <c r="C3018" s="198">
        <f t="shared" si="127"/>
        <v>11.89518</v>
      </c>
      <c r="D3018" s="526" t="s">
        <v>3192</v>
      </c>
      <c r="E3018" s="526" t="s">
        <v>4246</v>
      </c>
      <c r="F3018" s="526" t="s">
        <v>4247</v>
      </c>
      <c r="G3018" s="526" t="s">
        <v>4248</v>
      </c>
      <c r="H3018" s="412">
        <v>329.36606</v>
      </c>
      <c r="I3018" s="411">
        <v>11.89518</v>
      </c>
      <c r="J3018" s="411">
        <v>48.042000000000002</v>
      </c>
      <c r="K3018" s="411">
        <v>4528.1910099999996</v>
      </c>
      <c r="L3018" s="526" t="s">
        <v>554</v>
      </c>
    </row>
    <row r="3019" spans="1:12" ht="15" x14ac:dyDescent="0.25">
      <c r="A3019">
        <v>234760</v>
      </c>
      <c r="B3019" t="str">
        <f t="shared" si="126"/>
        <v>SEVROLL spojovacia lišta H16 3m oliva</v>
      </c>
      <c r="C3019" s="198">
        <f t="shared" si="127"/>
        <v>14.86899</v>
      </c>
      <c r="D3019" s="526" t="s">
        <v>3193</v>
      </c>
      <c r="E3019" s="526" t="s">
        <v>4318</v>
      </c>
      <c r="F3019" s="526" t="s">
        <v>4319</v>
      </c>
      <c r="G3019" s="526" t="s">
        <v>4320</v>
      </c>
      <c r="H3019" s="412">
        <v>412.24342000000001</v>
      </c>
      <c r="I3019" s="411">
        <v>14.86899</v>
      </c>
      <c r="J3019" s="411">
        <v>52.856400000000001</v>
      </c>
      <c r="K3019" s="411">
        <v>5660.2387699999999</v>
      </c>
      <c r="L3019" s="526" t="s">
        <v>554</v>
      </c>
    </row>
    <row r="3020" spans="1:12" ht="15" x14ac:dyDescent="0.25">
      <c r="A3020">
        <v>234761</v>
      </c>
      <c r="B3020" t="str">
        <f t="shared" si="126"/>
        <v>SEVROLL spojovacia lišta H08 16 3m strie</v>
      </c>
      <c r="C3020" s="198" t="e">
        <f t="shared" si="127"/>
        <v>#N/A</v>
      </c>
      <c r="D3020" s="526" t="s">
        <v>3194</v>
      </c>
      <c r="E3020" s="526" t="s">
        <v>3980</v>
      </c>
      <c r="F3020" s="526" t="s">
        <v>3981</v>
      </c>
      <c r="G3020" s="526" t="s">
        <v>3982</v>
      </c>
      <c r="H3020" s="412" t="e">
        <v>#N/A</v>
      </c>
      <c r="I3020" s="411" t="e">
        <v>#N/A</v>
      </c>
      <c r="J3020" s="411" t="e">
        <v>#N/A</v>
      </c>
      <c r="K3020" s="411" t="e">
        <v>#N/A</v>
      </c>
      <c r="L3020" s="526" t="e">
        <v>#N/A</v>
      </c>
    </row>
    <row r="3021" spans="1:12" ht="15" x14ac:dyDescent="0.25">
      <c r="A3021">
        <v>234762</v>
      </c>
      <c r="B3021" t="str">
        <f t="shared" si="126"/>
        <v>SEVROLL spojovacia lišta H08/16 3m oliva</v>
      </c>
      <c r="C3021" s="198">
        <f t="shared" si="127"/>
        <v>0</v>
      </c>
      <c r="D3021" s="526" t="s">
        <v>3195</v>
      </c>
      <c r="E3021" s="526" t="s">
        <v>4002</v>
      </c>
      <c r="F3021" s="526" t="s">
        <v>4003</v>
      </c>
      <c r="G3021" s="526" t="s">
        <v>4004</v>
      </c>
      <c r="H3021" s="412">
        <v>0</v>
      </c>
      <c r="I3021" s="411">
        <v>0</v>
      </c>
      <c r="J3021" s="411">
        <v>33.774619999999999</v>
      </c>
      <c r="K3021" s="411">
        <v>0</v>
      </c>
      <c r="L3021" s="526" t="s">
        <v>555</v>
      </c>
    </row>
    <row r="3022" spans="1:12" ht="15" x14ac:dyDescent="0.25">
      <c r="A3022">
        <v>238027</v>
      </c>
      <c r="B3022" t="str">
        <f t="shared" si="126"/>
        <v>SEVROLL Maxim horné vedenie 4,3m oliva</v>
      </c>
      <c r="C3022" s="198" t="e">
        <f t="shared" si="127"/>
        <v>#N/A</v>
      </c>
      <c r="D3022" s="526" t="s">
        <v>3196</v>
      </c>
      <c r="E3022" s="526" t="s">
        <v>5048</v>
      </c>
      <c r="F3022" s="526" t="s">
        <v>1156</v>
      </c>
      <c r="G3022" s="526" t="s">
        <v>5049</v>
      </c>
      <c r="H3022" s="412" t="e">
        <v>#N/A</v>
      </c>
      <c r="I3022" s="411" t="e">
        <v>#N/A</v>
      </c>
      <c r="J3022" s="411" t="e">
        <v>#N/A</v>
      </c>
      <c r="K3022" s="411" t="e">
        <v>#N/A</v>
      </c>
      <c r="L3022" s="526" t="e">
        <v>#N/A</v>
      </c>
    </row>
    <row r="3023" spans="1:12" ht="15" x14ac:dyDescent="0.25">
      <c r="A3023">
        <v>238028</v>
      </c>
      <c r="B3023" t="str">
        <f t="shared" si="126"/>
        <v>SEVROLL Maxim II spodné vedenie 4,3m oliva</v>
      </c>
      <c r="C3023" s="198" t="e">
        <f t="shared" si="127"/>
        <v>#N/A</v>
      </c>
      <c r="D3023" s="526" t="s">
        <v>3197</v>
      </c>
      <c r="E3023" s="526" t="s">
        <v>4850</v>
      </c>
      <c r="F3023" s="526" t="s">
        <v>1152</v>
      </c>
      <c r="G3023" s="526" t="s">
        <v>4851</v>
      </c>
      <c r="H3023" s="412" t="e">
        <v>#N/A</v>
      </c>
      <c r="I3023" s="411" t="e">
        <v>#N/A</v>
      </c>
      <c r="J3023" s="411" t="e">
        <v>#N/A</v>
      </c>
      <c r="K3023" s="411" t="e">
        <v>#N/A</v>
      </c>
      <c r="L3023" s="526" t="e">
        <v>#N/A</v>
      </c>
    </row>
    <row r="3024" spans="1:12" ht="15" x14ac:dyDescent="0.25">
      <c r="A3024">
        <v>238029</v>
      </c>
      <c r="B3024" t="str">
        <f t="shared" si="126"/>
        <v>SEVROLL Maxim II maska 4,3m oliva</v>
      </c>
      <c r="C3024" s="198" t="e">
        <f t="shared" si="127"/>
        <v>#N/A</v>
      </c>
      <c r="D3024" s="526" t="s">
        <v>3198</v>
      </c>
      <c r="E3024" s="526" t="s">
        <v>4343</v>
      </c>
      <c r="F3024" s="526" t="s">
        <v>1155</v>
      </c>
      <c r="G3024" s="526" t="s">
        <v>4344</v>
      </c>
      <c r="H3024" s="412" t="e">
        <v>#N/A</v>
      </c>
      <c r="I3024" s="411" t="e">
        <v>#N/A</v>
      </c>
      <c r="J3024" s="411" t="e">
        <v>#N/A</v>
      </c>
      <c r="K3024" s="411" t="e">
        <v>#N/A</v>
      </c>
      <c r="L3024" s="526" t="e">
        <v>#N/A</v>
      </c>
    </row>
    <row r="3025" spans="1:12" ht="15" x14ac:dyDescent="0.25">
      <c r="A3025">
        <v>238030</v>
      </c>
      <c r="B3025" t="str">
        <f t="shared" si="126"/>
        <v>SEVROLL Prosper II úch lišta 2 7m oliva</v>
      </c>
      <c r="C3025" s="198" t="e">
        <f t="shared" si="127"/>
        <v>#N/A</v>
      </c>
      <c r="D3025" s="526" t="s">
        <v>3199</v>
      </c>
      <c r="E3025" s="526" t="s">
        <v>4748</v>
      </c>
      <c r="F3025" s="526" t="s">
        <v>1131</v>
      </c>
      <c r="G3025" s="526" t="s">
        <v>4749</v>
      </c>
      <c r="H3025" s="412" t="e">
        <v>#N/A</v>
      </c>
      <c r="I3025" s="411" t="e">
        <v>#N/A</v>
      </c>
      <c r="J3025" s="411" t="e">
        <v>#N/A</v>
      </c>
      <c r="K3025" s="411" t="e">
        <v>#N/A</v>
      </c>
      <c r="L3025" s="526" t="e">
        <v>#N/A</v>
      </c>
    </row>
    <row r="3026" spans="1:12" ht="15" x14ac:dyDescent="0.25">
      <c r="A3026">
        <v>238031</v>
      </c>
      <c r="B3026" t="str">
        <f t="shared" si="126"/>
        <v>SEVROLL Maxim vodiaca lišta 4,3m oliva</v>
      </c>
      <c r="C3026" s="198" t="e">
        <f t="shared" si="127"/>
        <v>#N/A</v>
      </c>
      <c r="D3026" s="526" t="s">
        <v>3200</v>
      </c>
      <c r="E3026" s="526" t="s">
        <v>4954</v>
      </c>
      <c r="F3026" s="526" t="s">
        <v>4955</v>
      </c>
      <c r="G3026" s="526" t="s">
        <v>4956</v>
      </c>
      <c r="H3026" s="412" t="e">
        <v>#N/A</v>
      </c>
      <c r="I3026" s="411" t="e">
        <v>#N/A</v>
      </c>
      <c r="J3026" s="411" t="e">
        <v>#N/A</v>
      </c>
      <c r="K3026" s="411" t="e">
        <v>#N/A</v>
      </c>
      <c r="L3026" s="526" t="e">
        <v>#N/A</v>
      </c>
    </row>
    <row r="3027" spans="1:12" ht="15" x14ac:dyDescent="0.25">
      <c r="A3027">
        <v>238032</v>
      </c>
      <c r="B3027" t="str">
        <f t="shared" si="126"/>
        <v>SEVROLL Maxim spodná krycia lišta 4,3m 18mm oliva</v>
      </c>
      <c r="C3027" s="198" t="e">
        <f t="shared" si="127"/>
        <v>#N/A</v>
      </c>
      <c r="D3027" s="526" t="s">
        <v>3201</v>
      </c>
      <c r="E3027" s="526" t="s">
        <v>5054</v>
      </c>
      <c r="F3027" s="526" t="s">
        <v>5055</v>
      </c>
      <c r="G3027" s="526" t="s">
        <v>5056</v>
      </c>
      <c r="H3027" s="412" t="e">
        <v>#N/A</v>
      </c>
      <c r="I3027" s="411" t="e">
        <v>#N/A</v>
      </c>
      <c r="J3027" s="411" t="e">
        <v>#N/A</v>
      </c>
      <c r="K3027" s="411" t="e">
        <v>#N/A</v>
      </c>
      <c r="L3027" s="526" t="e">
        <v>#N/A</v>
      </c>
    </row>
    <row r="3028" spans="1:12" ht="15" x14ac:dyDescent="0.25">
      <c r="A3028">
        <v>238033</v>
      </c>
      <c r="B3028" t="str">
        <f t="shared" si="126"/>
        <v>SEVROLL Maxim spojovacia lišta H18 1,8m oliv</v>
      </c>
      <c r="C3028" s="198" t="e">
        <f t="shared" si="127"/>
        <v>#N/A</v>
      </c>
      <c r="D3028" s="526" t="s">
        <v>3202</v>
      </c>
      <c r="E3028" s="526" t="s">
        <v>3995</v>
      </c>
      <c r="F3028" s="526" t="s">
        <v>1151</v>
      </c>
      <c r="G3028" s="526" t="s">
        <v>3996</v>
      </c>
      <c r="H3028" s="412" t="e">
        <v>#N/A</v>
      </c>
      <c r="I3028" s="411" t="e">
        <v>#N/A</v>
      </c>
      <c r="J3028" s="411" t="e">
        <v>#N/A</v>
      </c>
      <c r="K3028" s="411" t="e">
        <v>#N/A</v>
      </c>
      <c r="L3028" s="526" t="e">
        <v>#N/A</v>
      </c>
    </row>
    <row r="3029" spans="1:12" ht="15" x14ac:dyDescent="0.25">
      <c r="A3029">
        <v>238034</v>
      </c>
      <c r="B3029" t="str">
        <f t="shared" si="126"/>
        <v>SEVROLL Maxim spojovacia lišta H18 2,5m oliv</v>
      </c>
      <c r="C3029" s="198" t="e">
        <f t="shared" si="127"/>
        <v>#N/A</v>
      </c>
      <c r="D3029" s="526" t="s">
        <v>3203</v>
      </c>
      <c r="E3029" s="526" t="s">
        <v>4239</v>
      </c>
      <c r="F3029" s="526" t="s">
        <v>1150</v>
      </c>
      <c r="G3029" s="526" t="s">
        <v>4240</v>
      </c>
      <c r="H3029" s="412" t="e">
        <v>#N/A</v>
      </c>
      <c r="I3029" s="411" t="e">
        <v>#N/A</v>
      </c>
      <c r="J3029" s="411" t="e">
        <v>#N/A</v>
      </c>
      <c r="K3029" s="411" t="e">
        <v>#N/A</v>
      </c>
      <c r="L3029" s="526" t="e">
        <v>#N/A</v>
      </c>
    </row>
    <row r="3030" spans="1:12" ht="15" x14ac:dyDescent="0.25">
      <c r="A3030">
        <v>238036</v>
      </c>
      <c r="B3030" t="str">
        <f t="shared" si="126"/>
        <v>SEVROLL Maxim spojovacia lišta H25 1,8m oliv</v>
      </c>
      <c r="C3030" s="198" t="e">
        <f t="shared" si="127"/>
        <v>#N/A</v>
      </c>
      <c r="D3030" s="526" t="s">
        <v>3204</v>
      </c>
      <c r="E3030" s="526" t="s">
        <v>4401</v>
      </c>
      <c r="F3030" s="526" t="s">
        <v>1149</v>
      </c>
      <c r="G3030" s="526" t="s">
        <v>4402</v>
      </c>
      <c r="H3030" s="412" t="e">
        <v>#N/A</v>
      </c>
      <c r="I3030" s="411" t="e">
        <v>#N/A</v>
      </c>
      <c r="J3030" s="411" t="e">
        <v>#N/A</v>
      </c>
      <c r="K3030" s="411" t="e">
        <v>#N/A</v>
      </c>
      <c r="L3030" s="526" t="e">
        <v>#N/A</v>
      </c>
    </row>
    <row r="3031" spans="1:12" ht="15" x14ac:dyDescent="0.25">
      <c r="A3031">
        <v>238038</v>
      </c>
      <c r="B3031" t="str">
        <f t="shared" si="126"/>
        <v>SEVROLL Maxim spojovacia lišta H25 2,5m oliv</v>
      </c>
      <c r="C3031" s="198" t="e">
        <f t="shared" si="127"/>
        <v>#N/A</v>
      </c>
      <c r="D3031" s="526" t="s">
        <v>3205</v>
      </c>
      <c r="E3031" s="526" t="s">
        <v>4604</v>
      </c>
      <c r="F3031" s="526" t="s">
        <v>1148</v>
      </c>
      <c r="G3031" s="526" t="s">
        <v>4605</v>
      </c>
      <c r="H3031" s="412" t="e">
        <v>#N/A</v>
      </c>
      <c r="I3031" s="411" t="e">
        <v>#N/A</v>
      </c>
      <c r="J3031" s="411" t="e">
        <v>#N/A</v>
      </c>
      <c r="K3031" s="411" t="e">
        <v>#N/A</v>
      </c>
      <c r="L3031" s="526" t="e">
        <v>#N/A</v>
      </c>
    </row>
    <row r="3032" spans="1:12" ht="15" x14ac:dyDescent="0.25">
      <c r="A3032">
        <v>245317</v>
      </c>
      <c r="B3032" t="str">
        <f t="shared" si="126"/>
        <v>SEVROLL vzorkovník profilov Simple (krabička</v>
      </c>
      <c r="C3032" s="198">
        <f t="shared" si="127"/>
        <v>0</v>
      </c>
      <c r="D3032" s="526" t="s">
        <v>3206</v>
      </c>
      <c r="E3032" s="526" t="s">
        <v>5734</v>
      </c>
      <c r="F3032" s="526" t="s">
        <v>1093</v>
      </c>
      <c r="G3032" s="526" t="s">
        <v>5735</v>
      </c>
      <c r="H3032" s="412">
        <v>0</v>
      </c>
      <c r="I3032" s="411">
        <v>0</v>
      </c>
      <c r="J3032" s="411">
        <v>0</v>
      </c>
      <c r="K3032" s="411">
        <v>0</v>
      </c>
      <c r="L3032" s="526" t="s">
        <v>555</v>
      </c>
    </row>
    <row r="3033" spans="1:12" ht="15" x14ac:dyDescent="0.25">
      <c r="A3033">
        <v>245666</v>
      </c>
      <c r="B3033" t="str">
        <f t="shared" si="126"/>
        <v>SEVROLL spojovacia lišta Simple/Blue H25 3m</v>
      </c>
      <c r="C3033" s="198" t="e">
        <f t="shared" si="127"/>
        <v>#N/A</v>
      </c>
      <c r="D3033" s="526" t="s">
        <v>1345</v>
      </c>
      <c r="E3033" s="526" t="s">
        <v>1797</v>
      </c>
      <c r="F3033" s="526" t="s">
        <v>2178</v>
      </c>
      <c r="G3033" s="526" t="s">
        <v>5809</v>
      </c>
      <c r="H3033" s="412" t="e">
        <v>#N/A</v>
      </c>
      <c r="I3033" s="411" t="e">
        <v>#N/A</v>
      </c>
      <c r="J3033" s="411" t="e">
        <v>#N/A</v>
      </c>
      <c r="K3033" s="411" t="e">
        <v>#N/A</v>
      </c>
      <c r="L3033" s="526" t="e">
        <v>#N/A</v>
      </c>
    </row>
    <row r="3034" spans="1:12" ht="15" x14ac:dyDescent="0.25">
      <c r="A3034">
        <v>245667</v>
      </c>
      <c r="B3034" t="str">
        <f t="shared" si="126"/>
        <v>SEVROLL spojovacia lišta Simple/Blue H25 3m</v>
      </c>
      <c r="C3034" s="198">
        <f t="shared" si="127"/>
        <v>0</v>
      </c>
      <c r="D3034" s="526" t="s">
        <v>1346</v>
      </c>
      <c r="E3034" s="526" t="s">
        <v>1797</v>
      </c>
      <c r="F3034" s="526" t="s">
        <v>2178</v>
      </c>
      <c r="G3034" s="526" t="s">
        <v>5810</v>
      </c>
      <c r="H3034" s="412">
        <v>0</v>
      </c>
      <c r="I3034" s="411">
        <v>0</v>
      </c>
      <c r="J3034" s="411">
        <v>44.507080000000002</v>
      </c>
      <c r="K3034" s="411">
        <v>0</v>
      </c>
      <c r="L3034" s="526" t="s">
        <v>554</v>
      </c>
    </row>
    <row r="3035" spans="1:12" ht="15" x14ac:dyDescent="0.25">
      <c r="A3035">
        <v>245792</v>
      </c>
      <c r="B3035" t="str">
        <f t="shared" si="126"/>
        <v>SEVROLL dorazový kartáč zásuvný 14x4mm, 50m</v>
      </c>
      <c r="C3035" s="198">
        <f t="shared" si="127"/>
        <v>15.28055</v>
      </c>
      <c r="D3035" s="526" t="s">
        <v>3207</v>
      </c>
      <c r="E3035" s="526" t="s">
        <v>5157</v>
      </c>
      <c r="F3035" s="526" t="s">
        <v>5158</v>
      </c>
      <c r="G3035" s="526" t="s">
        <v>5159</v>
      </c>
      <c r="H3035" s="412">
        <v>448.82479999999998</v>
      </c>
      <c r="I3035" s="411">
        <v>15.28055</v>
      </c>
      <c r="J3035" s="411">
        <v>68.401200000000003</v>
      </c>
      <c r="K3035" s="411">
        <v>5935.6207800000002</v>
      </c>
      <c r="L3035" s="526" t="s">
        <v>554</v>
      </c>
    </row>
    <row r="3036" spans="1:12" ht="15" x14ac:dyDescent="0.25">
      <c r="A3036">
        <v>245814</v>
      </c>
      <c r="B3036" t="str">
        <f t="shared" si="126"/>
        <v>SEVROLL Focus II 16mm úch.lišta 2,7m strieborná</v>
      </c>
      <c r="C3036" s="198">
        <f t="shared" si="127"/>
        <v>8.2311599999999991</v>
      </c>
      <c r="D3036" s="526" t="s">
        <v>3208</v>
      </c>
      <c r="E3036" s="526" t="s">
        <v>3830</v>
      </c>
      <c r="F3036" s="526" t="s">
        <v>1084</v>
      </c>
      <c r="G3036" s="526" t="s">
        <v>3831</v>
      </c>
      <c r="H3036" s="412">
        <v>227.91274000000001</v>
      </c>
      <c r="I3036" s="411">
        <v>8.2311599999999991</v>
      </c>
      <c r="J3036" s="411">
        <v>28.1919</v>
      </c>
      <c r="K3036" s="411">
        <v>3133.3901900000001</v>
      </c>
      <c r="L3036" s="526" t="s">
        <v>554</v>
      </c>
    </row>
    <row r="3037" spans="1:12" ht="15" x14ac:dyDescent="0.25">
      <c r="A3037">
        <v>245815</v>
      </c>
      <c r="B3037" t="str">
        <f t="shared" si="126"/>
        <v>SEVROLL 04572 Focus II 18mm úchytová lišta 2,7m strieborná</v>
      </c>
      <c r="C3037" s="198">
        <f t="shared" si="127"/>
        <v>8.2311599999999991</v>
      </c>
      <c r="D3037" s="526" t="s">
        <v>3209</v>
      </c>
      <c r="E3037" s="526" t="s">
        <v>3853</v>
      </c>
      <c r="F3037" s="526" t="s">
        <v>3854</v>
      </c>
      <c r="G3037" s="526" t="s">
        <v>3855</v>
      </c>
      <c r="H3037" s="412">
        <v>227.91274000000001</v>
      </c>
      <c r="I3037" s="411">
        <v>8.2311599999999991</v>
      </c>
      <c r="J3037" s="411">
        <v>28.1919</v>
      </c>
      <c r="K3037" s="411">
        <v>3133.3901900000001</v>
      </c>
      <c r="L3037" s="526" t="s">
        <v>553</v>
      </c>
    </row>
    <row r="3038" spans="1:12" ht="15" x14ac:dyDescent="0.25">
      <c r="A3038">
        <v>245816</v>
      </c>
      <c r="B3038" t="str">
        <f t="shared" si="126"/>
        <v>SEVROLL 04571 Focus II 18mm úchytová lišta 2,7m oliva</v>
      </c>
      <c r="C3038" s="198">
        <f t="shared" si="127"/>
        <v>10.527620000000001</v>
      </c>
      <c r="D3038" s="526" t="s">
        <v>3210</v>
      </c>
      <c r="E3038" s="526" t="s">
        <v>3956</v>
      </c>
      <c r="F3038" s="526" t="s">
        <v>3210</v>
      </c>
      <c r="G3038" s="526" t="s">
        <v>3957</v>
      </c>
      <c r="H3038" s="412">
        <v>291.49968000000001</v>
      </c>
      <c r="I3038" s="411">
        <v>10.527620000000001</v>
      </c>
      <c r="J3038" s="411">
        <v>35.869160000000001</v>
      </c>
      <c r="K3038" s="411">
        <v>4007.5961699999998</v>
      </c>
      <c r="L3038" s="526" t="s">
        <v>553</v>
      </c>
    </row>
    <row r="3039" spans="1:12" ht="15" x14ac:dyDescent="0.25">
      <c r="A3039">
        <v>246893</v>
      </c>
      <c r="B3039" t="str">
        <f t="shared" si="126"/>
        <v>SEVROLL Oaza II úch.lišta 2,7m strieborná</v>
      </c>
      <c r="C3039" s="198">
        <f t="shared" si="127"/>
        <v>14.29486</v>
      </c>
      <c r="D3039" s="526" t="s">
        <v>3211</v>
      </c>
      <c r="E3039" s="526" t="s">
        <v>4412</v>
      </c>
      <c r="F3039" s="526" t="s">
        <v>1246</v>
      </c>
      <c r="G3039" s="526" t="s">
        <v>4413</v>
      </c>
      <c r="H3039" s="412">
        <v>416.53017999999997</v>
      </c>
      <c r="I3039" s="411">
        <v>14.29486</v>
      </c>
      <c r="J3039" s="411">
        <v>64.823660000000004</v>
      </c>
      <c r="K3039" s="411">
        <v>5441.6870900000004</v>
      </c>
      <c r="L3039" s="526" t="s">
        <v>553</v>
      </c>
    </row>
    <row r="3040" spans="1:12" ht="15" x14ac:dyDescent="0.25">
      <c r="A3040">
        <v>246894</v>
      </c>
      <c r="B3040" t="str">
        <f t="shared" si="126"/>
        <v>SEVROLL Oaza II úch. Lišta 2,7m oliva</v>
      </c>
      <c r="C3040" s="198">
        <f t="shared" si="127"/>
        <v>16.72034</v>
      </c>
      <c r="D3040" s="526" t="s">
        <v>3212</v>
      </c>
      <c r="E3040" s="526" t="s">
        <v>4461</v>
      </c>
      <c r="F3040" s="526" t="s">
        <v>1247</v>
      </c>
      <c r="G3040" s="526" t="s">
        <v>4462</v>
      </c>
      <c r="H3040" s="412">
        <v>462.97008</v>
      </c>
      <c r="I3040" s="411">
        <v>16.72034</v>
      </c>
      <c r="J3040" s="411">
        <v>72.050979999999996</v>
      </c>
      <c r="K3040" s="411">
        <v>6365.0057699999998</v>
      </c>
      <c r="L3040" s="526" t="s">
        <v>553</v>
      </c>
    </row>
    <row r="3041" spans="1:12" ht="15" x14ac:dyDescent="0.25">
      <c r="A3041">
        <v>246895</v>
      </c>
      <c r="B3041" t="str">
        <f t="shared" si="126"/>
        <v>SEVROLL Oaza II úchytová lišta 2,7m zlatá</v>
      </c>
      <c r="C3041" s="198">
        <f t="shared" si="127"/>
        <v>12.11327</v>
      </c>
      <c r="D3041" s="526" t="s">
        <v>3213</v>
      </c>
      <c r="E3041" s="526" t="s">
        <v>4414</v>
      </c>
      <c r="F3041" s="526" t="s">
        <v>1147</v>
      </c>
      <c r="G3041" s="526" t="s">
        <v>4415</v>
      </c>
      <c r="H3041" s="412" t="e">
        <v>#N/A</v>
      </c>
      <c r="I3041" s="411">
        <v>12.11327</v>
      </c>
      <c r="J3041" s="411">
        <v>0</v>
      </c>
      <c r="K3041" s="411">
        <v>0</v>
      </c>
      <c r="L3041" s="526" t="e">
        <v>#N/A</v>
      </c>
    </row>
    <row r="3042" spans="1:12" ht="15" x14ac:dyDescent="0.25">
      <c r="A3042">
        <v>251132</v>
      </c>
      <c r="B3042" t="str">
        <f t="shared" si="126"/>
        <v>SEVROLL Hide N spodné vedenie 6m strieborná</v>
      </c>
      <c r="C3042" s="198">
        <f t="shared" si="127"/>
        <v>25.235330000000001</v>
      </c>
      <c r="D3042" s="526" t="s">
        <v>3214</v>
      </c>
      <c r="E3042" s="526" t="s">
        <v>1958</v>
      </c>
      <c r="F3042" s="526" t="s">
        <v>4710</v>
      </c>
      <c r="G3042" s="526" t="s">
        <v>2478</v>
      </c>
      <c r="H3042" s="412">
        <v>666.06690000000003</v>
      </c>
      <c r="I3042" s="411">
        <v>25.235330000000001</v>
      </c>
      <c r="J3042" s="411">
        <v>86.828620000000001</v>
      </c>
      <c r="K3042" s="411">
        <v>9292.8807699999998</v>
      </c>
      <c r="L3042" s="526" t="s">
        <v>554</v>
      </c>
    </row>
    <row r="3043" spans="1:12" ht="15" x14ac:dyDescent="0.25">
      <c r="A3043">
        <v>252423</v>
      </c>
      <c r="B3043" t="str">
        <f t="shared" si="126"/>
        <v>SEVROLL Hide N spodné vedenie 1,7m strieborná</v>
      </c>
      <c r="C3043" s="198">
        <f t="shared" si="127"/>
        <v>7.1500199999999996</v>
      </c>
      <c r="D3043" s="526" t="s">
        <v>3215</v>
      </c>
      <c r="E3043" s="526" t="s">
        <v>3863</v>
      </c>
      <c r="F3043" s="526" t="s">
        <v>3864</v>
      </c>
      <c r="G3043" s="526" t="s">
        <v>3865</v>
      </c>
      <c r="H3043" s="412">
        <v>188.65084999999999</v>
      </c>
      <c r="I3043" s="411">
        <v>7.1500199999999996</v>
      </c>
      <c r="J3043" s="411">
        <v>24.60145</v>
      </c>
      <c r="K3043" s="411">
        <v>2632.9846299999999</v>
      </c>
      <c r="L3043" s="526" t="s">
        <v>554</v>
      </c>
    </row>
    <row r="3044" spans="1:12" ht="15" x14ac:dyDescent="0.25">
      <c r="A3044">
        <v>252424</v>
      </c>
      <c r="B3044" t="str">
        <f t="shared" si="126"/>
        <v>SEVROLL bočná krytka profilu Single+pozic.</v>
      </c>
      <c r="C3044" s="198">
        <f t="shared" si="127"/>
        <v>26.78351</v>
      </c>
      <c r="D3044" s="526" t="s">
        <v>3216</v>
      </c>
      <c r="E3044" s="526" t="s">
        <v>6152</v>
      </c>
      <c r="F3044" s="526" t="s">
        <v>6153</v>
      </c>
      <c r="G3044" s="526" t="s">
        <v>6154</v>
      </c>
      <c r="H3044" s="412">
        <v>706.92989999999998</v>
      </c>
      <c r="I3044" s="411">
        <v>26.78351</v>
      </c>
      <c r="J3044" s="411">
        <v>92.155529999999999</v>
      </c>
      <c r="K3044" s="411">
        <v>9862.9961600000006</v>
      </c>
      <c r="L3044" s="526" t="s">
        <v>554</v>
      </c>
    </row>
    <row r="3045" spans="1:12" ht="15" x14ac:dyDescent="0.25">
      <c r="A3045">
        <v>252425</v>
      </c>
      <c r="B3045" t="str">
        <f t="shared" si="126"/>
        <v>SEVROLL stenová príchytka profilu Single</v>
      </c>
      <c r="C3045" s="198">
        <f t="shared" si="127"/>
        <v>7.6118899999999998</v>
      </c>
      <c r="D3045" s="526" t="s">
        <v>3217</v>
      </c>
      <c r="E3045" s="526" t="s">
        <v>3939</v>
      </c>
      <c r="F3045" s="526" t="s">
        <v>1122</v>
      </c>
      <c r="G3045" s="526" t="s">
        <v>3940</v>
      </c>
      <c r="H3045" s="412">
        <v>200.90975</v>
      </c>
      <c r="I3045" s="411">
        <v>7.6118899999999998</v>
      </c>
      <c r="J3045" s="411">
        <v>26.190639999999998</v>
      </c>
      <c r="K3045" s="411">
        <v>2803.0673000000002</v>
      </c>
      <c r="L3045" s="526" t="s">
        <v>554</v>
      </c>
    </row>
    <row r="3046" spans="1:12" ht="15" x14ac:dyDescent="0.25">
      <c r="A3046">
        <v>252566</v>
      </c>
      <c r="B3046" t="str">
        <f t="shared" si="126"/>
        <v>SEVROLL 04016 Gemini horné vedenie 3m biela lesk</v>
      </c>
      <c r="C3046" s="198">
        <f t="shared" si="127"/>
        <v>32.20214</v>
      </c>
      <c r="D3046" s="526" t="s">
        <v>3218</v>
      </c>
      <c r="E3046" s="526" t="s">
        <v>5298</v>
      </c>
      <c r="F3046" s="526" t="s">
        <v>5299</v>
      </c>
      <c r="G3046" s="526" t="s">
        <v>5300</v>
      </c>
      <c r="H3046" s="412">
        <v>891.64607999999998</v>
      </c>
      <c r="I3046" s="411">
        <v>32.20214</v>
      </c>
      <c r="J3046" s="411">
        <v>131.79419999999999</v>
      </c>
      <c r="K3046" s="411">
        <v>12258.529769999999</v>
      </c>
      <c r="L3046" s="526" t="s">
        <v>553</v>
      </c>
    </row>
    <row r="3047" spans="1:12" ht="15" x14ac:dyDescent="0.25">
      <c r="A3047">
        <v>252567</v>
      </c>
      <c r="B3047" t="str">
        <f t="shared" si="126"/>
        <v>SEVROLL 04051 spojovacia lišta H18 3m biela lesk</v>
      </c>
      <c r="C3047" s="198">
        <f t="shared" si="127"/>
        <v>15.456</v>
      </c>
      <c r="D3047" s="526" t="s">
        <v>3219</v>
      </c>
      <c r="E3047" s="526" t="s">
        <v>5607</v>
      </c>
      <c r="F3047" s="526" t="s">
        <v>5608</v>
      </c>
      <c r="G3047" s="526" t="s">
        <v>5609</v>
      </c>
      <c r="H3047" s="412">
        <v>427.96154000000001</v>
      </c>
      <c r="I3047" s="411">
        <v>15.456</v>
      </c>
      <c r="J3047" s="411">
        <v>62.464799999999997</v>
      </c>
      <c r="K3047" s="411">
        <v>5883.7013900000002</v>
      </c>
      <c r="L3047" s="526" t="s">
        <v>553</v>
      </c>
    </row>
    <row r="3048" spans="1:12" ht="15" x14ac:dyDescent="0.25">
      <c r="A3048">
        <v>252568</v>
      </c>
      <c r="B3048" t="str">
        <f t="shared" si="126"/>
        <v>SEVROLL 04292 Elegant II spodné vedenie  3m biela lesk</v>
      </c>
      <c r="C3048" s="198">
        <f t="shared" si="127"/>
        <v>18.777889999999999</v>
      </c>
      <c r="D3048" s="526" t="s">
        <v>3220</v>
      </c>
      <c r="E3048" s="526" t="s">
        <v>5209</v>
      </c>
      <c r="F3048" s="526" t="s">
        <v>5210</v>
      </c>
      <c r="G3048" s="526" t="s">
        <v>5211</v>
      </c>
      <c r="H3048" s="412">
        <v>520.12688000000003</v>
      </c>
      <c r="I3048" s="411">
        <v>18.777889999999999</v>
      </c>
      <c r="J3048" s="411">
        <v>71.808000000000007</v>
      </c>
      <c r="K3048" s="411">
        <v>7148.2553099999996</v>
      </c>
      <c r="L3048" s="526" t="s">
        <v>553</v>
      </c>
    </row>
    <row r="3049" spans="1:12" ht="15" x14ac:dyDescent="0.25">
      <c r="A3049">
        <v>252569</v>
      </c>
      <c r="B3049" t="str">
        <f t="shared" si="126"/>
        <v>SEVROLL 04554 Faworyt II úchytová lišta 2,7m biela lesk</v>
      </c>
      <c r="C3049" s="198">
        <f t="shared" si="127"/>
        <v>16.22184</v>
      </c>
      <c r="D3049" s="526" t="s">
        <v>3221</v>
      </c>
      <c r="E3049" s="526" t="s">
        <v>4485</v>
      </c>
      <c r="F3049" s="526" t="s">
        <v>4486</v>
      </c>
      <c r="G3049" s="526" t="s">
        <v>4487</v>
      </c>
      <c r="H3049" s="412">
        <v>449.39533999999998</v>
      </c>
      <c r="I3049" s="411">
        <v>16.22184</v>
      </c>
      <c r="J3049" s="411">
        <v>60.088200000000001</v>
      </c>
      <c r="K3049" s="411">
        <v>6175.2344300000004</v>
      </c>
      <c r="L3049" s="526" t="s">
        <v>553</v>
      </c>
    </row>
    <row r="3050" spans="1:12" ht="15" x14ac:dyDescent="0.25">
      <c r="A3050">
        <v>252641</v>
      </c>
      <c r="B3050" t="str">
        <f t="shared" si="126"/>
        <v>SEVROLL unášač k tlmiču 11027</v>
      </c>
      <c r="C3050" s="198">
        <f t="shared" si="127"/>
        <v>0.25484000000000001</v>
      </c>
      <c r="D3050" s="526" t="s">
        <v>1094</v>
      </c>
      <c r="E3050" s="526" t="s">
        <v>6227</v>
      </c>
      <c r="F3050" s="526" t="s">
        <v>1095</v>
      </c>
      <c r="G3050" s="526" t="s">
        <v>6228</v>
      </c>
      <c r="H3050" s="412" t="e">
        <v>#N/A</v>
      </c>
      <c r="I3050" s="411">
        <v>0.25484000000000001</v>
      </c>
      <c r="J3050" s="411">
        <v>0.99158000000000002</v>
      </c>
      <c r="K3050" s="411">
        <v>99.791560000000004</v>
      </c>
      <c r="L3050" s="526" t="e">
        <v>#N/A</v>
      </c>
    </row>
    <row r="3051" spans="1:12" ht="15" x14ac:dyDescent="0.25">
      <c r="A3051">
        <v>252987</v>
      </c>
      <c r="B3051" t="str">
        <f t="shared" si="126"/>
        <v>SEVROLL 20238 Simple/Blue montážny prípravok pre lamino 10/18mm</v>
      </c>
      <c r="C3051" s="198">
        <f t="shared" si="127"/>
        <v>5.9477399999999996</v>
      </c>
      <c r="D3051" s="526" t="s">
        <v>3222</v>
      </c>
      <c r="E3051" s="526" t="s">
        <v>5754</v>
      </c>
      <c r="F3051" s="526" t="s">
        <v>5755</v>
      </c>
      <c r="G3051" s="526" t="s">
        <v>5756</v>
      </c>
      <c r="H3051" s="412">
        <v>149.2304</v>
      </c>
      <c r="I3051" s="411">
        <v>5.9477399999999996</v>
      </c>
      <c r="J3051" s="411">
        <v>26.004300000000001</v>
      </c>
      <c r="K3051" s="411">
        <v>2425.4100100000001</v>
      </c>
      <c r="L3051" s="526" t="s">
        <v>553</v>
      </c>
    </row>
    <row r="3052" spans="1:12" ht="15" x14ac:dyDescent="0.25">
      <c r="A3052">
        <v>256425</v>
      </c>
      <c r="B3052" t="str">
        <f t="shared" si="126"/>
        <v>SEVROLL 20183 montážny prípravok pre systém Maxim malý</v>
      </c>
      <c r="C3052" s="198">
        <f t="shared" si="127"/>
        <v>5.2530299999999999</v>
      </c>
      <c r="D3052" s="526" t="s">
        <v>3223</v>
      </c>
      <c r="E3052" s="526" t="s">
        <v>5757</v>
      </c>
      <c r="F3052" s="526" t="s">
        <v>5758</v>
      </c>
      <c r="G3052" s="526" t="s">
        <v>5759</v>
      </c>
      <c r="H3052" s="412">
        <v>131.7998</v>
      </c>
      <c r="I3052" s="411">
        <v>5.2530299999999999</v>
      </c>
      <c r="J3052" s="411">
        <v>22.921900000000001</v>
      </c>
      <c r="K3052" s="411">
        <v>2137.9153000000001</v>
      </c>
      <c r="L3052" s="526" t="s">
        <v>555</v>
      </c>
    </row>
    <row r="3053" spans="1:12" ht="15" x14ac:dyDescent="0.25">
      <c r="A3053">
        <v>260076</v>
      </c>
      <c r="B3053" t="str">
        <f t="shared" si="126"/>
        <v>SEVROLL uhol. vedenie strieb.</v>
      </c>
      <c r="C3053" s="198">
        <f t="shared" si="127"/>
        <v>9.6503200000000007</v>
      </c>
      <c r="D3053" s="526" t="s">
        <v>3224</v>
      </c>
      <c r="E3053" s="526" t="s">
        <v>4132</v>
      </c>
      <c r="F3053" s="526" t="s">
        <v>4133</v>
      </c>
      <c r="G3053" s="526" t="s">
        <v>4134</v>
      </c>
      <c r="H3053" s="412">
        <v>267.20803999999998</v>
      </c>
      <c r="I3053" s="411">
        <v>9.6503200000000007</v>
      </c>
      <c r="J3053" s="411">
        <v>35.812199999999997</v>
      </c>
      <c r="K3053" s="411">
        <v>3673.6298900000002</v>
      </c>
      <c r="L3053" s="526" t="s">
        <v>554</v>
      </c>
    </row>
    <row r="3054" spans="1:12" ht="15" x14ac:dyDescent="0.25">
      <c r="A3054">
        <v>262429</v>
      </c>
      <c r="B3054" t="str">
        <f t="shared" si="126"/>
        <v>SEVROLL Optima spodné vedenie 6m surová</v>
      </c>
      <c r="C3054" s="198">
        <f t="shared" si="127"/>
        <v>24.770879999999998</v>
      </c>
      <c r="D3054" s="526" t="s">
        <v>3225</v>
      </c>
      <c r="E3054" s="526" t="s">
        <v>4689</v>
      </c>
      <c r="F3054" s="526" t="s">
        <v>1143</v>
      </c>
      <c r="G3054" s="526" t="s">
        <v>4690</v>
      </c>
      <c r="H3054" s="412">
        <v>685.88160000000005</v>
      </c>
      <c r="I3054" s="411">
        <v>24.770879999999998</v>
      </c>
      <c r="J3054" s="411">
        <v>83.677199999999999</v>
      </c>
      <c r="K3054" s="411">
        <v>9429.6383999999998</v>
      </c>
      <c r="L3054" s="526" t="s">
        <v>554</v>
      </c>
    </row>
    <row r="3055" spans="1:12" ht="15" x14ac:dyDescent="0.25">
      <c r="A3055">
        <v>262430</v>
      </c>
      <c r="B3055" t="str">
        <f t="shared" si="126"/>
        <v>SEVROLL Optima horné vedenie 6m strieb</v>
      </c>
      <c r="C3055" s="198">
        <f t="shared" si="127"/>
        <v>80.995620000000002</v>
      </c>
      <c r="D3055" s="526" t="s">
        <v>3226</v>
      </c>
      <c r="E3055" s="526" t="s">
        <v>5096</v>
      </c>
      <c r="F3055" s="526" t="s">
        <v>1145</v>
      </c>
      <c r="G3055" s="526" t="s">
        <v>5097</v>
      </c>
      <c r="H3055" s="412">
        <v>2242.6899400000002</v>
      </c>
      <c r="I3055" s="411">
        <v>80.995620000000002</v>
      </c>
      <c r="J3055" s="411">
        <v>304.86430000000001</v>
      </c>
      <c r="K3055" s="411">
        <v>30832.952990000002</v>
      </c>
      <c r="L3055" s="526" t="s">
        <v>554</v>
      </c>
    </row>
    <row r="3056" spans="1:12" ht="15" x14ac:dyDescent="0.25">
      <c r="A3056">
        <v>265065</v>
      </c>
      <c r="B3056" t="str">
        <f t="shared" si="126"/>
        <v>SEVROLL 04379 Fox II úchytová lišta 2,7m biela lesk</v>
      </c>
      <c r="C3056" s="198">
        <f t="shared" si="127"/>
        <v>21.41649</v>
      </c>
      <c r="D3056" s="526" t="s">
        <v>3227</v>
      </c>
      <c r="E3056" s="526" t="s">
        <v>5268</v>
      </c>
      <c r="F3056" s="526" t="s">
        <v>5269</v>
      </c>
      <c r="G3056" s="526" t="s">
        <v>5270</v>
      </c>
      <c r="H3056" s="412">
        <v>593.0018</v>
      </c>
      <c r="I3056" s="411">
        <v>21.41649</v>
      </c>
      <c r="J3056" s="411">
        <v>80.416799999999995</v>
      </c>
      <c r="K3056" s="411">
        <v>8152.7082</v>
      </c>
      <c r="L3056" s="526" t="s">
        <v>553</v>
      </c>
    </row>
    <row r="3057" spans="1:12" ht="15" x14ac:dyDescent="0.25">
      <c r="A3057">
        <v>265066</v>
      </c>
      <c r="B3057" t="str">
        <f t="shared" si="126"/>
        <v>SEVROLL 00169 horná vodiaca lišta 3m biela lesk</v>
      </c>
      <c r="C3057" s="198">
        <f t="shared" si="127"/>
        <v>18.371739999999999</v>
      </c>
      <c r="D3057" s="526" t="s">
        <v>3228</v>
      </c>
      <c r="E3057" s="526" t="s">
        <v>5367</v>
      </c>
      <c r="F3057" s="526" t="s">
        <v>5368</v>
      </c>
      <c r="G3057" s="526" t="s">
        <v>5369</v>
      </c>
      <c r="H3057" s="412">
        <v>508.69551999999999</v>
      </c>
      <c r="I3057" s="411">
        <v>18.371739999999999</v>
      </c>
      <c r="J3057" s="411">
        <v>105.8454</v>
      </c>
      <c r="K3057" s="411">
        <v>6993.6486299999997</v>
      </c>
      <c r="L3057" s="526" t="s">
        <v>553</v>
      </c>
    </row>
    <row r="3058" spans="1:12" ht="15" x14ac:dyDescent="0.25">
      <c r="A3058">
        <v>265067</v>
      </c>
      <c r="B3058" t="str">
        <f t="shared" si="126"/>
        <v>SEVROLL 00145 Gemini 10 spodná krycia lišta 3m 10mm biela lesk</v>
      </c>
      <c r="C3058" s="198">
        <f t="shared" si="127"/>
        <v>33.38908</v>
      </c>
      <c r="D3058" s="526" t="s">
        <v>3229</v>
      </c>
      <c r="E3058" s="526" t="s">
        <v>5550</v>
      </c>
      <c r="F3058" s="526" t="s">
        <v>5551</v>
      </c>
      <c r="G3058" s="526" t="s">
        <v>5552</v>
      </c>
      <c r="H3058" s="412">
        <v>924.51124000000004</v>
      </c>
      <c r="I3058" s="411">
        <v>33.38908</v>
      </c>
      <c r="J3058" s="411">
        <v>124.22580000000001</v>
      </c>
      <c r="K3058" s="411">
        <v>12710.366690000001</v>
      </c>
      <c r="L3058" s="526" t="s">
        <v>553</v>
      </c>
    </row>
    <row r="3059" spans="1:12" ht="15" x14ac:dyDescent="0.25">
      <c r="A3059">
        <v>267880</v>
      </c>
      <c r="B3059" t="str">
        <f t="shared" si="126"/>
        <v>SEVROLL 04055 uholník Mini 17x11mm 3m biela lesk</v>
      </c>
      <c r="C3059" s="198">
        <f t="shared" si="127"/>
        <v>5.5734500000000002</v>
      </c>
      <c r="D3059" s="526" t="s">
        <v>5642</v>
      </c>
      <c r="E3059" s="526" t="s">
        <v>5643</v>
      </c>
      <c r="F3059" s="526" t="s">
        <v>5644</v>
      </c>
      <c r="G3059" s="526" t="s">
        <v>5645</v>
      </c>
      <c r="H3059" s="412">
        <v>154.32336000000001</v>
      </c>
      <c r="I3059" s="411">
        <v>5.5734500000000002</v>
      </c>
      <c r="J3059" s="411">
        <v>21.583200000000001</v>
      </c>
      <c r="K3059" s="411">
        <v>2121.6687099999999</v>
      </c>
      <c r="L3059" s="526" t="s">
        <v>553</v>
      </c>
    </row>
    <row r="3060" spans="1:12" ht="15" x14ac:dyDescent="0.25">
      <c r="A3060">
        <v>267882</v>
      </c>
      <c r="B3060" t="str">
        <f t="shared" si="126"/>
        <v>SEVROLL 04060 Gemini horné vedenie  2,35m biela lesk</v>
      </c>
      <c r="C3060" s="198">
        <f t="shared" si="127"/>
        <v>25.225020000000001</v>
      </c>
      <c r="D3060" s="526" t="s">
        <v>3230</v>
      </c>
      <c r="E3060" s="526" t="s">
        <v>5287</v>
      </c>
      <c r="F3060" s="526" t="s">
        <v>5288</v>
      </c>
      <c r="G3060" s="526" t="s">
        <v>5289</v>
      </c>
      <c r="H3060" s="412">
        <v>698.74188000000004</v>
      </c>
      <c r="I3060" s="411">
        <v>25.225020000000001</v>
      </c>
      <c r="J3060" s="411">
        <v>103.20359999999999</v>
      </c>
      <c r="K3060" s="411">
        <v>9602.5149299999994</v>
      </c>
      <c r="L3060" s="526" t="s">
        <v>553</v>
      </c>
    </row>
    <row r="3061" spans="1:12" ht="15" x14ac:dyDescent="0.25">
      <c r="A3061">
        <v>267944</v>
      </c>
      <c r="B3061" t="str">
        <f t="shared" si="126"/>
        <v>SEVROLL 04065 horná vodiaca lišta 2,35m biela lesk</v>
      </c>
      <c r="C3061" s="198">
        <f t="shared" si="127"/>
        <v>14.398070000000001</v>
      </c>
      <c r="D3061" s="526" t="s">
        <v>3231</v>
      </c>
      <c r="E3061" s="526" t="s">
        <v>5348</v>
      </c>
      <c r="F3061" s="526" t="s">
        <v>5349</v>
      </c>
      <c r="G3061" s="526" t="s">
        <v>5350</v>
      </c>
      <c r="H3061" s="412">
        <v>398.66867999999999</v>
      </c>
      <c r="I3061" s="411">
        <v>14.398070000000001</v>
      </c>
      <c r="J3061" s="411">
        <v>82.936199999999999</v>
      </c>
      <c r="K3061" s="411">
        <v>5480.9771700000001</v>
      </c>
      <c r="L3061" s="526" t="s">
        <v>553</v>
      </c>
    </row>
    <row r="3062" spans="1:12" ht="15" x14ac:dyDescent="0.25">
      <c r="A3062">
        <v>267954</v>
      </c>
      <c r="B3062" t="str">
        <f t="shared" si="126"/>
        <v>SEVROLL 04063 Gemini 10 spodná krycia lišta 2,35m 10mm biela lesk</v>
      </c>
      <c r="C3062" s="198">
        <f t="shared" si="127"/>
        <v>26.086829999999999</v>
      </c>
      <c r="D3062" s="526" t="s">
        <v>3232</v>
      </c>
      <c r="E3062" s="526" t="s">
        <v>5535</v>
      </c>
      <c r="F3062" s="526" t="s">
        <v>5536</v>
      </c>
      <c r="G3062" s="526" t="s">
        <v>5537</v>
      </c>
      <c r="H3062" s="412">
        <v>722.31906000000004</v>
      </c>
      <c r="I3062" s="411">
        <v>26.086829999999999</v>
      </c>
      <c r="J3062" s="411">
        <v>97.287599999999998</v>
      </c>
      <c r="K3062" s="411">
        <v>9930.5880099999995</v>
      </c>
      <c r="L3062" s="526" t="s">
        <v>553</v>
      </c>
    </row>
    <row r="3063" spans="1:12" ht="15" x14ac:dyDescent="0.25">
      <c r="A3063">
        <v>270113</v>
      </c>
      <c r="B3063" t="str">
        <f t="shared" si="126"/>
        <v>SEVROLL uholník 22x22mm 3m stieborná</v>
      </c>
      <c r="C3063" s="198">
        <f t="shared" si="127"/>
        <v>10.16638</v>
      </c>
      <c r="D3063" s="526" t="s">
        <v>3233</v>
      </c>
      <c r="E3063" s="526" t="s">
        <v>4135</v>
      </c>
      <c r="F3063" s="526" t="s">
        <v>4136</v>
      </c>
      <c r="G3063" s="526" t="s">
        <v>4137</v>
      </c>
      <c r="H3063" s="412">
        <v>281.49723999999998</v>
      </c>
      <c r="I3063" s="411">
        <v>10.16638</v>
      </c>
      <c r="J3063" s="411">
        <v>37.790999999999997</v>
      </c>
      <c r="K3063" s="411">
        <v>3870.0806899999998</v>
      </c>
      <c r="L3063" s="526" t="s">
        <v>554</v>
      </c>
    </row>
    <row r="3064" spans="1:12" ht="15" x14ac:dyDescent="0.25">
      <c r="A3064">
        <v>270114</v>
      </c>
      <c r="B3064" t="str">
        <f t="shared" ref="B3064:B3127" si="128">IF($A$2=1,D3064,IF($A$2=2,F3064,IF($A$2=3,G3064,IF($A$2=4,E3064,"zadat jazyk"))))</f>
        <v>SEVROLL uholník 10x10mm 3m strieborná</v>
      </c>
      <c r="C3064" s="198">
        <f t="shared" ref="C3064:C3127" si="129">IF($A$2=1,H3064,IF($A$2=2,I3064,IF($A$2=3,J3064,IF($A$2=4,K3064,"zadat jazyk"))))</f>
        <v>4.1284799999999997</v>
      </c>
      <c r="D3064" s="526" t="s">
        <v>3234</v>
      </c>
      <c r="E3064" s="526" t="s">
        <v>3693</v>
      </c>
      <c r="F3064" s="526" t="s">
        <v>3694</v>
      </c>
      <c r="G3064" s="526" t="s">
        <v>3695</v>
      </c>
      <c r="H3064" s="412">
        <v>114.31359999999999</v>
      </c>
      <c r="I3064" s="411">
        <v>4.1284799999999997</v>
      </c>
      <c r="J3064" s="411">
        <v>15.2898</v>
      </c>
      <c r="K3064" s="411">
        <v>1571.6063999999999</v>
      </c>
      <c r="L3064" s="526" t="s">
        <v>554</v>
      </c>
    </row>
    <row r="3065" spans="1:12" ht="15" x14ac:dyDescent="0.25">
      <c r="A3065">
        <v>273035</v>
      </c>
      <c r="B3065" t="str">
        <f t="shared" si="128"/>
        <v>SEVROLL uholník 10x18mm 3m strieborná</v>
      </c>
      <c r="C3065" s="198">
        <f t="shared" si="129"/>
        <v>5.6508599999999998</v>
      </c>
      <c r="D3065" s="526" t="s">
        <v>3235</v>
      </c>
      <c r="E3065" s="526" t="s">
        <v>3808</v>
      </c>
      <c r="F3065" s="526" t="s">
        <v>3809</v>
      </c>
      <c r="G3065" s="526" t="s">
        <v>3810</v>
      </c>
      <c r="H3065" s="412">
        <v>156.46673999999999</v>
      </c>
      <c r="I3065" s="411">
        <v>5.6508599999999998</v>
      </c>
      <c r="J3065" s="411">
        <v>21.012</v>
      </c>
      <c r="K3065" s="411">
        <v>2151.1361900000002</v>
      </c>
      <c r="L3065" s="526" t="s">
        <v>554</v>
      </c>
    </row>
    <row r="3066" spans="1:12" ht="15" x14ac:dyDescent="0.25">
      <c r="A3066">
        <v>274345</v>
      </c>
      <c r="B3066" t="str">
        <f t="shared" si="128"/>
        <v>SEVROLL sada kovania ZSE-18 PLUS PRINCE</v>
      </c>
      <c r="C3066" s="198">
        <f t="shared" si="129"/>
        <v>77.705730000000003</v>
      </c>
      <c r="D3066" s="526" t="s">
        <v>1371</v>
      </c>
      <c r="E3066" s="526" t="s">
        <v>1823</v>
      </c>
      <c r="F3066" s="526" t="s">
        <v>2183</v>
      </c>
      <c r="G3066" s="526" t="s">
        <v>5840</v>
      </c>
      <c r="H3066" s="412">
        <v>2151.95352</v>
      </c>
      <c r="I3066" s="411">
        <v>77.705730000000003</v>
      </c>
      <c r="J3066" s="411">
        <v>273.45179999999999</v>
      </c>
      <c r="K3066" s="411">
        <v>29580.57933</v>
      </c>
      <c r="L3066" s="526" t="s">
        <v>554</v>
      </c>
    </row>
    <row r="3067" spans="1:12" ht="15" x14ac:dyDescent="0.25">
      <c r="A3067">
        <v>276730</v>
      </c>
      <c r="B3067" t="str">
        <f t="shared" si="128"/>
        <v>SEVROLL 04532 Alfa II úchytová lišta 18mm 2,7m biela lesk</v>
      </c>
      <c r="C3067" s="198">
        <f t="shared" si="129"/>
        <v>16.302330000000001</v>
      </c>
      <c r="D3067" s="526" t="s">
        <v>3236</v>
      </c>
      <c r="E3067" s="526" t="s">
        <v>4503</v>
      </c>
      <c r="F3067" s="526" t="s">
        <v>4504</v>
      </c>
      <c r="G3067" s="526" t="s">
        <v>4505</v>
      </c>
      <c r="H3067" s="412">
        <v>451.53872000000001</v>
      </c>
      <c r="I3067" s="411">
        <v>16.302330000000001</v>
      </c>
      <c r="J3067" s="411">
        <v>66.463200000000001</v>
      </c>
      <c r="K3067" s="411">
        <v>6205.8809199999996</v>
      </c>
      <c r="L3067" s="526" t="s">
        <v>553</v>
      </c>
    </row>
    <row r="3068" spans="1:12" ht="15" x14ac:dyDescent="0.25">
      <c r="A3068">
        <v>276731</v>
      </c>
      <c r="B3068" t="str">
        <f t="shared" si="128"/>
        <v>SEVROLL 04066 uholník Mini 17x11mm 3m biela mat</v>
      </c>
      <c r="C3068" s="198">
        <f t="shared" si="129"/>
        <v>5.5734500000000002</v>
      </c>
      <c r="D3068" s="526" t="s">
        <v>3775</v>
      </c>
      <c r="E3068" s="526" t="s">
        <v>3776</v>
      </c>
      <c r="F3068" s="526" t="s">
        <v>3777</v>
      </c>
      <c r="G3068" s="526" t="s">
        <v>3778</v>
      </c>
      <c r="H3068" s="412">
        <v>154.32336000000001</v>
      </c>
      <c r="I3068" s="411">
        <v>5.5734500000000002</v>
      </c>
      <c r="J3068" s="411">
        <v>21.583200000000001</v>
      </c>
      <c r="K3068" s="411">
        <v>2121.6687099999999</v>
      </c>
      <c r="L3068" s="526" t="s">
        <v>553</v>
      </c>
    </row>
    <row r="3069" spans="1:12" ht="15" x14ac:dyDescent="0.25">
      <c r="A3069">
        <v>276732</v>
      </c>
      <c r="B3069" t="str">
        <f t="shared" si="128"/>
        <v>SEVROLL 04054 uholník Mini 17x11mm 2,35m biela lesk</v>
      </c>
      <c r="C3069" s="198">
        <f t="shared" si="129"/>
        <v>4.3607100000000001</v>
      </c>
      <c r="D3069" s="526" t="s">
        <v>3696</v>
      </c>
      <c r="E3069" s="526" t="s">
        <v>3697</v>
      </c>
      <c r="F3069" s="526" t="s">
        <v>3698</v>
      </c>
      <c r="G3069" s="526" t="s">
        <v>3699</v>
      </c>
      <c r="H3069" s="412">
        <v>120.74374</v>
      </c>
      <c r="I3069" s="411">
        <v>4.3607100000000001</v>
      </c>
      <c r="J3069" s="411">
        <v>16.901399999999999</v>
      </c>
      <c r="K3069" s="411">
        <v>1660.00919</v>
      </c>
      <c r="L3069" s="526" t="s">
        <v>553</v>
      </c>
    </row>
    <row r="3070" spans="1:12" ht="15" x14ac:dyDescent="0.25">
      <c r="A3070">
        <v>276735</v>
      </c>
      <c r="B3070" t="str">
        <f t="shared" si="128"/>
        <v>SEVROLL 04053 uholník Mini 17x11mm 1,7m biela lesk</v>
      </c>
      <c r="C3070" s="198">
        <f t="shared" si="129"/>
        <v>3.1479699999999999</v>
      </c>
      <c r="D3070" s="526" t="s">
        <v>3629</v>
      </c>
      <c r="E3070" s="526" t="s">
        <v>3630</v>
      </c>
      <c r="F3070" s="526" t="s">
        <v>3631</v>
      </c>
      <c r="G3070" s="526" t="s">
        <v>3632</v>
      </c>
      <c r="H3070" s="412">
        <v>87.164119999999997</v>
      </c>
      <c r="I3070" s="411">
        <v>3.1479699999999999</v>
      </c>
      <c r="J3070" s="411">
        <v>12.2094</v>
      </c>
      <c r="K3070" s="411">
        <v>1198.3500300000001</v>
      </c>
      <c r="L3070" s="526" t="s">
        <v>553</v>
      </c>
    </row>
    <row r="3071" spans="1:12" ht="15" x14ac:dyDescent="0.25">
      <c r="A3071">
        <v>276736</v>
      </c>
      <c r="B3071" t="str">
        <f t="shared" si="128"/>
        <v>SEVROLL 04062 Gemini 10 spodná krycia lišta 1,7m 10mm biela lesk</v>
      </c>
      <c r="C3071" s="198">
        <f t="shared" si="129"/>
        <v>18.887799999999999</v>
      </c>
      <c r="D3071" s="526" t="s">
        <v>3237</v>
      </c>
      <c r="E3071" s="526" t="s">
        <v>5517</v>
      </c>
      <c r="F3071" s="526" t="s">
        <v>5518</v>
      </c>
      <c r="G3071" s="526" t="s">
        <v>5519</v>
      </c>
      <c r="H3071" s="412">
        <v>522.98472000000004</v>
      </c>
      <c r="I3071" s="411">
        <v>18.887799999999999</v>
      </c>
      <c r="J3071" s="411">
        <v>70.369799999999998</v>
      </c>
      <c r="K3071" s="411">
        <v>7190.0994300000002</v>
      </c>
      <c r="L3071" s="526" t="s">
        <v>553</v>
      </c>
    </row>
    <row r="3072" spans="1:12" ht="15" x14ac:dyDescent="0.25">
      <c r="A3072">
        <v>276737</v>
      </c>
      <c r="B3072" t="str">
        <f t="shared" si="128"/>
        <v>SEVROLL 04064 horná vodiaca lišta 1,7m biela lesk</v>
      </c>
      <c r="C3072" s="198">
        <f t="shared" si="129"/>
        <v>10.39861</v>
      </c>
      <c r="D3072" s="526" t="s">
        <v>3238</v>
      </c>
      <c r="E3072" s="526" t="s">
        <v>5331</v>
      </c>
      <c r="F3072" s="526" t="s">
        <v>5332</v>
      </c>
      <c r="G3072" s="526" t="s">
        <v>5333</v>
      </c>
      <c r="H3072" s="412">
        <v>287.92738000000003</v>
      </c>
      <c r="I3072" s="411">
        <v>10.39861</v>
      </c>
      <c r="J3072" s="411">
        <v>59.986199999999997</v>
      </c>
      <c r="K3072" s="411">
        <v>3958.4834700000001</v>
      </c>
      <c r="L3072" s="526" t="s">
        <v>553</v>
      </c>
    </row>
    <row r="3073" spans="1:12" ht="15" x14ac:dyDescent="0.25">
      <c r="A3073">
        <v>276738</v>
      </c>
      <c r="B3073" t="str">
        <f t="shared" si="128"/>
        <v>SEVROLL 03890 spojovacia lišta H08/18 3m biela mat</v>
      </c>
      <c r="C3073" s="198">
        <f t="shared" si="129"/>
        <v>11.37912</v>
      </c>
      <c r="D3073" s="526" t="s">
        <v>3239</v>
      </c>
      <c r="E3073" s="526" t="s">
        <v>4222</v>
      </c>
      <c r="F3073" s="526" t="s">
        <v>4223</v>
      </c>
      <c r="G3073" s="526" t="s">
        <v>4224</v>
      </c>
      <c r="H3073" s="412">
        <v>315.07686000000001</v>
      </c>
      <c r="I3073" s="411">
        <v>11.37912</v>
      </c>
      <c r="J3073" s="411">
        <v>42.829799999999999</v>
      </c>
      <c r="K3073" s="411">
        <v>4331.7402099999999</v>
      </c>
      <c r="L3073" s="526" t="s">
        <v>554</v>
      </c>
    </row>
    <row r="3074" spans="1:12" ht="15" x14ac:dyDescent="0.25">
      <c r="A3074">
        <v>276739</v>
      </c>
      <c r="B3074" t="str">
        <f t="shared" si="128"/>
        <v>SEVROLL 04050 spojovacia lišta H10 3m biela lesk</v>
      </c>
      <c r="C3074" s="198">
        <f t="shared" si="129"/>
        <v>15.688219999999999</v>
      </c>
      <c r="D3074" s="526" t="s">
        <v>3240</v>
      </c>
      <c r="E3074" s="526" t="s">
        <v>4557</v>
      </c>
      <c r="F3074" s="526" t="s">
        <v>4558</v>
      </c>
      <c r="G3074" s="526" t="s">
        <v>4559</v>
      </c>
      <c r="H3074" s="412">
        <v>434.39168000000001</v>
      </c>
      <c r="I3074" s="411">
        <v>15.688219999999999</v>
      </c>
      <c r="J3074" s="411">
        <v>67.289400000000001</v>
      </c>
      <c r="K3074" s="411">
        <v>5972.1041699999996</v>
      </c>
      <c r="L3074" s="526" t="s">
        <v>553</v>
      </c>
    </row>
    <row r="3075" spans="1:12" ht="15" x14ac:dyDescent="0.25">
      <c r="A3075">
        <v>276742</v>
      </c>
      <c r="B3075" t="str">
        <f t="shared" si="128"/>
        <v>SEVROLL 04556 Faworyt II úchytová lišta 2,7m biela mat</v>
      </c>
      <c r="C3075" s="198">
        <f t="shared" si="129"/>
        <v>16.22184</v>
      </c>
      <c r="D3075" s="526" t="s">
        <v>3241</v>
      </c>
      <c r="E3075" s="526" t="s">
        <v>4452</v>
      </c>
      <c r="F3075" s="526" t="s">
        <v>4453</v>
      </c>
      <c r="G3075" s="526" t="s">
        <v>4454</v>
      </c>
      <c r="H3075" s="412">
        <v>449.39533999999998</v>
      </c>
      <c r="I3075" s="411">
        <v>16.22184</v>
      </c>
      <c r="J3075" s="411">
        <v>60.088200000000001</v>
      </c>
      <c r="K3075" s="411">
        <v>6175.2344300000004</v>
      </c>
      <c r="L3075" s="526" t="s">
        <v>553</v>
      </c>
    </row>
    <row r="3076" spans="1:12" ht="15" x14ac:dyDescent="0.25">
      <c r="A3076">
        <v>276743</v>
      </c>
      <c r="B3076" t="str">
        <f t="shared" si="128"/>
        <v>SEVROLL 04437 Elegant II spodné vedenie  3m biela mat</v>
      </c>
      <c r="C3076" s="198">
        <f t="shared" si="129"/>
        <v>18.777889999999999</v>
      </c>
      <c r="D3076" s="526" t="s">
        <v>3242</v>
      </c>
      <c r="E3076" s="526" t="s">
        <v>5212</v>
      </c>
      <c r="F3076" s="526" t="s">
        <v>5213</v>
      </c>
      <c r="G3076" s="526" t="s">
        <v>5214</v>
      </c>
      <c r="H3076" s="412">
        <v>520.12688000000003</v>
      </c>
      <c r="I3076" s="411">
        <v>18.777889999999999</v>
      </c>
      <c r="J3076" s="411">
        <v>71.808000000000007</v>
      </c>
      <c r="K3076" s="411">
        <v>7148.2553099999996</v>
      </c>
      <c r="L3076" s="526" t="s">
        <v>553</v>
      </c>
    </row>
    <row r="3077" spans="1:12" ht="15" x14ac:dyDescent="0.25">
      <c r="A3077">
        <v>276744</v>
      </c>
      <c r="B3077" t="str">
        <f t="shared" si="128"/>
        <v>SEVROLL 04290 Elegant II spodné vedenie  1,7m biela lesk</v>
      </c>
      <c r="C3077" s="198">
        <f t="shared" si="129"/>
        <v>10.74747</v>
      </c>
      <c r="D3077" s="526" t="s">
        <v>3243</v>
      </c>
      <c r="E3077" s="526" t="s">
        <v>5174</v>
      </c>
      <c r="F3077" s="526" t="s">
        <v>5175</v>
      </c>
      <c r="G3077" s="526" t="s">
        <v>5176</v>
      </c>
      <c r="H3077" s="412">
        <v>297.92982000000001</v>
      </c>
      <c r="I3077" s="411">
        <v>10.74747</v>
      </c>
      <c r="J3077" s="411">
        <v>40.698</v>
      </c>
      <c r="K3077" s="411">
        <v>4091.2844</v>
      </c>
      <c r="L3077" s="526" t="s">
        <v>553</v>
      </c>
    </row>
    <row r="3078" spans="1:12" ht="15" x14ac:dyDescent="0.25">
      <c r="A3078">
        <v>276745</v>
      </c>
      <c r="B3078" t="str">
        <f t="shared" si="128"/>
        <v>SEVROLL 04291 Elegant II spodné vedenie  2,35m biela lesk</v>
      </c>
      <c r="C3078" s="198">
        <f t="shared" si="129"/>
        <v>14.79285</v>
      </c>
      <c r="D3078" s="526" t="s">
        <v>3244</v>
      </c>
      <c r="E3078" s="526" t="s">
        <v>5194</v>
      </c>
      <c r="F3078" s="526" t="s">
        <v>5195</v>
      </c>
      <c r="G3078" s="526" t="s">
        <v>5196</v>
      </c>
      <c r="H3078" s="412">
        <v>409.38558</v>
      </c>
      <c r="I3078" s="411">
        <v>14.79285</v>
      </c>
      <c r="J3078" s="411">
        <v>56.242800000000003</v>
      </c>
      <c r="K3078" s="411">
        <v>5631.26206</v>
      </c>
      <c r="L3078" s="526" t="s">
        <v>553</v>
      </c>
    </row>
    <row r="3079" spans="1:12" ht="15" x14ac:dyDescent="0.25">
      <c r="A3079">
        <v>276746</v>
      </c>
      <c r="B3079" t="str">
        <f t="shared" si="128"/>
        <v>SEVROLL 04293 Elegant II spodné vedenie  4,05m biela lesk</v>
      </c>
      <c r="C3079" s="198">
        <f t="shared" si="129"/>
        <v>25.449750000000002</v>
      </c>
      <c r="D3079" s="526" t="s">
        <v>3245</v>
      </c>
      <c r="E3079" s="526" t="s">
        <v>5227</v>
      </c>
      <c r="F3079" s="526" t="s">
        <v>5228</v>
      </c>
      <c r="G3079" s="526" t="s">
        <v>5229</v>
      </c>
      <c r="H3079" s="412">
        <v>704.45755999999994</v>
      </c>
      <c r="I3079" s="411">
        <v>25.449750000000002</v>
      </c>
      <c r="J3079" s="411">
        <v>96.930599999999998</v>
      </c>
      <c r="K3079" s="411">
        <v>9688.0696700000008</v>
      </c>
      <c r="L3079" s="526" t="s">
        <v>553</v>
      </c>
    </row>
    <row r="3080" spans="1:12" ht="15" x14ac:dyDescent="0.25">
      <c r="A3080">
        <v>276749</v>
      </c>
      <c r="B3080" t="str">
        <f t="shared" si="128"/>
        <v>SEVROLL 04061 Gemini horné vedenie  4,05m biela lesk</v>
      </c>
      <c r="C3080" s="198">
        <f t="shared" si="129"/>
        <v>43.47289</v>
      </c>
      <c r="D3080" s="526" t="s">
        <v>3246</v>
      </c>
      <c r="E3080" s="526" t="s">
        <v>5309</v>
      </c>
      <c r="F3080" s="526" t="s">
        <v>5310</v>
      </c>
      <c r="G3080" s="526" t="s">
        <v>5311</v>
      </c>
      <c r="H3080" s="412">
        <v>1203.8651</v>
      </c>
      <c r="I3080" s="411">
        <v>43.47289</v>
      </c>
      <c r="J3080" s="411">
        <v>177.9186</v>
      </c>
      <c r="K3080" s="411">
        <v>16549.015370000001</v>
      </c>
      <c r="L3080" s="526" t="s">
        <v>553</v>
      </c>
    </row>
    <row r="3081" spans="1:12" ht="15" x14ac:dyDescent="0.25">
      <c r="A3081">
        <v>276751</v>
      </c>
      <c r="B3081" t="str">
        <f t="shared" si="128"/>
        <v>SEVROLL 04059 Gemini horné vedenie  1,7m biela lesk</v>
      </c>
      <c r="C3081" s="198">
        <f t="shared" si="129"/>
        <v>18.247890000000002</v>
      </c>
      <c r="D3081" s="526" t="s">
        <v>3247</v>
      </c>
      <c r="E3081" s="526" t="s">
        <v>5276</v>
      </c>
      <c r="F3081" s="526" t="s">
        <v>5277</v>
      </c>
      <c r="G3081" s="526" t="s">
        <v>5278</v>
      </c>
      <c r="H3081" s="412">
        <v>505.12322</v>
      </c>
      <c r="I3081" s="411">
        <v>18.247890000000002</v>
      </c>
      <c r="J3081" s="411">
        <v>74.653800000000004</v>
      </c>
      <c r="K3081" s="411">
        <v>6946.5004600000002</v>
      </c>
      <c r="L3081" s="526" t="s">
        <v>553</v>
      </c>
    </row>
    <row r="3082" spans="1:12" ht="15" x14ac:dyDescent="0.25">
      <c r="A3082">
        <v>278056</v>
      </c>
      <c r="B3082" t="str">
        <f t="shared" si="128"/>
        <v>SEVROLL 04094 Pax úchytová lišta 2,7m strieborná</v>
      </c>
      <c r="C3082" s="198">
        <f t="shared" si="129"/>
        <v>20.513390000000001</v>
      </c>
      <c r="D3082" s="526" t="s">
        <v>3248</v>
      </c>
      <c r="E3082" s="526" t="s">
        <v>4691</v>
      </c>
      <c r="F3082" s="526" t="s">
        <v>4692</v>
      </c>
      <c r="G3082" s="526" t="s">
        <v>4693</v>
      </c>
      <c r="H3082" s="412">
        <v>567.99570000000006</v>
      </c>
      <c r="I3082" s="411">
        <v>20.513390000000001</v>
      </c>
      <c r="J3082" s="411">
        <v>78.988799999999998</v>
      </c>
      <c r="K3082" s="411">
        <v>7808.9192999999996</v>
      </c>
      <c r="L3082" s="526" t="s">
        <v>553</v>
      </c>
    </row>
    <row r="3083" spans="1:12" ht="15" x14ac:dyDescent="0.25">
      <c r="A3083">
        <v>278057</v>
      </c>
      <c r="B3083" t="str">
        <f t="shared" si="128"/>
        <v>SEVROLL Pax úchytová lišta 3m strieborná</v>
      </c>
      <c r="C3083" s="198">
        <f t="shared" si="129"/>
        <v>22.809850000000001</v>
      </c>
      <c r="D3083" s="526" t="s">
        <v>3249</v>
      </c>
      <c r="E3083" s="526" t="s">
        <v>4729</v>
      </c>
      <c r="F3083" s="526" t="s">
        <v>1142</v>
      </c>
      <c r="G3083" s="526" t="s">
        <v>4730</v>
      </c>
      <c r="H3083" s="412">
        <v>631.58263999999997</v>
      </c>
      <c r="I3083" s="411">
        <v>22.809850000000001</v>
      </c>
      <c r="J3083" s="411">
        <v>87.771000000000001</v>
      </c>
      <c r="K3083" s="411">
        <v>8683.1252899999999</v>
      </c>
      <c r="L3083" s="526" t="s">
        <v>554</v>
      </c>
    </row>
    <row r="3084" spans="1:12" ht="15" x14ac:dyDescent="0.25">
      <c r="A3084">
        <v>278058</v>
      </c>
      <c r="B3084" t="str">
        <f t="shared" si="128"/>
        <v>SEVROLL 04096 Pax horná vodiaca lišta 3m strieborná</v>
      </c>
      <c r="C3084" s="198">
        <f t="shared" si="129"/>
        <v>22.396999999999998</v>
      </c>
      <c r="D3084" s="526" t="s">
        <v>3250</v>
      </c>
      <c r="E3084" s="526" t="s">
        <v>4737</v>
      </c>
      <c r="F3084" s="526" t="s">
        <v>4738</v>
      </c>
      <c r="G3084" s="526" t="s">
        <v>4739</v>
      </c>
      <c r="H3084" s="412">
        <v>620.15128000000004</v>
      </c>
      <c r="I3084" s="411">
        <v>22.396999999999998</v>
      </c>
      <c r="J3084" s="411">
        <v>86.302199999999999</v>
      </c>
      <c r="K3084" s="411">
        <v>8525.9645700000001</v>
      </c>
      <c r="L3084" s="526" t="s">
        <v>553</v>
      </c>
    </row>
    <row r="3085" spans="1:12" ht="15" x14ac:dyDescent="0.25">
      <c r="A3085">
        <v>278059</v>
      </c>
      <c r="B3085" t="str">
        <f t="shared" si="128"/>
        <v>SEVROLL 04095 Pax spodná krycia lišta 3m 4mm strieborná</v>
      </c>
      <c r="C3085" s="198">
        <f t="shared" si="129"/>
        <v>25.803000000000001</v>
      </c>
      <c r="D3085" s="526" t="s">
        <v>3251</v>
      </c>
      <c r="E3085" s="526" t="s">
        <v>5494</v>
      </c>
      <c r="F3085" s="526" t="s">
        <v>5495</v>
      </c>
      <c r="G3085" s="526" t="s">
        <v>5496</v>
      </c>
      <c r="H3085" s="412">
        <v>714.46</v>
      </c>
      <c r="I3085" s="411">
        <v>25.803000000000001</v>
      </c>
      <c r="J3085" s="411">
        <v>99.296999999999997</v>
      </c>
      <c r="K3085" s="411">
        <v>9822.5400000000009</v>
      </c>
      <c r="L3085" s="526" t="s">
        <v>554</v>
      </c>
    </row>
    <row r="3086" spans="1:12" ht="15" x14ac:dyDescent="0.25">
      <c r="A3086">
        <v>278060</v>
      </c>
      <c r="B3086" t="str">
        <f t="shared" si="128"/>
        <v>SEVROLL 20298 Pax záslepka profilu (4 ks) strieborná</v>
      </c>
      <c r="C3086" s="198">
        <f t="shared" si="129"/>
        <v>6.9151999999999996</v>
      </c>
      <c r="D3086" s="526" t="s">
        <v>3252</v>
      </c>
      <c r="E3086" s="526" t="s">
        <v>3966</v>
      </c>
      <c r="F3086" s="526" t="s">
        <v>3967</v>
      </c>
      <c r="G3086" s="526" t="s">
        <v>3968</v>
      </c>
      <c r="H3086" s="412">
        <v>203.1842</v>
      </c>
      <c r="I3086" s="411">
        <v>6.9151999999999996</v>
      </c>
      <c r="J3086" s="411">
        <v>26.683199999999999</v>
      </c>
      <c r="K3086" s="411">
        <v>2686.1638499999999</v>
      </c>
      <c r="L3086" s="526" t="s">
        <v>553</v>
      </c>
    </row>
    <row r="3087" spans="1:12" ht="15" x14ac:dyDescent="0.25">
      <c r="A3087">
        <v>278164</v>
      </c>
      <c r="B3087" t="str">
        <f t="shared" si="128"/>
        <v>SEVROLL 03607 Gemini úchytová lišta 2,7m čierna mat</v>
      </c>
      <c r="C3087" s="198">
        <f t="shared" si="129"/>
        <v>24.35286</v>
      </c>
      <c r="D3087" s="526" t="s">
        <v>1347</v>
      </c>
      <c r="E3087" s="526" t="s">
        <v>1798</v>
      </c>
      <c r="F3087" s="526" t="s">
        <v>5811</v>
      </c>
      <c r="G3087" s="526" t="s">
        <v>2377</v>
      </c>
      <c r="H3087" s="412">
        <v>674.30735000000004</v>
      </c>
      <c r="I3087" s="411">
        <v>24.35286</v>
      </c>
      <c r="J3087" s="411">
        <v>102.67319999999999</v>
      </c>
      <c r="K3087" s="411">
        <v>9270.5131500000007</v>
      </c>
      <c r="L3087" s="526" t="s">
        <v>554</v>
      </c>
    </row>
    <row r="3088" spans="1:12" ht="15" x14ac:dyDescent="0.25">
      <c r="A3088">
        <v>279077</v>
      </c>
      <c r="B3088" t="str">
        <f t="shared" si="128"/>
        <v>SEVROLL Single horné vedenie 6m strieborná</v>
      </c>
      <c r="C3088" s="198">
        <f t="shared" si="129"/>
        <v>52.328479999999999</v>
      </c>
      <c r="D3088" s="526" t="s">
        <v>3253</v>
      </c>
      <c r="E3088" s="526" t="s">
        <v>5029</v>
      </c>
      <c r="F3088" s="526" t="s">
        <v>5030</v>
      </c>
      <c r="G3088" s="526" t="s">
        <v>5031</v>
      </c>
      <c r="H3088" s="412">
        <v>1448.92488</v>
      </c>
      <c r="I3088" s="411">
        <v>52.328479999999999</v>
      </c>
      <c r="J3088" s="411">
        <v>184.14060000000001</v>
      </c>
      <c r="K3088" s="411">
        <v>19920.110970000002</v>
      </c>
      <c r="L3088" s="526" t="s">
        <v>554</v>
      </c>
    </row>
    <row r="3089" spans="1:12" ht="15" x14ac:dyDescent="0.25">
      <c r="A3089">
        <v>279078</v>
      </c>
      <c r="B3089" t="str">
        <f t="shared" si="128"/>
        <v>SEVROLL Hide N spodné vedenie 6m oliva</v>
      </c>
      <c r="C3089" s="198">
        <f t="shared" si="129"/>
        <v>29.570239999999998</v>
      </c>
      <c r="D3089" s="526" t="s">
        <v>3254</v>
      </c>
      <c r="E3089" s="526" t="s">
        <v>4760</v>
      </c>
      <c r="F3089" s="526" t="s">
        <v>4761</v>
      </c>
      <c r="G3089" s="526" t="s">
        <v>4762</v>
      </c>
      <c r="H3089" s="412">
        <v>780.48329999999999</v>
      </c>
      <c r="I3089" s="411">
        <v>29.570239999999998</v>
      </c>
      <c r="J3089" s="411">
        <v>101.74397</v>
      </c>
      <c r="K3089" s="411">
        <v>10889.20384</v>
      </c>
      <c r="L3089" s="526" t="s">
        <v>554</v>
      </c>
    </row>
    <row r="3090" spans="1:12" ht="15" x14ac:dyDescent="0.25">
      <c r="A3090">
        <v>279082</v>
      </c>
      <c r="B3090" t="str">
        <f t="shared" si="128"/>
        <v>SEVROLL 50461 vedenie INTER S 35kg do stropu 2m</v>
      </c>
      <c r="C3090" s="198">
        <f t="shared" si="129"/>
        <v>10.65213</v>
      </c>
      <c r="D3090" s="526" t="s">
        <v>3255</v>
      </c>
      <c r="E3090" s="526" t="s">
        <v>5702</v>
      </c>
      <c r="F3090" s="526" t="s">
        <v>5703</v>
      </c>
      <c r="G3090" s="526" t="s">
        <v>5704</v>
      </c>
      <c r="H3090" s="412">
        <v>287.40309999999999</v>
      </c>
      <c r="I3090" s="411">
        <v>10.65213</v>
      </c>
      <c r="J3090" s="411">
        <v>37.448180000000001</v>
      </c>
      <c r="K3090" s="411">
        <v>4007.9077000000002</v>
      </c>
      <c r="L3090" s="526" t="s">
        <v>555</v>
      </c>
    </row>
    <row r="3091" spans="1:12" ht="15" x14ac:dyDescent="0.25">
      <c r="A3091">
        <v>279083</v>
      </c>
      <c r="B3091" t="str">
        <f t="shared" si="128"/>
        <v>SEVROLL vedenie INTER S 35kg do stropu 3m</v>
      </c>
      <c r="C3091" s="198" t="e">
        <f t="shared" si="129"/>
        <v>#N/A</v>
      </c>
      <c r="D3091" s="526" t="s">
        <v>3256</v>
      </c>
      <c r="E3091" s="526" t="s">
        <v>5684</v>
      </c>
      <c r="F3091" s="526" t="s">
        <v>1104</v>
      </c>
      <c r="G3091" s="526" t="s">
        <v>5685</v>
      </c>
      <c r="H3091" s="412" t="e">
        <v>#N/A</v>
      </c>
      <c r="I3091" s="411" t="e">
        <v>#N/A</v>
      </c>
      <c r="J3091" s="411" t="e">
        <v>#N/A</v>
      </c>
      <c r="K3091" s="411" t="e">
        <v>#N/A</v>
      </c>
      <c r="L3091" s="526" t="e">
        <v>#N/A</v>
      </c>
    </row>
    <row r="3092" spans="1:12" ht="15" x14ac:dyDescent="0.25">
      <c r="A3092">
        <v>279084</v>
      </c>
      <c r="B3092" t="str">
        <f t="shared" si="128"/>
        <v>SEVROLL vedenie INTER S 35kg do stropu 6m</v>
      </c>
      <c r="C3092" s="198" t="e">
        <f t="shared" si="129"/>
        <v>#N/A</v>
      </c>
      <c r="D3092" s="526" t="s">
        <v>3257</v>
      </c>
      <c r="E3092" s="526" t="s">
        <v>5682</v>
      </c>
      <c r="F3092" s="526" t="s">
        <v>1103</v>
      </c>
      <c r="G3092" s="526" t="s">
        <v>5683</v>
      </c>
      <c r="H3092" s="412" t="e">
        <v>#N/A</v>
      </c>
      <c r="I3092" s="411" t="e">
        <v>#N/A</v>
      </c>
      <c r="J3092" s="411" t="e">
        <v>#N/A</v>
      </c>
      <c r="K3092" s="411" t="e">
        <v>#N/A</v>
      </c>
      <c r="L3092" s="526" t="e">
        <v>#N/A</v>
      </c>
    </row>
    <row r="3093" spans="1:12" ht="15" x14ac:dyDescent="0.25">
      <c r="A3093">
        <v>279085</v>
      </c>
      <c r="B3093" t="str">
        <f t="shared" si="128"/>
        <v>SEVROLL 50455 vedenie INTER B 35kg na stenu 2m</v>
      </c>
      <c r="C3093" s="198">
        <f t="shared" si="129"/>
        <v>10.65213</v>
      </c>
      <c r="D3093" s="526" t="s">
        <v>3258</v>
      </c>
      <c r="E3093" s="526" t="s">
        <v>5708</v>
      </c>
      <c r="F3093" s="526" t="s">
        <v>5709</v>
      </c>
      <c r="G3093" s="526" t="s">
        <v>5710</v>
      </c>
      <c r="H3093" s="412">
        <v>287.40309999999999</v>
      </c>
      <c r="I3093" s="411">
        <v>10.65213</v>
      </c>
      <c r="J3093" s="411">
        <v>37.448180000000001</v>
      </c>
      <c r="K3093" s="411">
        <v>4007.9077000000002</v>
      </c>
      <c r="L3093" s="526" t="s">
        <v>555</v>
      </c>
    </row>
    <row r="3094" spans="1:12" ht="15" x14ac:dyDescent="0.25">
      <c r="A3094">
        <v>279086</v>
      </c>
      <c r="B3094" t="str">
        <f t="shared" si="128"/>
        <v>SEVROLL vedenie INTER B 35kg do stropu 3m</v>
      </c>
      <c r="C3094" s="198" t="e">
        <f t="shared" si="129"/>
        <v>#N/A</v>
      </c>
      <c r="D3094" s="526" t="s">
        <v>3259</v>
      </c>
      <c r="E3094" s="526" t="s">
        <v>5688</v>
      </c>
      <c r="F3094" s="526" t="s">
        <v>1106</v>
      </c>
      <c r="G3094" s="526" t="s">
        <v>5689</v>
      </c>
      <c r="H3094" s="412" t="e">
        <v>#N/A</v>
      </c>
      <c r="I3094" s="411" t="e">
        <v>#N/A</v>
      </c>
      <c r="J3094" s="411" t="e">
        <v>#N/A</v>
      </c>
      <c r="K3094" s="411" t="e">
        <v>#N/A</v>
      </c>
      <c r="L3094" s="526" t="e">
        <v>#N/A</v>
      </c>
    </row>
    <row r="3095" spans="1:12" ht="15" x14ac:dyDescent="0.25">
      <c r="A3095">
        <v>279087</v>
      </c>
      <c r="B3095" t="str">
        <f t="shared" si="128"/>
        <v>SEVROLL vedenie INTER B 35kg na stenu 6m</v>
      </c>
      <c r="C3095" s="198" t="e">
        <f t="shared" si="129"/>
        <v>#N/A</v>
      </c>
      <c r="D3095" s="526" t="s">
        <v>3260</v>
      </c>
      <c r="E3095" s="526" t="s">
        <v>5686</v>
      </c>
      <c r="F3095" s="526" t="s">
        <v>1105</v>
      </c>
      <c r="G3095" s="526" t="s">
        <v>5687</v>
      </c>
      <c r="H3095" s="412" t="e">
        <v>#N/A</v>
      </c>
      <c r="I3095" s="411" t="e">
        <v>#N/A</v>
      </c>
      <c r="J3095" s="411" t="e">
        <v>#N/A</v>
      </c>
      <c r="K3095" s="411" t="e">
        <v>#N/A</v>
      </c>
      <c r="L3095" s="526" t="e">
        <v>#N/A</v>
      </c>
    </row>
    <row r="3096" spans="1:12" ht="15" x14ac:dyDescent="0.25">
      <c r="A3096">
        <v>279088</v>
      </c>
      <c r="B3096" t="str">
        <f t="shared" si="128"/>
        <v>SEVROLL 50472 vedenie Galaxy S 50kg do stropu 2m</v>
      </c>
      <c r="C3096" s="198">
        <f t="shared" si="129"/>
        <v>12.354469999999999</v>
      </c>
      <c r="D3096" s="526" t="s">
        <v>3261</v>
      </c>
      <c r="E3096" s="526" t="s">
        <v>5720</v>
      </c>
      <c r="F3096" s="526" t="s">
        <v>5721</v>
      </c>
      <c r="G3096" s="526" t="s">
        <v>5722</v>
      </c>
      <c r="H3096" s="412">
        <v>326.22295000000003</v>
      </c>
      <c r="I3096" s="411">
        <v>12.354469999999999</v>
      </c>
      <c r="J3096" s="411">
        <v>42.508749999999999</v>
      </c>
      <c r="K3096" s="411">
        <v>4549.5173000000004</v>
      </c>
      <c r="L3096" s="526" t="s">
        <v>553</v>
      </c>
    </row>
    <row r="3097" spans="1:12" ht="15" x14ac:dyDescent="0.25">
      <c r="A3097">
        <v>279089</v>
      </c>
      <c r="B3097" t="str">
        <f t="shared" si="128"/>
        <v>SEVROLL 50449 vedenie Galaxy S 50kg do stropu 3m</v>
      </c>
      <c r="C3097" s="198">
        <f t="shared" si="129"/>
        <v>18.507210000000001</v>
      </c>
      <c r="D3097" s="526" t="s">
        <v>3262</v>
      </c>
      <c r="E3097" s="526" t="s">
        <v>5717</v>
      </c>
      <c r="F3097" s="526" t="s">
        <v>5718</v>
      </c>
      <c r="G3097" s="526" t="s">
        <v>5719</v>
      </c>
      <c r="H3097" s="412">
        <v>488.31285000000003</v>
      </c>
      <c r="I3097" s="411">
        <v>18.507210000000001</v>
      </c>
      <c r="J3097" s="411">
        <v>63.678759999999997</v>
      </c>
      <c r="K3097" s="411">
        <v>6815.2586600000004</v>
      </c>
      <c r="L3097" s="526" t="s">
        <v>553</v>
      </c>
    </row>
    <row r="3098" spans="1:12" ht="15" x14ac:dyDescent="0.25">
      <c r="A3098">
        <v>279090</v>
      </c>
      <c r="B3098" t="str">
        <f t="shared" si="128"/>
        <v>SEVROLL 50450 vedenie Galaxy S 50kg do stropu 6m</v>
      </c>
      <c r="C3098" s="198">
        <f t="shared" si="129"/>
        <v>37.038910000000001</v>
      </c>
      <c r="D3098" s="526" t="s">
        <v>3263</v>
      </c>
      <c r="E3098" s="526" t="s">
        <v>5714</v>
      </c>
      <c r="F3098" s="526" t="s">
        <v>5715</v>
      </c>
      <c r="G3098" s="526" t="s">
        <v>5716</v>
      </c>
      <c r="H3098" s="412">
        <v>977.30674999999997</v>
      </c>
      <c r="I3098" s="411">
        <v>37.038910000000001</v>
      </c>
      <c r="J3098" s="411">
        <v>127.44186000000001</v>
      </c>
      <c r="K3098" s="411">
        <v>13639.53463</v>
      </c>
      <c r="L3098" s="526" t="s">
        <v>553</v>
      </c>
    </row>
    <row r="3099" spans="1:12" ht="15" x14ac:dyDescent="0.25">
      <c r="A3099">
        <v>279091</v>
      </c>
      <c r="B3099" t="str">
        <f t="shared" si="128"/>
        <v>SEVROLL 50468 vedenie Galaxy B 50kg na stenu 2m</v>
      </c>
      <c r="C3099" s="198">
        <f t="shared" si="129"/>
        <v>12.9673</v>
      </c>
      <c r="D3099" s="526" t="s">
        <v>3264</v>
      </c>
      <c r="E3099" s="526" t="s">
        <v>5729</v>
      </c>
      <c r="F3099" s="526" t="s">
        <v>5730</v>
      </c>
      <c r="G3099" s="526" t="s">
        <v>5731</v>
      </c>
      <c r="H3099" s="412">
        <v>342.56815</v>
      </c>
      <c r="I3099" s="411">
        <v>12.9673</v>
      </c>
      <c r="J3099" s="411">
        <v>44.6173</v>
      </c>
      <c r="K3099" s="411">
        <v>4775.1922999999997</v>
      </c>
      <c r="L3099" s="526" t="s">
        <v>553</v>
      </c>
    </row>
    <row r="3100" spans="1:12" ht="15" x14ac:dyDescent="0.25">
      <c r="A3100">
        <v>279092</v>
      </c>
      <c r="B3100" t="str">
        <f t="shared" si="128"/>
        <v>SEVROLL 50451 vedenie Galaxy B 50kg na stenu 3m</v>
      </c>
      <c r="C3100" s="198">
        <f t="shared" si="129"/>
        <v>19.463190000000001</v>
      </c>
      <c r="D3100" s="526" t="s">
        <v>3265</v>
      </c>
      <c r="E3100" s="526" t="s">
        <v>5726</v>
      </c>
      <c r="F3100" s="526" t="s">
        <v>5727</v>
      </c>
      <c r="G3100" s="526" t="s">
        <v>5728</v>
      </c>
      <c r="H3100" s="412">
        <v>513.51170000000002</v>
      </c>
      <c r="I3100" s="411">
        <v>19.463190000000001</v>
      </c>
      <c r="J3100" s="411">
        <v>66.968130000000002</v>
      </c>
      <c r="K3100" s="411">
        <v>7167.2971299999999</v>
      </c>
      <c r="L3100" s="526" t="s">
        <v>553</v>
      </c>
    </row>
    <row r="3101" spans="1:12" ht="15" x14ac:dyDescent="0.25">
      <c r="A3101">
        <v>279093</v>
      </c>
      <c r="B3101" t="str">
        <f t="shared" si="128"/>
        <v>SEVROLL 50452 vedenie Galaxy B 50kg na stenu 6m</v>
      </c>
      <c r="C3101" s="198">
        <f t="shared" si="129"/>
        <v>38.926409999999997</v>
      </c>
      <c r="D3101" s="526" t="s">
        <v>3266</v>
      </c>
      <c r="E3101" s="526" t="s">
        <v>5723</v>
      </c>
      <c r="F3101" s="526" t="s">
        <v>5724</v>
      </c>
      <c r="G3101" s="526" t="s">
        <v>5725</v>
      </c>
      <c r="H3101" s="412">
        <v>1027.70445</v>
      </c>
      <c r="I3101" s="411">
        <v>38.926409999999997</v>
      </c>
      <c r="J3101" s="411">
        <v>133.93624</v>
      </c>
      <c r="K3101" s="411">
        <v>14334.6029</v>
      </c>
      <c r="L3101" s="526" t="s">
        <v>553</v>
      </c>
    </row>
    <row r="3102" spans="1:12" ht="15" x14ac:dyDescent="0.25">
      <c r="A3102">
        <v>279094</v>
      </c>
      <c r="B3102" t="str">
        <f t="shared" si="128"/>
        <v>SEVROLL krycí profil Galaxy 2m</v>
      </c>
      <c r="C3102" s="198">
        <f t="shared" si="129"/>
        <v>11.482340000000001</v>
      </c>
      <c r="D3102" s="526" t="s">
        <v>3267</v>
      </c>
      <c r="E3102" s="526" t="s">
        <v>4109</v>
      </c>
      <c r="F3102" s="526" t="s">
        <v>1258</v>
      </c>
      <c r="G3102" s="526" t="s">
        <v>4110</v>
      </c>
      <c r="H3102" s="412">
        <v>303.06725</v>
      </c>
      <c r="I3102" s="411">
        <v>11.482340000000001</v>
      </c>
      <c r="J3102" s="411">
        <v>39.507919999999999</v>
      </c>
      <c r="K3102" s="411">
        <v>4228.3557700000001</v>
      </c>
      <c r="L3102" s="526" t="s">
        <v>553</v>
      </c>
    </row>
    <row r="3103" spans="1:12" ht="15" x14ac:dyDescent="0.25">
      <c r="A3103">
        <v>279095</v>
      </c>
      <c r="B3103" t="str">
        <f t="shared" si="128"/>
        <v>SEVROLL krycí profil Galaxy 3m</v>
      </c>
      <c r="C3103" s="198">
        <f t="shared" si="129"/>
        <v>17.210599999999999</v>
      </c>
      <c r="D3103" s="526" t="s">
        <v>3268</v>
      </c>
      <c r="E3103" s="526" t="s">
        <v>4375</v>
      </c>
      <c r="F3103" s="526" t="s">
        <v>1257</v>
      </c>
      <c r="G3103" s="526" t="s">
        <v>4376</v>
      </c>
      <c r="H3103" s="412">
        <v>454.26035000000002</v>
      </c>
      <c r="I3103" s="411">
        <v>17.210599999999999</v>
      </c>
      <c r="J3103" s="411">
        <v>59.217480000000002</v>
      </c>
      <c r="K3103" s="411">
        <v>6337.7826999999997</v>
      </c>
      <c r="L3103" s="526" t="s">
        <v>553</v>
      </c>
    </row>
    <row r="3104" spans="1:12" ht="15" x14ac:dyDescent="0.25">
      <c r="A3104">
        <v>279096</v>
      </c>
      <c r="B3104" t="str">
        <f t="shared" si="128"/>
        <v>SEVROLL krycí profil Galaxy 6m</v>
      </c>
      <c r="C3104" s="198">
        <f t="shared" si="129"/>
        <v>34.524410000000003</v>
      </c>
      <c r="D3104" s="526" t="s">
        <v>3269</v>
      </c>
      <c r="E3104" s="526" t="s">
        <v>4782</v>
      </c>
      <c r="F3104" s="526" t="s">
        <v>1167</v>
      </c>
      <c r="G3104" s="526" t="s">
        <v>4783</v>
      </c>
      <c r="H3104" s="412">
        <v>911.24490000000003</v>
      </c>
      <c r="I3104" s="411">
        <v>34.524410000000003</v>
      </c>
      <c r="J3104" s="411">
        <v>118.79007</v>
      </c>
      <c r="K3104" s="411">
        <v>12713.57307</v>
      </c>
      <c r="L3104" s="526" t="s">
        <v>554</v>
      </c>
    </row>
    <row r="3105" spans="1:12" ht="15" x14ac:dyDescent="0.25">
      <c r="A3105">
        <v>283904</v>
      </c>
      <c r="B3105" t="str">
        <f t="shared" si="128"/>
        <v>SEVROLL 04318 Pax výztuha 3m strieborná</v>
      </c>
      <c r="C3105" s="198">
        <f t="shared" si="129"/>
        <v>28.71874</v>
      </c>
      <c r="D3105" s="526" t="s">
        <v>3270</v>
      </c>
      <c r="E3105" s="526" t="s">
        <v>4823</v>
      </c>
      <c r="F3105" s="526" t="s">
        <v>4824</v>
      </c>
      <c r="G3105" s="526" t="s">
        <v>4825</v>
      </c>
      <c r="H3105" s="412">
        <v>795.19398000000001</v>
      </c>
      <c r="I3105" s="411">
        <v>28.71874</v>
      </c>
      <c r="J3105" s="411">
        <v>101.1024</v>
      </c>
      <c r="K3105" s="411">
        <v>10932.486870000001</v>
      </c>
      <c r="L3105" s="526" t="s">
        <v>553</v>
      </c>
    </row>
    <row r="3106" spans="1:12" ht="15" x14ac:dyDescent="0.25">
      <c r="A3106">
        <v>283955</v>
      </c>
      <c r="B3106" t="str">
        <f t="shared" si="128"/>
        <v>SEVROLL 20319-SV tlmič Central 10/18mm obojstranný 25-40kg</v>
      </c>
      <c r="C3106" s="198">
        <f t="shared" si="129"/>
        <v>48.741869999999999</v>
      </c>
      <c r="D3106" s="526" t="s">
        <v>3271</v>
      </c>
      <c r="E3106" s="526" t="s">
        <v>4995</v>
      </c>
      <c r="F3106" s="526" t="s">
        <v>4996</v>
      </c>
      <c r="G3106" s="526" t="s">
        <v>4997</v>
      </c>
      <c r="H3106" s="412">
        <v>1432.14535</v>
      </c>
      <c r="I3106" s="411">
        <v>48.741869999999999</v>
      </c>
      <c r="J3106" s="411">
        <v>206.958</v>
      </c>
      <c r="K3106" s="411">
        <v>18933.446929999998</v>
      </c>
      <c r="L3106" s="526" t="s">
        <v>553</v>
      </c>
    </row>
    <row r="3107" spans="1:12" ht="15" x14ac:dyDescent="0.25">
      <c r="A3107">
        <v>283956</v>
      </c>
      <c r="B3107" t="str">
        <f t="shared" si="128"/>
        <v>SEVROLL 20258-SV tlmič dorazu Mini SV40 (25 - 40kg)</v>
      </c>
      <c r="C3107" s="198">
        <f t="shared" si="129"/>
        <v>22.75825</v>
      </c>
      <c r="D3107" s="526" t="s">
        <v>4623</v>
      </c>
      <c r="E3107" s="526" t="s">
        <v>4624</v>
      </c>
      <c r="F3107" s="526" t="s">
        <v>4625</v>
      </c>
      <c r="G3107" s="526" t="s">
        <v>4626</v>
      </c>
      <c r="H3107" s="412">
        <v>668.68830000000003</v>
      </c>
      <c r="I3107" s="411">
        <v>22.75825</v>
      </c>
      <c r="J3107" s="411">
        <v>96.889799999999994</v>
      </c>
      <c r="K3107" s="411">
        <v>8840.2861499999999</v>
      </c>
      <c r="L3107" s="526" t="s">
        <v>553</v>
      </c>
    </row>
    <row r="3108" spans="1:12" ht="15" x14ac:dyDescent="0.25">
      <c r="A3108">
        <v>284521</v>
      </c>
      <c r="B3108" t="str">
        <f t="shared" si="128"/>
        <v>SEVROLL 04098 Pax úchytová lišta 2,7m biela lesk</v>
      </c>
      <c r="C3108" s="198">
        <f t="shared" si="129"/>
        <v>26.667400000000001</v>
      </c>
      <c r="D3108" s="526" t="s">
        <v>3272</v>
      </c>
      <c r="E3108" s="526" t="s">
        <v>4787</v>
      </c>
      <c r="F3108" s="526" t="s">
        <v>4788</v>
      </c>
      <c r="G3108" s="526" t="s">
        <v>4789</v>
      </c>
      <c r="H3108" s="412">
        <v>738.75163999999995</v>
      </c>
      <c r="I3108" s="411">
        <v>26.667400000000001</v>
      </c>
      <c r="J3108" s="411">
        <v>102.67319999999999</v>
      </c>
      <c r="K3108" s="411">
        <v>10151.59497</v>
      </c>
      <c r="L3108" s="526" t="s">
        <v>554</v>
      </c>
    </row>
    <row r="3109" spans="1:12" ht="15" x14ac:dyDescent="0.25">
      <c r="A3109">
        <v>284523</v>
      </c>
      <c r="B3109" t="str">
        <f t="shared" si="128"/>
        <v>SEVROLL 04101 Pax úchytová lišta 3m biela lesk</v>
      </c>
      <c r="C3109" s="198">
        <f t="shared" si="129"/>
        <v>29.652819999999998</v>
      </c>
      <c r="D3109" s="526" t="s">
        <v>3273</v>
      </c>
      <c r="E3109" s="526" t="s">
        <v>4857</v>
      </c>
      <c r="F3109" s="526" t="s">
        <v>4858</v>
      </c>
      <c r="G3109" s="526" t="s">
        <v>4859</v>
      </c>
      <c r="H3109" s="412">
        <v>820.91453999999999</v>
      </c>
      <c r="I3109" s="411">
        <v>29.652819999999998</v>
      </c>
      <c r="J3109" s="411">
        <v>114.07680000000001</v>
      </c>
      <c r="K3109" s="411">
        <v>11288.06292</v>
      </c>
      <c r="L3109" s="526" t="s">
        <v>554</v>
      </c>
    </row>
    <row r="3110" spans="1:12" ht="15" x14ac:dyDescent="0.25">
      <c r="A3110">
        <v>284525</v>
      </c>
      <c r="B3110" t="str">
        <f t="shared" si="128"/>
        <v>SEVROLL 04100 Pax horná vodiaca lišta 3m biela lesk</v>
      </c>
      <c r="C3110" s="198">
        <f t="shared" si="129"/>
        <v>29.105779999999999</v>
      </c>
      <c r="D3110" s="526" t="s">
        <v>3274</v>
      </c>
      <c r="E3110" s="526" t="s">
        <v>4844</v>
      </c>
      <c r="F3110" s="526" t="s">
        <v>4845</v>
      </c>
      <c r="G3110" s="526" t="s">
        <v>4846</v>
      </c>
      <c r="H3110" s="412">
        <v>805.91088000000002</v>
      </c>
      <c r="I3110" s="411">
        <v>29.105779999999999</v>
      </c>
      <c r="J3110" s="411">
        <v>112.2</v>
      </c>
      <c r="K3110" s="411">
        <v>11079.82497</v>
      </c>
      <c r="L3110" s="526" t="s">
        <v>554</v>
      </c>
    </row>
    <row r="3111" spans="1:12" ht="15" x14ac:dyDescent="0.25">
      <c r="A3111">
        <v>284526</v>
      </c>
      <c r="B3111" t="str">
        <f t="shared" si="128"/>
        <v>SEVROLL 04099Gemini 4 Pax spodná krycia lišta 3m 4mm biela lesk</v>
      </c>
      <c r="C3111" s="198">
        <f t="shared" si="129"/>
        <v>33.543900000000001</v>
      </c>
      <c r="D3111" s="526" t="s">
        <v>3275</v>
      </c>
      <c r="E3111" s="526" t="s">
        <v>4911</v>
      </c>
      <c r="F3111" s="526" t="s">
        <v>4912</v>
      </c>
      <c r="G3111" s="526" t="s">
        <v>4913</v>
      </c>
      <c r="H3111" s="412">
        <v>928.798</v>
      </c>
      <c r="I3111" s="411">
        <v>33.543900000000001</v>
      </c>
      <c r="J3111" s="411">
        <v>129.11160000000001</v>
      </c>
      <c r="K3111" s="411">
        <v>12769.302</v>
      </c>
      <c r="L3111" s="526" t="s">
        <v>554</v>
      </c>
    </row>
    <row r="3112" spans="1:12" ht="15" x14ac:dyDescent="0.25">
      <c r="A3112">
        <v>284529</v>
      </c>
      <c r="B3112" t="str">
        <f t="shared" si="128"/>
        <v>SEVROLL 20299 Pax záslepka profilu (4 ks) biela lesk</v>
      </c>
      <c r="C3112" s="198">
        <f t="shared" si="129"/>
        <v>8.9897600000000004</v>
      </c>
      <c r="D3112" s="526" t="s">
        <v>3276</v>
      </c>
      <c r="E3112" s="526" t="s">
        <v>4089</v>
      </c>
      <c r="F3112" s="526" t="s">
        <v>4090</v>
      </c>
      <c r="G3112" s="526" t="s">
        <v>4091</v>
      </c>
      <c r="H3112" s="412">
        <v>263.83620000000002</v>
      </c>
      <c r="I3112" s="411">
        <v>8.9897600000000004</v>
      </c>
      <c r="J3112" s="411">
        <v>34.68</v>
      </c>
      <c r="K3112" s="411">
        <v>3492.0130800000002</v>
      </c>
      <c r="L3112" s="526" t="s">
        <v>554</v>
      </c>
    </row>
    <row r="3113" spans="1:12" ht="15" x14ac:dyDescent="0.25">
      <c r="A3113">
        <v>284539</v>
      </c>
      <c r="B3113" t="str">
        <f t="shared" si="128"/>
        <v>SEVROLL Rex úchytová lišta 2,7m strieborná</v>
      </c>
      <c r="C3113" s="198">
        <f t="shared" si="129"/>
        <v>23.132660000000001</v>
      </c>
      <c r="D3113" s="526" t="s">
        <v>3277</v>
      </c>
      <c r="E3113" s="526" t="s">
        <v>4696</v>
      </c>
      <c r="F3113" s="526" t="s">
        <v>1237</v>
      </c>
      <c r="G3113" s="526" t="s">
        <v>4697</v>
      </c>
      <c r="H3113" s="412">
        <v>611.36496</v>
      </c>
      <c r="I3113" s="411">
        <v>23.132660000000001</v>
      </c>
      <c r="J3113" s="411">
        <v>79.763199999999998</v>
      </c>
      <c r="K3113" s="411">
        <v>8897.1784599999992</v>
      </c>
      <c r="L3113" s="526" t="s">
        <v>555</v>
      </c>
    </row>
    <row r="3114" spans="1:12" ht="15" x14ac:dyDescent="0.25">
      <c r="A3114">
        <v>284540</v>
      </c>
      <c r="B3114" t="str">
        <f t="shared" si="128"/>
        <v>SEVROLL 10207 Maxim horný vozík 18mm asymetrický - 2ks</v>
      </c>
      <c r="C3114" s="198">
        <f t="shared" si="129"/>
        <v>7.1822600000000003</v>
      </c>
      <c r="D3114" s="526" t="s">
        <v>3278</v>
      </c>
      <c r="E3114" s="526" t="s">
        <v>3950</v>
      </c>
      <c r="F3114" s="526" t="s">
        <v>3951</v>
      </c>
      <c r="G3114" s="526" t="s">
        <v>3952</v>
      </c>
      <c r="H3114" s="412">
        <v>199.57113000000001</v>
      </c>
      <c r="I3114" s="411">
        <v>7.1822600000000003</v>
      </c>
      <c r="J3114" s="411">
        <v>24.2668</v>
      </c>
      <c r="K3114" s="411">
        <v>2774.16185</v>
      </c>
      <c r="L3114" s="526" t="s">
        <v>555</v>
      </c>
    </row>
    <row r="3115" spans="1:12" ht="15" x14ac:dyDescent="0.25">
      <c r="A3115">
        <v>284589</v>
      </c>
      <c r="B3115" t="str">
        <f t="shared" si="128"/>
        <v>SEVROLL 50460 vedenie INTER S 35kg do stropu 1,5m</v>
      </c>
      <c r="C3115" s="198">
        <f t="shared" si="129"/>
        <v>7.9651100000000001</v>
      </c>
      <c r="D3115" s="526" t="s">
        <v>3279</v>
      </c>
      <c r="E3115" s="526" t="s">
        <v>5705</v>
      </c>
      <c r="F3115" s="526" t="s">
        <v>5706</v>
      </c>
      <c r="G3115" s="526" t="s">
        <v>5707</v>
      </c>
      <c r="H3115" s="412" t="e">
        <v>#N/A</v>
      </c>
      <c r="I3115" s="411">
        <v>7.9651100000000001</v>
      </c>
      <c r="J3115" s="411">
        <v>28.00179</v>
      </c>
      <c r="K3115" s="411">
        <v>2996.9047999999998</v>
      </c>
      <c r="L3115" s="526" t="e">
        <v>#N/A</v>
      </c>
    </row>
    <row r="3116" spans="1:12" ht="15" x14ac:dyDescent="0.25">
      <c r="A3116">
        <v>284590</v>
      </c>
      <c r="B3116" t="str">
        <f t="shared" si="128"/>
        <v>SEVROLL 50454 vedenie INTER B 35kg na stenu 1,5m</v>
      </c>
      <c r="C3116" s="198">
        <f t="shared" si="129"/>
        <v>7.9651100000000001</v>
      </c>
      <c r="D3116" s="526" t="s">
        <v>3280</v>
      </c>
      <c r="E3116" s="526" t="s">
        <v>5711</v>
      </c>
      <c r="F3116" s="526" t="s">
        <v>5712</v>
      </c>
      <c r="G3116" s="526" t="s">
        <v>5713</v>
      </c>
      <c r="H3116" s="412">
        <v>214.53075000000001</v>
      </c>
      <c r="I3116" s="411">
        <v>7.9651100000000001</v>
      </c>
      <c r="J3116" s="411">
        <v>28.00179</v>
      </c>
      <c r="K3116" s="411">
        <v>2996.9047999999998</v>
      </c>
      <c r="L3116" s="526" t="s">
        <v>555</v>
      </c>
    </row>
    <row r="3117" spans="1:12" ht="15" x14ac:dyDescent="0.25">
      <c r="A3117">
        <v>284592</v>
      </c>
      <c r="B3117" t="str">
        <f t="shared" si="128"/>
        <v>SEVROLL Rex úchytová lišta 2,7m oliva</v>
      </c>
      <c r="C3117" s="198" t="e">
        <f t="shared" si="129"/>
        <v>#N/A</v>
      </c>
      <c r="D3117" s="526" t="s">
        <v>3281</v>
      </c>
      <c r="E3117" s="526" t="s">
        <v>4750</v>
      </c>
      <c r="F3117" s="526" t="s">
        <v>1130</v>
      </c>
      <c r="G3117" s="526" t="s">
        <v>4751</v>
      </c>
      <c r="H3117" s="412" t="e">
        <v>#N/A</v>
      </c>
      <c r="I3117" s="411" t="e">
        <v>#N/A</v>
      </c>
      <c r="J3117" s="411" t="e">
        <v>#N/A</v>
      </c>
      <c r="K3117" s="411" t="e">
        <v>#N/A</v>
      </c>
      <c r="L3117" s="526" t="e">
        <v>#N/A</v>
      </c>
    </row>
    <row r="3118" spans="1:12" ht="15" x14ac:dyDescent="0.25">
      <c r="A3118">
        <v>284597</v>
      </c>
      <c r="B3118" t="str">
        <f t="shared" si="128"/>
        <v>SEVROLL Focus II 16mm úchytová lišta 2,7m zlatá</v>
      </c>
      <c r="C3118" s="198">
        <f t="shared" si="129"/>
        <v>10.527620000000001</v>
      </c>
      <c r="D3118" s="526" t="s">
        <v>3282</v>
      </c>
      <c r="E3118" s="526" t="s">
        <v>5266</v>
      </c>
      <c r="F3118" s="526" t="s">
        <v>1192</v>
      </c>
      <c r="G3118" s="526" t="s">
        <v>5267</v>
      </c>
      <c r="H3118" s="412">
        <v>291.49968000000001</v>
      </c>
      <c r="I3118" s="411">
        <v>10.527620000000001</v>
      </c>
      <c r="J3118" s="411">
        <v>35.869160000000001</v>
      </c>
      <c r="K3118" s="411">
        <v>4007.5961699999998</v>
      </c>
      <c r="L3118" s="526" t="s">
        <v>554</v>
      </c>
    </row>
    <row r="3119" spans="1:12" ht="15" x14ac:dyDescent="0.25">
      <c r="A3119">
        <v>284598</v>
      </c>
      <c r="B3119" t="str">
        <f t="shared" si="128"/>
        <v>SEVROLL 04573 Focus II 18mm úchytová lišta 2,7m zlatá</v>
      </c>
      <c r="C3119" s="198">
        <f t="shared" si="129"/>
        <v>10.527620000000001</v>
      </c>
      <c r="D3119" s="526" t="s">
        <v>3283</v>
      </c>
      <c r="E3119" s="526" t="s">
        <v>3933</v>
      </c>
      <c r="F3119" s="526" t="s">
        <v>3283</v>
      </c>
      <c r="G3119" s="526" t="s">
        <v>3934</v>
      </c>
      <c r="H3119" s="412">
        <v>291.49968000000001</v>
      </c>
      <c r="I3119" s="411">
        <v>10.527620000000001</v>
      </c>
      <c r="J3119" s="411">
        <v>35.869160000000001</v>
      </c>
      <c r="K3119" s="411">
        <v>4007.5961699999998</v>
      </c>
      <c r="L3119" s="526" t="s">
        <v>553</v>
      </c>
    </row>
    <row r="3120" spans="1:12" ht="15" x14ac:dyDescent="0.25">
      <c r="A3120">
        <v>284599</v>
      </c>
      <c r="B3120" t="str">
        <f t="shared" si="128"/>
        <v>SEVROLL Uno úchytová lišta 18mm 2,70m stieborná</v>
      </c>
      <c r="C3120" s="198">
        <f t="shared" si="129"/>
        <v>11.817769999999999</v>
      </c>
      <c r="D3120" s="526" t="s">
        <v>3284</v>
      </c>
      <c r="E3120" s="526" t="s">
        <v>4138</v>
      </c>
      <c r="F3120" s="526" t="s">
        <v>4139</v>
      </c>
      <c r="G3120" s="526" t="s">
        <v>4140</v>
      </c>
      <c r="H3120" s="412">
        <v>323.69150000000002</v>
      </c>
      <c r="I3120" s="411">
        <v>11.817769999999999</v>
      </c>
      <c r="J3120" s="411">
        <v>40.982089999999999</v>
      </c>
      <c r="K3120" s="411">
        <v>4590.5338499999998</v>
      </c>
      <c r="L3120" s="526" t="s">
        <v>554</v>
      </c>
    </row>
    <row r="3121" spans="1:12" ht="15" x14ac:dyDescent="0.25">
      <c r="A3121">
        <v>284600</v>
      </c>
      <c r="B3121" t="str">
        <f t="shared" si="128"/>
        <v>SEVROLL Uno úchytová lišta 18mm 2,70m oliva</v>
      </c>
      <c r="C3121" s="198">
        <f t="shared" si="129"/>
        <v>14.34647</v>
      </c>
      <c r="D3121" s="526" t="s">
        <v>3285</v>
      </c>
      <c r="E3121" s="526" t="s">
        <v>4234</v>
      </c>
      <c r="F3121" s="526" t="s">
        <v>1113</v>
      </c>
      <c r="G3121" s="526" t="s">
        <v>4235</v>
      </c>
      <c r="H3121" s="412">
        <v>392.95299999999997</v>
      </c>
      <c r="I3121" s="411">
        <v>14.34647</v>
      </c>
      <c r="J3121" s="411">
        <v>48.53633</v>
      </c>
      <c r="K3121" s="411">
        <v>5572.7880800000003</v>
      </c>
      <c r="L3121" s="526" t="s">
        <v>554</v>
      </c>
    </row>
    <row r="3122" spans="1:12" ht="15" x14ac:dyDescent="0.25">
      <c r="A3122">
        <v>284601</v>
      </c>
      <c r="B3122" t="str">
        <f t="shared" si="128"/>
        <v>SEVROLL horný vozík Simple(18mm)symetr.(L+P)</v>
      </c>
      <c r="C3122" s="198">
        <f t="shared" si="129"/>
        <v>2.16614</v>
      </c>
      <c r="D3122" s="526" t="s">
        <v>3286</v>
      </c>
      <c r="E3122" s="526" t="s">
        <v>6229</v>
      </c>
      <c r="F3122" s="526" t="s">
        <v>1262</v>
      </c>
      <c r="G3122" s="526" t="s">
        <v>6230</v>
      </c>
      <c r="H3122" s="412">
        <v>60.943179999999998</v>
      </c>
      <c r="I3122" s="411">
        <v>2.16614</v>
      </c>
      <c r="J3122" s="411">
        <v>7.5828699999999998</v>
      </c>
      <c r="K3122" s="411">
        <v>626.67796999999996</v>
      </c>
      <c r="L3122" s="526" t="s">
        <v>555</v>
      </c>
    </row>
    <row r="3123" spans="1:12" ht="15" x14ac:dyDescent="0.25">
      <c r="A3123">
        <v>284957</v>
      </c>
      <c r="B3123" t="str">
        <f t="shared" si="128"/>
        <v>SEVROLL Maxim vodiaca lišta 2,5m oliva</v>
      </c>
      <c r="C3123" s="198" t="e">
        <f t="shared" si="129"/>
        <v>#N/A</v>
      </c>
      <c r="D3123" s="526" t="s">
        <v>3287</v>
      </c>
      <c r="E3123" s="526" t="s">
        <v>4684</v>
      </c>
      <c r="F3123" s="526" t="s">
        <v>4685</v>
      </c>
      <c r="G3123" s="526" t="s">
        <v>4686</v>
      </c>
      <c r="H3123" s="412" t="e">
        <v>#N/A</v>
      </c>
      <c r="I3123" s="411" t="e">
        <v>#N/A</v>
      </c>
      <c r="J3123" s="411" t="e">
        <v>#N/A</v>
      </c>
      <c r="K3123" s="411" t="e">
        <v>#N/A</v>
      </c>
      <c r="L3123" s="526" t="e">
        <v>#N/A</v>
      </c>
    </row>
    <row r="3124" spans="1:12" ht="15" x14ac:dyDescent="0.25">
      <c r="A3124">
        <v>284958</v>
      </c>
      <c r="B3124" t="str">
        <f t="shared" si="128"/>
        <v>SEVROLL Maxim spodná krycí lišta 2,5m 18mm oliva</v>
      </c>
      <c r="C3124" s="198" t="e">
        <f t="shared" si="129"/>
        <v>#N/A</v>
      </c>
      <c r="D3124" s="526" t="s">
        <v>3288</v>
      </c>
      <c r="E3124" s="526" t="s">
        <v>4888</v>
      </c>
      <c r="F3124" s="526" t="s">
        <v>4889</v>
      </c>
      <c r="G3124" s="526" t="s">
        <v>4890</v>
      </c>
      <c r="H3124" s="412" t="e">
        <v>#N/A</v>
      </c>
      <c r="I3124" s="411" t="e">
        <v>#N/A</v>
      </c>
      <c r="J3124" s="411" t="e">
        <v>#N/A</v>
      </c>
      <c r="K3124" s="411" t="e">
        <v>#N/A</v>
      </c>
      <c r="L3124" s="526" t="e">
        <v>#N/A</v>
      </c>
    </row>
    <row r="3125" spans="1:12" ht="15" x14ac:dyDescent="0.25">
      <c r="A3125">
        <v>284970</v>
      </c>
      <c r="B3125" t="str">
        <f t="shared" si="128"/>
        <v>SEVROLL Maxim vodiaca lišta 3,5m oliva</v>
      </c>
      <c r="C3125" s="198" t="e">
        <f t="shared" si="129"/>
        <v>#N/A</v>
      </c>
      <c r="D3125" s="526" t="s">
        <v>3289</v>
      </c>
      <c r="E3125" s="526" t="s">
        <v>4891</v>
      </c>
      <c r="F3125" s="526" t="s">
        <v>4892</v>
      </c>
      <c r="G3125" s="526" t="s">
        <v>4893</v>
      </c>
      <c r="H3125" s="412" t="e">
        <v>#N/A</v>
      </c>
      <c r="I3125" s="411" t="e">
        <v>#N/A</v>
      </c>
      <c r="J3125" s="411" t="e">
        <v>#N/A</v>
      </c>
      <c r="K3125" s="411" t="e">
        <v>#N/A</v>
      </c>
      <c r="L3125" s="526" t="e">
        <v>#N/A</v>
      </c>
    </row>
    <row r="3126" spans="1:12" ht="15" x14ac:dyDescent="0.25">
      <c r="A3126">
        <v>284971</v>
      </c>
      <c r="B3126" t="str">
        <f t="shared" si="128"/>
        <v>SEVROLL Maxim spodná krycia lišta 3,5m 18mm oliva</v>
      </c>
      <c r="C3126" s="198" t="e">
        <f t="shared" si="129"/>
        <v>#N/A</v>
      </c>
      <c r="D3126" s="526" t="s">
        <v>3290</v>
      </c>
      <c r="E3126" s="526" t="s">
        <v>5013</v>
      </c>
      <c r="F3126" s="526" t="s">
        <v>5014</v>
      </c>
      <c r="G3126" s="526" t="s">
        <v>5015</v>
      </c>
      <c r="H3126" s="412" t="e">
        <v>#N/A</v>
      </c>
      <c r="I3126" s="411" t="e">
        <v>#N/A</v>
      </c>
      <c r="J3126" s="411" t="e">
        <v>#N/A</v>
      </c>
      <c r="K3126" s="411" t="e">
        <v>#N/A</v>
      </c>
      <c r="L3126" s="526" t="e">
        <v>#N/A</v>
      </c>
    </row>
    <row r="3127" spans="1:12" ht="15" x14ac:dyDescent="0.25">
      <c r="A3127">
        <v>284972</v>
      </c>
      <c r="B3127" t="str">
        <f t="shared" si="128"/>
        <v>SEVROLL Maxim horné vedenie 2,5m oliva</v>
      </c>
      <c r="C3127" s="198" t="e">
        <f t="shared" si="129"/>
        <v>#N/A</v>
      </c>
      <c r="D3127" s="526" t="s">
        <v>3291</v>
      </c>
      <c r="E3127" s="526" t="s">
        <v>4869</v>
      </c>
      <c r="F3127" s="526" t="s">
        <v>1158</v>
      </c>
      <c r="G3127" s="526" t="s">
        <v>4870</v>
      </c>
      <c r="H3127" s="412" t="e">
        <v>#N/A</v>
      </c>
      <c r="I3127" s="411" t="e">
        <v>#N/A</v>
      </c>
      <c r="J3127" s="411" t="e">
        <v>#N/A</v>
      </c>
      <c r="K3127" s="411" t="e">
        <v>#N/A</v>
      </c>
      <c r="L3127" s="526" t="e">
        <v>#N/A</v>
      </c>
    </row>
    <row r="3128" spans="1:12" ht="15" x14ac:dyDescent="0.25">
      <c r="A3128">
        <v>284973</v>
      </c>
      <c r="B3128" t="str">
        <f t="shared" ref="B3128:B3191" si="130">IF($A$2=1,D3128,IF($A$2=2,F3128,IF($A$2=3,G3128,IF($A$2=4,E3128,"zadat jazyk"))))</f>
        <v>SEVROLL Maxim horné vedenie 3,5m oliva</v>
      </c>
      <c r="C3128" s="198" t="e">
        <f t="shared" ref="C3128:C3191" si="131">IF($A$2=1,H3128,IF($A$2=2,I3128,IF($A$2=3,J3128,IF($A$2=4,K3128,"zadat jazyk"))))</f>
        <v>#N/A</v>
      </c>
      <c r="D3128" s="526" t="s">
        <v>3292</v>
      </c>
      <c r="E3128" s="526" t="s">
        <v>4998</v>
      </c>
      <c r="F3128" s="526" t="s">
        <v>1157</v>
      </c>
      <c r="G3128" s="526" t="s">
        <v>4999</v>
      </c>
      <c r="H3128" s="412" t="e">
        <v>#N/A</v>
      </c>
      <c r="I3128" s="411" t="e">
        <v>#N/A</v>
      </c>
      <c r="J3128" s="411" t="e">
        <v>#N/A</v>
      </c>
      <c r="K3128" s="411" t="e">
        <v>#N/A</v>
      </c>
      <c r="L3128" s="526" t="e">
        <v>#N/A</v>
      </c>
    </row>
    <row r="3129" spans="1:12" ht="15" x14ac:dyDescent="0.25">
      <c r="A3129">
        <v>284974</v>
      </c>
      <c r="B3129" t="str">
        <f t="shared" si="130"/>
        <v>SEVROLL Maxim II spodné vedenie 2,5m oliva</v>
      </c>
      <c r="C3129" s="198" t="e">
        <f t="shared" si="131"/>
        <v>#N/A</v>
      </c>
      <c r="D3129" s="526" t="s">
        <v>3293</v>
      </c>
      <c r="E3129" s="526" t="s">
        <v>4501</v>
      </c>
      <c r="F3129" s="526" t="s">
        <v>1154</v>
      </c>
      <c r="G3129" s="526" t="s">
        <v>4502</v>
      </c>
      <c r="H3129" s="412" t="e">
        <v>#N/A</v>
      </c>
      <c r="I3129" s="411" t="e">
        <v>#N/A</v>
      </c>
      <c r="J3129" s="411" t="e">
        <v>#N/A</v>
      </c>
      <c r="K3129" s="411" t="e">
        <v>#N/A</v>
      </c>
      <c r="L3129" s="526" t="e">
        <v>#N/A</v>
      </c>
    </row>
    <row r="3130" spans="1:12" ht="15" x14ac:dyDescent="0.25">
      <c r="A3130">
        <v>284975</v>
      </c>
      <c r="B3130" t="str">
        <f t="shared" si="130"/>
        <v>SEVROLL Maxim II spodné vedenie 3,5m oliva</v>
      </c>
      <c r="C3130" s="198" t="e">
        <f t="shared" si="131"/>
        <v>#N/A</v>
      </c>
      <c r="D3130" s="526" t="s">
        <v>3294</v>
      </c>
      <c r="E3130" s="526" t="s">
        <v>4752</v>
      </c>
      <c r="F3130" s="526" t="s">
        <v>1153</v>
      </c>
      <c r="G3130" s="526" t="s">
        <v>4753</v>
      </c>
      <c r="H3130" s="412" t="e">
        <v>#N/A</v>
      </c>
      <c r="I3130" s="411" t="e">
        <v>#N/A</v>
      </c>
      <c r="J3130" s="411" t="e">
        <v>#N/A</v>
      </c>
      <c r="K3130" s="411" t="e">
        <v>#N/A</v>
      </c>
      <c r="L3130" s="526" t="e">
        <v>#N/A</v>
      </c>
    </row>
    <row r="3131" spans="1:12" ht="15" x14ac:dyDescent="0.25">
      <c r="A3131">
        <v>284976</v>
      </c>
      <c r="B3131" t="str">
        <f t="shared" si="130"/>
        <v>SEVROLL 02997 Maxim II maska 2,5m oliva</v>
      </c>
      <c r="C3131" s="198" t="e">
        <f t="shared" si="131"/>
        <v>#N/A</v>
      </c>
      <c r="D3131" s="526" t="s">
        <v>3295</v>
      </c>
      <c r="E3131" s="526" t="s">
        <v>3975</v>
      </c>
      <c r="F3131" s="526" t="s">
        <v>3295</v>
      </c>
      <c r="G3131" s="526" t="s">
        <v>3976</v>
      </c>
      <c r="H3131" s="412" t="e">
        <v>#N/A</v>
      </c>
      <c r="I3131" s="411" t="e">
        <v>#N/A</v>
      </c>
      <c r="J3131" s="411" t="e">
        <v>#N/A</v>
      </c>
      <c r="K3131" s="411" t="e">
        <v>#N/A</v>
      </c>
      <c r="L3131" s="526" t="e">
        <v>#N/A</v>
      </c>
    </row>
    <row r="3132" spans="1:12" ht="15" x14ac:dyDescent="0.25">
      <c r="A3132">
        <v>284977</v>
      </c>
      <c r="B3132" t="str">
        <f t="shared" si="130"/>
        <v>SEVROLL 02998 Maxim II maska 3,5m oliva</v>
      </c>
      <c r="C3132" s="198" t="e">
        <f t="shared" si="131"/>
        <v>#N/A</v>
      </c>
      <c r="D3132" s="526" t="s">
        <v>3296</v>
      </c>
      <c r="E3132" s="526" t="s">
        <v>4220</v>
      </c>
      <c r="F3132" s="526" t="s">
        <v>3296</v>
      </c>
      <c r="G3132" s="526" t="s">
        <v>4221</v>
      </c>
      <c r="H3132" s="412" t="e">
        <v>#N/A</v>
      </c>
      <c r="I3132" s="411" t="e">
        <v>#N/A</v>
      </c>
      <c r="J3132" s="411" t="e">
        <v>#N/A</v>
      </c>
      <c r="K3132" s="411" t="e">
        <v>#N/A</v>
      </c>
      <c r="L3132" s="526" t="e">
        <v>#N/A</v>
      </c>
    </row>
    <row r="3133" spans="1:12" ht="15" x14ac:dyDescent="0.25">
      <c r="A3133">
        <v>288125</v>
      </c>
      <c r="B3133" t="str">
        <f t="shared" si="130"/>
        <v>SEVROLL 20329 Pax nalepovacia úchytka biela lesk</v>
      </c>
      <c r="C3133" s="198">
        <f t="shared" si="131"/>
        <v>7.9473200000000004</v>
      </c>
      <c r="D3133" s="526" t="s">
        <v>3297</v>
      </c>
      <c r="E3133" s="526" t="s">
        <v>4111</v>
      </c>
      <c r="F3133" s="526" t="s">
        <v>4112</v>
      </c>
      <c r="G3133" s="526" t="s">
        <v>4113</v>
      </c>
      <c r="H3133" s="412">
        <v>220.05368000000001</v>
      </c>
      <c r="I3133" s="411">
        <v>7.9473200000000004</v>
      </c>
      <c r="J3133" s="411">
        <v>31.518000000000001</v>
      </c>
      <c r="K3133" s="411">
        <v>3025.3421699999999</v>
      </c>
      <c r="L3133" s="526" t="s">
        <v>553</v>
      </c>
    </row>
    <row r="3134" spans="1:12" ht="15" x14ac:dyDescent="0.25">
      <c r="A3134">
        <v>288126</v>
      </c>
      <c r="B3134" t="str">
        <f t="shared" si="130"/>
        <v>SEVROLL 20328 Pax nalepovacia úchytka strieborná</v>
      </c>
      <c r="C3134" s="198">
        <f t="shared" si="131"/>
        <v>6.11531</v>
      </c>
      <c r="D3134" s="526" t="s">
        <v>3298</v>
      </c>
      <c r="E3134" s="526" t="s">
        <v>3969</v>
      </c>
      <c r="F3134" s="526" t="s">
        <v>3970</v>
      </c>
      <c r="G3134" s="526" t="s">
        <v>3971</v>
      </c>
      <c r="H3134" s="412">
        <v>169.32702</v>
      </c>
      <c r="I3134" s="411">
        <v>6.11531</v>
      </c>
      <c r="J3134" s="411">
        <v>24.255600000000001</v>
      </c>
      <c r="K3134" s="411">
        <v>2327.9421299999999</v>
      </c>
      <c r="L3134" s="526" t="s">
        <v>553</v>
      </c>
    </row>
    <row r="3135" spans="1:12" ht="15" x14ac:dyDescent="0.25">
      <c r="A3135">
        <v>288252</v>
      </c>
      <c r="B3135" t="str">
        <f t="shared" si="130"/>
        <v>SEVROLL 05305 Alfa II úchytová lišta 18mm 2,7m čierna mat</v>
      </c>
      <c r="C3135" s="198">
        <f t="shared" si="131"/>
        <v>16.302330000000001</v>
      </c>
      <c r="D3135" s="526" t="s">
        <v>1568</v>
      </c>
      <c r="E3135" s="526" t="s">
        <v>1996</v>
      </c>
      <c r="F3135" s="526" t="s">
        <v>6083</v>
      </c>
      <c r="G3135" s="526" t="s">
        <v>2505</v>
      </c>
      <c r="H3135" s="412">
        <v>451.39582999999999</v>
      </c>
      <c r="I3135" s="411">
        <v>16.302330000000001</v>
      </c>
      <c r="J3135" s="411">
        <v>66.463200000000001</v>
      </c>
      <c r="K3135" s="411">
        <v>6205.8809199999996</v>
      </c>
      <c r="L3135" s="526" t="s">
        <v>553</v>
      </c>
    </row>
    <row r="3136" spans="1:12" ht="15" x14ac:dyDescent="0.25">
      <c r="A3136">
        <v>288675</v>
      </c>
      <c r="B3136" t="str">
        <f t="shared" si="130"/>
        <v>SEVROLL Linea šatná tyč oválná 3m strieborná</v>
      </c>
      <c r="C3136" s="198">
        <f t="shared" si="131"/>
        <v>14.475479999999999</v>
      </c>
      <c r="D3136" s="526" t="s">
        <v>1569</v>
      </c>
      <c r="E3136" s="526" t="s">
        <v>1997</v>
      </c>
      <c r="F3136" s="526" t="s">
        <v>2208</v>
      </c>
      <c r="G3136" s="526" t="s">
        <v>2506</v>
      </c>
      <c r="H3136" s="412">
        <v>400.81205999999997</v>
      </c>
      <c r="I3136" s="411">
        <v>14.475479999999999</v>
      </c>
      <c r="J3136" s="411">
        <v>50.887799999999999</v>
      </c>
      <c r="K3136" s="411">
        <v>5510.4450100000004</v>
      </c>
      <c r="L3136" s="526" t="s">
        <v>554</v>
      </c>
    </row>
    <row r="3137" spans="1:12" ht="15" x14ac:dyDescent="0.25">
      <c r="A3137">
        <v>288676</v>
      </c>
      <c r="B3137" t="str">
        <f t="shared" si="130"/>
        <v>SEVROLL Linea spojovací element rohový</v>
      </c>
      <c r="C3137" s="198">
        <f t="shared" si="131"/>
        <v>1.2901499999999999</v>
      </c>
      <c r="D3137" s="526" t="s">
        <v>3299</v>
      </c>
      <c r="E3137" s="526" t="s">
        <v>1998</v>
      </c>
      <c r="F3137" s="526" t="s">
        <v>1570</v>
      </c>
      <c r="G3137" s="526" t="s">
        <v>2507</v>
      </c>
      <c r="H3137" s="412">
        <v>35.722999999999999</v>
      </c>
      <c r="I3137" s="411">
        <v>1.2901499999999999</v>
      </c>
      <c r="J3137" s="411">
        <v>4.5084</v>
      </c>
      <c r="K3137" s="411">
        <v>491.12700000000001</v>
      </c>
      <c r="L3137" s="526" t="s">
        <v>554</v>
      </c>
    </row>
    <row r="3138" spans="1:12" ht="15" x14ac:dyDescent="0.25">
      <c r="A3138">
        <v>288677</v>
      </c>
      <c r="B3138" t="str">
        <f t="shared" si="130"/>
        <v>SEVROLL Linea upevňovací element stenový</v>
      </c>
      <c r="C3138" s="198">
        <f t="shared" si="131"/>
        <v>1.1095299999999999</v>
      </c>
      <c r="D3138" s="526" t="s">
        <v>1571</v>
      </c>
      <c r="E3138" s="526" t="s">
        <v>1999</v>
      </c>
      <c r="F3138" s="526" t="s">
        <v>2209</v>
      </c>
      <c r="G3138" s="526" t="s">
        <v>2508</v>
      </c>
      <c r="H3138" s="412">
        <v>30.721779999999999</v>
      </c>
      <c r="I3138" s="411">
        <v>1.1095299999999999</v>
      </c>
      <c r="J3138" s="411">
        <v>3.9066000000000001</v>
      </c>
      <c r="K3138" s="411">
        <v>422.36907000000002</v>
      </c>
      <c r="L3138" s="526" t="s">
        <v>554</v>
      </c>
    </row>
    <row r="3139" spans="1:12" ht="15" x14ac:dyDescent="0.25">
      <c r="A3139">
        <v>288678</v>
      </c>
      <c r="B3139" t="str">
        <f t="shared" si="130"/>
        <v>SEVROLL Linea nožka s regulaciou</v>
      </c>
      <c r="C3139" s="198">
        <f t="shared" si="131"/>
        <v>2.83833</v>
      </c>
      <c r="D3139" s="526" t="s">
        <v>1572</v>
      </c>
      <c r="E3139" s="526" t="s">
        <v>2000</v>
      </c>
      <c r="F3139" s="526" t="s">
        <v>2210</v>
      </c>
      <c r="G3139" s="526" t="s">
        <v>2509</v>
      </c>
      <c r="H3139" s="412">
        <v>78.590599999999995</v>
      </c>
      <c r="I3139" s="411">
        <v>2.83833</v>
      </c>
      <c r="J3139" s="411">
        <v>9.9857999999999993</v>
      </c>
      <c r="K3139" s="411">
        <v>1080.4793999999999</v>
      </c>
      <c r="L3139" s="526" t="s">
        <v>554</v>
      </c>
    </row>
    <row r="3140" spans="1:12" ht="15" x14ac:dyDescent="0.25">
      <c r="A3140">
        <v>288679</v>
      </c>
      <c r="B3140" t="str">
        <f t="shared" si="130"/>
        <v>SEVROLL Linea šatná tyč guľatá 3m strieborná</v>
      </c>
      <c r="C3140" s="198">
        <f t="shared" si="131"/>
        <v>9.3664900000000006</v>
      </c>
      <c r="D3140" s="526" t="s">
        <v>1573</v>
      </c>
      <c r="E3140" s="526" t="s">
        <v>2001</v>
      </c>
      <c r="F3140" s="526" t="s">
        <v>2211</v>
      </c>
      <c r="G3140" s="526" t="s">
        <v>2510</v>
      </c>
      <c r="H3140" s="412">
        <v>259.34897999999998</v>
      </c>
      <c r="I3140" s="411">
        <v>9.3664900000000006</v>
      </c>
      <c r="J3140" s="411">
        <v>31.6313</v>
      </c>
      <c r="K3140" s="411">
        <v>3565.58187</v>
      </c>
      <c r="L3140" s="526" t="s">
        <v>554</v>
      </c>
    </row>
    <row r="3141" spans="1:12" ht="15" x14ac:dyDescent="0.25">
      <c r="A3141">
        <v>288680</v>
      </c>
      <c r="B3141" t="str">
        <f t="shared" si="130"/>
        <v>SEVROLL Linea šatná tyč guľatá 4m strieborná</v>
      </c>
      <c r="C3141" s="198">
        <f t="shared" si="131"/>
        <v>0</v>
      </c>
      <c r="D3141" s="526" t="s">
        <v>1574</v>
      </c>
      <c r="E3141" s="526" t="s">
        <v>2002</v>
      </c>
      <c r="F3141" s="526" t="s">
        <v>2212</v>
      </c>
      <c r="G3141" s="526" t="s">
        <v>2511</v>
      </c>
      <c r="H3141" s="412">
        <v>0</v>
      </c>
      <c r="I3141" s="411">
        <v>0</v>
      </c>
      <c r="J3141" s="411">
        <v>0</v>
      </c>
      <c r="K3141" s="411">
        <v>0</v>
      </c>
      <c r="L3141" s="526" t="s">
        <v>555</v>
      </c>
    </row>
    <row r="3142" spans="1:12" ht="15" x14ac:dyDescent="0.25">
      <c r="A3142">
        <v>288681</v>
      </c>
      <c r="B3142" t="str">
        <f t="shared" si="130"/>
        <v>SEVROLL Linea základný nosník 3m strieborná</v>
      </c>
      <c r="C3142" s="198">
        <f t="shared" si="131"/>
        <v>33.853540000000002</v>
      </c>
      <c r="D3142" s="526" t="s">
        <v>1575</v>
      </c>
      <c r="E3142" s="526" t="s">
        <v>2003</v>
      </c>
      <c r="F3142" s="526" t="s">
        <v>2213</v>
      </c>
      <c r="G3142" s="526" t="s">
        <v>6084</v>
      </c>
      <c r="H3142" s="412">
        <v>937.37152000000003</v>
      </c>
      <c r="I3142" s="411">
        <v>33.853540000000002</v>
      </c>
      <c r="J3142" s="411">
        <v>114.28879999999999</v>
      </c>
      <c r="K3142" s="411">
        <v>12887.172629999999</v>
      </c>
      <c r="L3142" s="526" t="s">
        <v>554</v>
      </c>
    </row>
    <row r="3143" spans="1:12" ht="15" x14ac:dyDescent="0.25">
      <c r="A3143">
        <v>288682</v>
      </c>
      <c r="B3143" t="str">
        <f t="shared" si="130"/>
        <v>SEVROLL Linea držiak oválnej tyče do nosníku</v>
      </c>
      <c r="C3143" s="198">
        <f t="shared" si="131"/>
        <v>1.49657</v>
      </c>
      <c r="D3143" s="526" t="s">
        <v>1576</v>
      </c>
      <c r="E3143" s="526" t="s">
        <v>2004</v>
      </c>
      <c r="F3143" s="526" t="s">
        <v>2214</v>
      </c>
      <c r="G3143" s="526" t="s">
        <v>2512</v>
      </c>
      <c r="H3143" s="412">
        <v>41.438679999999998</v>
      </c>
      <c r="I3143" s="411">
        <v>1.49657</v>
      </c>
      <c r="J3143" s="411">
        <v>5.0881999999999996</v>
      </c>
      <c r="K3143" s="411">
        <v>569.70717000000002</v>
      </c>
      <c r="L3143" s="526" t="s">
        <v>554</v>
      </c>
    </row>
    <row r="3144" spans="1:12" ht="15" x14ac:dyDescent="0.25">
      <c r="A3144">
        <v>288683</v>
      </c>
      <c r="B3144" t="str">
        <f t="shared" si="130"/>
        <v>SEVROLL Linea držiak police</v>
      </c>
      <c r="C3144" s="198">
        <f t="shared" si="131"/>
        <v>2.76092</v>
      </c>
      <c r="D3144" s="526" t="s">
        <v>1577</v>
      </c>
      <c r="E3144" s="526" t="s">
        <v>2005</v>
      </c>
      <c r="F3144" s="526" t="s">
        <v>2215</v>
      </c>
      <c r="G3144" s="526" t="s">
        <v>2513</v>
      </c>
      <c r="H3144" s="412">
        <v>76.447220000000002</v>
      </c>
      <c r="I3144" s="411">
        <v>2.76092</v>
      </c>
      <c r="J3144" s="411">
        <v>9.3729999999999993</v>
      </c>
      <c r="K3144" s="411">
        <v>1051.0119299999999</v>
      </c>
      <c r="L3144" s="526" t="s">
        <v>554</v>
      </c>
    </row>
    <row r="3145" spans="1:12" ht="15" x14ac:dyDescent="0.25">
      <c r="A3145">
        <v>288684</v>
      </c>
      <c r="B3145" t="str">
        <f t="shared" si="130"/>
        <v>SEVROLL Linea držák police na boty</v>
      </c>
      <c r="C3145" s="198">
        <f t="shared" si="131"/>
        <v>3.4060000000000001</v>
      </c>
      <c r="D3145" s="526" t="s">
        <v>1578</v>
      </c>
      <c r="E3145" s="526" t="s">
        <v>2006</v>
      </c>
      <c r="F3145" s="526" t="s">
        <v>2216</v>
      </c>
      <c r="G3145" s="526" t="s">
        <v>2514</v>
      </c>
      <c r="H3145" s="412">
        <v>94.308719999999994</v>
      </c>
      <c r="I3145" s="411">
        <v>3.4060000000000001</v>
      </c>
      <c r="J3145" s="411">
        <v>11.536</v>
      </c>
      <c r="K3145" s="411">
        <v>1296.5754300000001</v>
      </c>
      <c r="L3145" s="526" t="s">
        <v>554</v>
      </c>
    </row>
    <row r="3146" spans="1:12" ht="15" x14ac:dyDescent="0.25">
      <c r="A3146">
        <v>288685</v>
      </c>
      <c r="B3146" t="str">
        <f t="shared" si="130"/>
        <v>SEVROLL Linea záslepka kulaté šatní tyče</v>
      </c>
      <c r="C3146" s="198">
        <f t="shared" si="131"/>
        <v>0.33544000000000002</v>
      </c>
      <c r="D3146" s="526" t="s">
        <v>1579</v>
      </c>
      <c r="E3146" s="526" t="s">
        <v>2007</v>
      </c>
      <c r="F3146" s="526" t="s">
        <v>2217</v>
      </c>
      <c r="G3146" s="526" t="s">
        <v>2515</v>
      </c>
      <c r="H3146" s="412">
        <v>9.85595</v>
      </c>
      <c r="I3146" s="411">
        <v>0.33544000000000002</v>
      </c>
      <c r="J3146" s="411">
        <v>1.1832</v>
      </c>
      <c r="K3146" s="411">
        <v>130.29884999999999</v>
      </c>
      <c r="L3146" s="526" t="s">
        <v>554</v>
      </c>
    </row>
    <row r="3147" spans="1:12" ht="15" x14ac:dyDescent="0.25">
      <c r="A3147">
        <v>288686</v>
      </c>
      <c r="B3147" t="str">
        <f t="shared" si="130"/>
        <v>SEVROLL Linea záslepka nosníku</v>
      </c>
      <c r="C3147" s="198">
        <f t="shared" si="131"/>
        <v>1.3417600000000001</v>
      </c>
      <c r="D3147" s="526" t="s">
        <v>1580</v>
      </c>
      <c r="E3147" s="526" t="s">
        <v>2008</v>
      </c>
      <c r="F3147" s="526" t="s">
        <v>2218</v>
      </c>
      <c r="G3147" s="526" t="s">
        <v>6085</v>
      </c>
      <c r="H3147" s="412">
        <v>39.4238</v>
      </c>
      <c r="I3147" s="411">
        <v>1.3417600000000001</v>
      </c>
      <c r="J3147" s="411">
        <v>4.6104000000000003</v>
      </c>
      <c r="K3147" s="411">
        <v>521.19614999999999</v>
      </c>
      <c r="L3147" s="526" t="s">
        <v>554</v>
      </c>
    </row>
    <row r="3148" spans="1:12" ht="15" x14ac:dyDescent="0.25">
      <c r="A3148">
        <v>288687</v>
      </c>
      <c r="B3148" t="str">
        <f t="shared" si="130"/>
        <v>SEVROLL Linea sada 8 ks upevňovacích uholníkov</v>
      </c>
      <c r="C3148" s="198">
        <f t="shared" si="131"/>
        <v>19.971520000000002</v>
      </c>
      <c r="D3148" s="526" t="s">
        <v>1581</v>
      </c>
      <c r="E3148" s="526" t="s">
        <v>2009</v>
      </c>
      <c r="F3148" s="526" t="s">
        <v>2219</v>
      </c>
      <c r="G3148" s="526" t="s">
        <v>6086</v>
      </c>
      <c r="H3148" s="412">
        <v>552.99203999999997</v>
      </c>
      <c r="I3148" s="411">
        <v>19.971520000000002</v>
      </c>
      <c r="J3148" s="411">
        <v>67.776200000000003</v>
      </c>
      <c r="K3148" s="411">
        <v>7602.6458899999998</v>
      </c>
      <c r="L3148" s="526" t="s">
        <v>554</v>
      </c>
    </row>
    <row r="3149" spans="1:12" ht="15" x14ac:dyDescent="0.25">
      <c r="A3149">
        <v>288822</v>
      </c>
      <c r="B3149" t="str">
        <f t="shared" si="130"/>
        <v>SEVROLL tlumič dorazu Top SV60 - 2ks</v>
      </c>
      <c r="C3149" s="198">
        <f t="shared" si="131"/>
        <v>50.599679999999999</v>
      </c>
      <c r="D3149" s="526" t="s">
        <v>3300</v>
      </c>
      <c r="E3149" s="526" t="s">
        <v>5043</v>
      </c>
      <c r="F3149" s="526" t="s">
        <v>1119</v>
      </c>
      <c r="G3149" s="526" t="s">
        <v>5044</v>
      </c>
      <c r="H3149" s="412">
        <v>1486.73215</v>
      </c>
      <c r="I3149" s="411">
        <v>50.599679999999999</v>
      </c>
      <c r="J3149" s="411">
        <v>170.82550000000001</v>
      </c>
      <c r="K3149" s="411">
        <v>19655.103080000001</v>
      </c>
      <c r="L3149" s="526" t="s">
        <v>554</v>
      </c>
    </row>
    <row r="3150" spans="1:12" ht="15" x14ac:dyDescent="0.25">
      <c r="A3150">
        <v>289095</v>
      </c>
      <c r="B3150" t="str">
        <f t="shared" si="130"/>
        <v>SEVROLL Porto úchytová lišta 2,7m strieborn</v>
      </c>
      <c r="C3150" s="198" t="e">
        <f t="shared" si="131"/>
        <v>#N/A</v>
      </c>
      <c r="D3150" s="526" t="s">
        <v>3301</v>
      </c>
      <c r="E3150" s="526" t="s">
        <v>4647</v>
      </c>
      <c r="F3150" s="526" t="s">
        <v>1138</v>
      </c>
      <c r="G3150" s="526" t="s">
        <v>4648</v>
      </c>
      <c r="H3150" s="412" t="e">
        <v>#N/A</v>
      </c>
      <c r="I3150" s="411" t="e">
        <v>#N/A</v>
      </c>
      <c r="J3150" s="411" t="e">
        <v>#N/A</v>
      </c>
      <c r="K3150" s="411" t="e">
        <v>#N/A</v>
      </c>
      <c r="L3150" s="526" t="e">
        <v>#N/A</v>
      </c>
    </row>
    <row r="3151" spans="1:12" ht="15" x14ac:dyDescent="0.25">
      <c r="A3151">
        <v>291822</v>
      </c>
      <c r="B3151" t="str">
        <f t="shared" si="130"/>
        <v>SEVROLL 40373 reklamná šablóna pre vozíky pre lamino 18mm</v>
      </c>
      <c r="C3151" s="198">
        <f t="shared" si="131"/>
        <v>0</v>
      </c>
      <c r="D3151" s="526" t="s">
        <v>3302</v>
      </c>
      <c r="E3151" s="526" t="s">
        <v>1839</v>
      </c>
      <c r="F3151" s="526" t="s">
        <v>5738</v>
      </c>
      <c r="G3151" s="526" t="s">
        <v>2405</v>
      </c>
      <c r="H3151" s="412">
        <v>0</v>
      </c>
      <c r="I3151" s="411">
        <v>0</v>
      </c>
      <c r="J3151" s="411">
        <v>0</v>
      </c>
      <c r="K3151" s="411">
        <v>0</v>
      </c>
      <c r="L3151" s="526" t="s">
        <v>555</v>
      </c>
    </row>
    <row r="3152" spans="1:12" ht="15" x14ac:dyDescent="0.25">
      <c r="A3152">
        <v>293776</v>
      </c>
      <c r="B3152" t="str">
        <f t="shared" si="130"/>
        <v>SEVROLL tlmič doraz.Simple 10/18, 25 - 40kg (L+P)</v>
      </c>
      <c r="C3152" s="198">
        <f t="shared" si="131"/>
        <v>24.48705</v>
      </c>
      <c r="D3152" s="526" t="s">
        <v>3303</v>
      </c>
      <c r="E3152" s="526" t="s">
        <v>4681</v>
      </c>
      <c r="F3152" s="526" t="s">
        <v>4682</v>
      </c>
      <c r="G3152" s="526" t="s">
        <v>4683</v>
      </c>
      <c r="H3152" s="412">
        <v>719.48434999999995</v>
      </c>
      <c r="I3152" s="411">
        <v>24.48705</v>
      </c>
      <c r="J3152" s="411">
        <v>109.51739999999999</v>
      </c>
      <c r="K3152" s="411">
        <v>9511.8269299999993</v>
      </c>
      <c r="L3152" s="526" t="s">
        <v>554</v>
      </c>
    </row>
    <row r="3153" spans="1:12" ht="15" x14ac:dyDescent="0.25">
      <c r="A3153">
        <v>298035</v>
      </c>
      <c r="B3153" t="str">
        <f t="shared" si="130"/>
        <v>SEVROLL 20326 Fix pozicionér pre horný vozík transparentný</v>
      </c>
      <c r="C3153" s="198">
        <f t="shared" si="131"/>
        <v>1.0837300000000001</v>
      </c>
      <c r="D3153" s="526" t="s">
        <v>3304</v>
      </c>
      <c r="E3153" s="526" t="s">
        <v>6231</v>
      </c>
      <c r="F3153" s="526" t="s">
        <v>6232</v>
      </c>
      <c r="G3153" s="526" t="s">
        <v>6233</v>
      </c>
      <c r="H3153" s="412">
        <v>31.842300000000002</v>
      </c>
      <c r="I3153" s="411">
        <v>1.0837300000000001</v>
      </c>
      <c r="J3153" s="411">
        <v>3.6623999999999999</v>
      </c>
      <c r="K3153" s="411">
        <v>420.96615000000003</v>
      </c>
      <c r="L3153" s="526" t="s">
        <v>710</v>
      </c>
    </row>
    <row r="3154" spans="1:12" ht="15" x14ac:dyDescent="0.25">
      <c r="A3154">
        <v>298399</v>
      </c>
      <c r="B3154" t="str">
        <f t="shared" si="130"/>
        <v>SEVROLL 02455 uholník 18x36mm 3m strieborná</v>
      </c>
      <c r="C3154" s="198">
        <f t="shared" si="131"/>
        <v>10.656639999999999</v>
      </c>
      <c r="D3154" s="526" t="s">
        <v>3305</v>
      </c>
      <c r="E3154" s="526" t="s">
        <v>4195</v>
      </c>
      <c r="F3154" s="526" t="s">
        <v>4196</v>
      </c>
      <c r="G3154" s="526" t="s">
        <v>4197</v>
      </c>
      <c r="H3154" s="412">
        <v>295.07198</v>
      </c>
      <c r="I3154" s="411">
        <v>10.656639999999999</v>
      </c>
      <c r="J3154" s="411">
        <v>39.565800000000003</v>
      </c>
      <c r="K3154" s="411">
        <v>4056.7088699999999</v>
      </c>
      <c r="L3154" s="526" t="s">
        <v>553</v>
      </c>
    </row>
    <row r="3155" spans="1:12" ht="15" x14ac:dyDescent="0.25">
      <c r="A3155">
        <v>299757</v>
      </c>
      <c r="B3155" t="str">
        <f t="shared" si="130"/>
        <v>SEVROLL Idea horné/spodné vedenie 2m strieborná</v>
      </c>
      <c r="C3155" s="198">
        <f t="shared" si="131"/>
        <v>15.068949999999999</v>
      </c>
      <c r="D3155" s="526" t="s">
        <v>3306</v>
      </c>
      <c r="E3155" s="526" t="s">
        <v>4357</v>
      </c>
      <c r="F3155" s="526" t="s">
        <v>4358</v>
      </c>
      <c r="G3155" s="526" t="s">
        <v>4359</v>
      </c>
      <c r="H3155" s="412">
        <v>417.24464</v>
      </c>
      <c r="I3155" s="411">
        <v>15.068949999999999</v>
      </c>
      <c r="J3155" s="411">
        <v>52.1526</v>
      </c>
      <c r="K3155" s="411">
        <v>5736.3632900000002</v>
      </c>
      <c r="L3155" s="526" t="s">
        <v>554</v>
      </c>
    </row>
    <row r="3156" spans="1:12" ht="15" x14ac:dyDescent="0.25">
      <c r="A3156">
        <v>299758</v>
      </c>
      <c r="B3156" t="str">
        <f t="shared" si="130"/>
        <v>SEVROLL Idea horné/spodné vedenie 3m strieborná</v>
      </c>
      <c r="C3156" s="198">
        <f t="shared" si="131"/>
        <v>22.242190000000001</v>
      </c>
      <c r="D3156" s="526" t="s">
        <v>3307</v>
      </c>
      <c r="E3156" s="526" t="s">
        <v>4601</v>
      </c>
      <c r="F3156" s="526" t="s">
        <v>4602</v>
      </c>
      <c r="G3156" s="526" t="s">
        <v>4603</v>
      </c>
      <c r="H3156" s="412">
        <v>615.86451999999997</v>
      </c>
      <c r="I3156" s="411">
        <v>22.242190000000001</v>
      </c>
      <c r="J3156" s="411">
        <v>78.233999999999995</v>
      </c>
      <c r="K3156" s="411">
        <v>8467.0296300000009</v>
      </c>
      <c r="L3156" s="526" t="s">
        <v>554</v>
      </c>
    </row>
    <row r="3157" spans="1:12" ht="15" x14ac:dyDescent="0.25">
      <c r="A3157">
        <v>299759</v>
      </c>
      <c r="B3157" t="str">
        <f t="shared" si="130"/>
        <v>SEVROLL Idea horné/spodné vedenie 6m strieborná</v>
      </c>
      <c r="C3157" s="198">
        <f t="shared" si="131"/>
        <v>44.484369999999998</v>
      </c>
      <c r="D3157" s="526" t="s">
        <v>3308</v>
      </c>
      <c r="E3157" s="526" t="s">
        <v>4981</v>
      </c>
      <c r="F3157" s="526" t="s">
        <v>4982</v>
      </c>
      <c r="G3157" s="526" t="s">
        <v>4983</v>
      </c>
      <c r="H3157" s="412">
        <v>1231.7290399999999</v>
      </c>
      <c r="I3157" s="411">
        <v>44.484369999999998</v>
      </c>
      <c r="J3157" s="411">
        <v>156.44759999999999</v>
      </c>
      <c r="K3157" s="411">
        <v>16934.05889</v>
      </c>
      <c r="L3157" s="526" t="s">
        <v>554</v>
      </c>
    </row>
    <row r="3158" spans="1:12" ht="15" x14ac:dyDescent="0.25">
      <c r="A3158">
        <v>299760</v>
      </c>
      <c r="B3158" t="str">
        <f t="shared" si="130"/>
        <v>SEVROLL Idea sada kovania pre dvoje dvere 50kg</v>
      </c>
      <c r="C3158" s="198">
        <f t="shared" si="131"/>
        <v>49.957189999999997</v>
      </c>
      <c r="D3158" s="526" t="s">
        <v>3309</v>
      </c>
      <c r="E3158" s="526" t="s">
        <v>5045</v>
      </c>
      <c r="F3158" s="526" t="s">
        <v>5046</v>
      </c>
      <c r="G3158" s="526" t="s">
        <v>5047</v>
      </c>
      <c r="H3158" s="412">
        <v>1383.2660100000001</v>
      </c>
      <c r="I3158" s="411">
        <v>49.957189999999997</v>
      </c>
      <c r="J3158" s="411">
        <v>175.74600000000001</v>
      </c>
      <c r="K3158" s="411">
        <v>19017.41977</v>
      </c>
      <c r="L3158" s="526" t="s">
        <v>554</v>
      </c>
    </row>
    <row r="3159" spans="1:12" ht="15" x14ac:dyDescent="0.25">
      <c r="A3159">
        <v>299761</v>
      </c>
      <c r="B3159" t="str">
        <f t="shared" si="130"/>
        <v>SEVROLL Idea sada kovania pre vnútorné dvere 50kg</v>
      </c>
      <c r="C3159" s="198">
        <f t="shared" si="131"/>
        <v>19.193549999999998</v>
      </c>
      <c r="D3159" s="526" t="s">
        <v>3310</v>
      </c>
      <c r="E3159" s="526" t="s">
        <v>4580</v>
      </c>
      <c r="F3159" s="526" t="s">
        <v>4581</v>
      </c>
      <c r="G3159" s="526" t="s">
        <v>4582</v>
      </c>
      <c r="H3159" s="412">
        <v>531.55823999999996</v>
      </c>
      <c r="I3159" s="411">
        <v>19.193549999999998</v>
      </c>
      <c r="J3159" s="411">
        <v>67.503600000000006</v>
      </c>
      <c r="K3159" s="411">
        <v>7306.4966700000004</v>
      </c>
      <c r="L3159" s="526" t="s">
        <v>554</v>
      </c>
    </row>
    <row r="3160" spans="1:12" ht="15" x14ac:dyDescent="0.25">
      <c r="A3160">
        <v>303394</v>
      </c>
      <c r="B3160" t="str">
        <f t="shared" si="130"/>
        <v>SEVROLL 10174 pozicionér Simple Start</v>
      </c>
      <c r="C3160" s="198">
        <f t="shared" si="131"/>
        <v>0.22062000000000001</v>
      </c>
      <c r="D3160" s="526" t="s">
        <v>3311</v>
      </c>
      <c r="E3160" s="526" t="s">
        <v>5499</v>
      </c>
      <c r="F3160" s="526" t="s">
        <v>3311</v>
      </c>
      <c r="G3160" s="526" t="s">
        <v>5500</v>
      </c>
      <c r="H3160" s="412">
        <v>6.3607500000000003</v>
      </c>
      <c r="I3160" s="411">
        <v>0.22062000000000001</v>
      </c>
      <c r="J3160" s="411">
        <v>1.6728000000000001</v>
      </c>
      <c r="K3160" s="411">
        <v>85.696929999999995</v>
      </c>
      <c r="L3160" s="526" t="s">
        <v>554</v>
      </c>
    </row>
    <row r="3161" spans="1:12" ht="15" x14ac:dyDescent="0.25">
      <c r="A3161">
        <v>303463</v>
      </c>
      <c r="B3161" t="str">
        <f t="shared" si="130"/>
        <v>SEVROLL úchytka Push 90mm brúsený nikel</v>
      </c>
      <c r="C3161" s="198">
        <f t="shared" si="131"/>
        <v>12.82409</v>
      </c>
      <c r="D3161" s="526" t="s">
        <v>3312</v>
      </c>
      <c r="E3161" s="526" t="s">
        <v>4209</v>
      </c>
      <c r="F3161" s="526" t="s">
        <v>1115</v>
      </c>
      <c r="G3161" s="526" t="s">
        <v>4210</v>
      </c>
      <c r="H3161" s="412">
        <v>355.08661999999998</v>
      </c>
      <c r="I3161" s="411">
        <v>12.82409</v>
      </c>
      <c r="J3161" s="411">
        <v>47.093400000000003</v>
      </c>
      <c r="K3161" s="411">
        <v>4881.8025299999999</v>
      </c>
      <c r="L3161" s="526" t="s">
        <v>554</v>
      </c>
    </row>
    <row r="3162" spans="1:12" ht="15" x14ac:dyDescent="0.25">
      <c r="A3162">
        <v>304006</v>
      </c>
      <c r="B3162" t="str">
        <f t="shared" si="130"/>
        <v>SEVROLL bezpečnostná fólia 300mm/50m transparentná</v>
      </c>
      <c r="C3162" s="198">
        <f t="shared" si="131"/>
        <v>42.42013</v>
      </c>
      <c r="D3162" s="526" t="s">
        <v>3313</v>
      </c>
      <c r="E3162" s="526" t="s">
        <v>4978</v>
      </c>
      <c r="F3162" s="526" t="s">
        <v>4979</v>
      </c>
      <c r="G3162" s="526" t="s">
        <v>4980</v>
      </c>
      <c r="H3162" s="412">
        <v>1246.3986</v>
      </c>
      <c r="I3162" s="411">
        <v>42.42013</v>
      </c>
      <c r="J3162" s="411">
        <v>143.16999999999999</v>
      </c>
      <c r="K3162" s="411">
        <v>16477.81193</v>
      </c>
      <c r="L3162" s="526" t="s">
        <v>554</v>
      </c>
    </row>
    <row r="3163" spans="1:12" ht="15" x14ac:dyDescent="0.25">
      <c r="A3163">
        <v>304010</v>
      </c>
      <c r="B3163" t="str">
        <f t="shared" si="130"/>
        <v>SEVROLL bezpečnostná fólia 500mm/50m transparentná</v>
      </c>
      <c r="C3163" s="198">
        <f t="shared" si="131"/>
        <v>70.700220000000002</v>
      </c>
      <c r="D3163" s="526" t="s">
        <v>3314</v>
      </c>
      <c r="E3163" s="526" t="s">
        <v>5102</v>
      </c>
      <c r="F3163" s="526" t="s">
        <v>5103</v>
      </c>
      <c r="G3163" s="526" t="s">
        <v>5104</v>
      </c>
      <c r="H3163" s="412">
        <v>2077.3310000000001</v>
      </c>
      <c r="I3163" s="411">
        <v>70.700220000000002</v>
      </c>
      <c r="J3163" s="411">
        <v>238.62010000000001</v>
      </c>
      <c r="K3163" s="411">
        <v>27463.02</v>
      </c>
      <c r="L3163" s="526" t="s">
        <v>554</v>
      </c>
    </row>
    <row r="3164" spans="1:12" ht="15" x14ac:dyDescent="0.25">
      <c r="A3164">
        <v>305137</v>
      </c>
      <c r="B3164" t="str">
        <f t="shared" si="130"/>
        <v>SEVROLL 20287-SV dorazová štetina zásuvná 4,8x4mm biela</v>
      </c>
      <c r="C3164" s="198">
        <f t="shared" si="131"/>
        <v>0.15629999999999999</v>
      </c>
      <c r="D3164" s="526" t="s">
        <v>3315</v>
      </c>
      <c r="E3164" s="526" t="s">
        <v>5163</v>
      </c>
      <c r="F3164" s="526" t="s">
        <v>5164</v>
      </c>
      <c r="G3164" s="526" t="s">
        <v>5165</v>
      </c>
      <c r="H3164" s="412">
        <v>4.5774800000000004</v>
      </c>
      <c r="I3164" s="411">
        <v>0.15629999999999999</v>
      </c>
      <c r="J3164" s="411">
        <v>0.59363999999999995</v>
      </c>
      <c r="K3164" s="411">
        <v>60.709229999999998</v>
      </c>
      <c r="L3164" s="526" t="s">
        <v>553</v>
      </c>
    </row>
    <row r="3165" spans="1:12" ht="15" x14ac:dyDescent="0.25">
      <c r="A3165">
        <v>305348</v>
      </c>
      <c r="B3165" t="str">
        <f t="shared" si="130"/>
        <v>SEVROLL 20082-BL protiprachový kartáč zásuvný 4,8x9mm šedý</v>
      </c>
      <c r="C3165" s="198">
        <f t="shared" si="131"/>
        <v>0.23222999999999999</v>
      </c>
      <c r="D3165" s="526" t="s">
        <v>3316</v>
      </c>
      <c r="E3165" s="526" t="s">
        <v>5169</v>
      </c>
      <c r="F3165" s="526" t="s">
        <v>3316</v>
      </c>
      <c r="G3165" s="526" t="s">
        <v>5170</v>
      </c>
      <c r="H3165" s="412">
        <v>6.8233499999999996</v>
      </c>
      <c r="I3165" s="411">
        <v>0.23222999999999999</v>
      </c>
      <c r="J3165" s="411">
        <v>0.89759999999999995</v>
      </c>
      <c r="K3165" s="411">
        <v>90.20693</v>
      </c>
      <c r="L3165" s="526" t="s">
        <v>710</v>
      </c>
    </row>
    <row r="3166" spans="1:12" ht="15" x14ac:dyDescent="0.25">
      <c r="A3166">
        <v>306089</v>
      </c>
      <c r="B3166" t="str">
        <f t="shared" si="130"/>
        <v>SEVROLL tlmič dorazu Top SV80 - 2ks</v>
      </c>
      <c r="C3166" s="198">
        <f t="shared" si="131"/>
        <v>54.108890000000002</v>
      </c>
      <c r="D3166" s="526" t="s">
        <v>3317</v>
      </c>
      <c r="E3166" s="526" t="s">
        <v>5052</v>
      </c>
      <c r="F3166" s="526" t="s">
        <v>1118</v>
      </c>
      <c r="G3166" s="526" t="s">
        <v>5053</v>
      </c>
      <c r="H3166" s="412">
        <v>1589.8405499999999</v>
      </c>
      <c r="I3166" s="411">
        <v>54.108890000000002</v>
      </c>
      <c r="J3166" s="411">
        <v>182.6087</v>
      </c>
      <c r="K3166" s="411">
        <v>21018.23115</v>
      </c>
      <c r="L3166" s="526" t="s">
        <v>554</v>
      </c>
    </row>
    <row r="3167" spans="1:12" ht="15" x14ac:dyDescent="0.25">
      <c r="A3167">
        <v>306523</v>
      </c>
      <c r="B3167" t="str">
        <f t="shared" si="130"/>
        <v>SEVROLL 20288-SV dorazová štetina zásuvná 14x4mm biela</v>
      </c>
      <c r="C3167" s="198">
        <f t="shared" si="131"/>
        <v>0.37526999999999999</v>
      </c>
      <c r="D3167" s="526" t="s">
        <v>3318</v>
      </c>
      <c r="E3167" s="526" t="s">
        <v>5171</v>
      </c>
      <c r="F3167" s="526" t="s">
        <v>5172</v>
      </c>
      <c r="G3167" s="526" t="s">
        <v>5173</v>
      </c>
      <c r="H3167" s="412">
        <v>11.372249999999999</v>
      </c>
      <c r="I3167" s="411">
        <v>0.37526999999999999</v>
      </c>
      <c r="J3167" s="411">
        <v>1.43</v>
      </c>
      <c r="K3167" s="411">
        <v>145.77422999999999</v>
      </c>
      <c r="L3167" s="526" t="s">
        <v>553</v>
      </c>
    </row>
    <row r="3168" spans="1:12" ht="15" x14ac:dyDescent="0.25">
      <c r="A3168">
        <v>307703</v>
      </c>
      <c r="B3168" t="str">
        <f t="shared" si="130"/>
        <v>SEVROLL Everest vodiaca lišta 3m oliva</v>
      </c>
      <c r="C3168" s="198">
        <f t="shared" si="131"/>
        <v>29.647649999999999</v>
      </c>
      <c r="D3168" s="526" t="s">
        <v>3319</v>
      </c>
      <c r="E3168" s="526" t="s">
        <v>4763</v>
      </c>
      <c r="F3168" s="526" t="s">
        <v>1201</v>
      </c>
      <c r="G3168" s="526" t="s">
        <v>4764</v>
      </c>
      <c r="H3168" s="412">
        <v>820.91453999999999</v>
      </c>
      <c r="I3168" s="411">
        <v>29.647649999999999</v>
      </c>
      <c r="J3168" s="411">
        <v>100.6397</v>
      </c>
      <c r="K3168" s="411">
        <v>11286.098389999999</v>
      </c>
      <c r="L3168" s="526" t="s">
        <v>554</v>
      </c>
    </row>
    <row r="3169" spans="1:12" ht="15" x14ac:dyDescent="0.25">
      <c r="A3169">
        <v>308528</v>
      </c>
      <c r="B3169" t="str">
        <f t="shared" si="130"/>
        <v>SEVROLL profil "U" na DTD 36mm oliva 3m</v>
      </c>
      <c r="C3169" s="198">
        <f t="shared" si="131"/>
        <v>16.739709999999999</v>
      </c>
      <c r="D3169" s="526" t="s">
        <v>3320</v>
      </c>
      <c r="E3169" s="526" t="s">
        <v>4403</v>
      </c>
      <c r="F3169" s="526" t="s">
        <v>1132</v>
      </c>
      <c r="G3169" s="526" t="s">
        <v>4404</v>
      </c>
      <c r="H3169" s="412">
        <v>463.68454000000003</v>
      </c>
      <c r="I3169" s="411">
        <v>16.739709999999999</v>
      </c>
      <c r="J3169" s="411">
        <v>56.7956</v>
      </c>
      <c r="K3169" s="411">
        <v>6372.3731200000002</v>
      </c>
      <c r="L3169" s="526" t="s">
        <v>554</v>
      </c>
    </row>
    <row r="3170" spans="1:12" ht="15" x14ac:dyDescent="0.25">
      <c r="A3170">
        <v>308595</v>
      </c>
      <c r="B3170" t="str">
        <f t="shared" si="130"/>
        <v>SEVROLL profil "U" Mini na DTD 18mm oliva 3m</v>
      </c>
      <c r="C3170" s="198">
        <f t="shared" si="131"/>
        <v>4.6123000000000003</v>
      </c>
      <c r="D3170" s="526" t="s">
        <v>3321</v>
      </c>
      <c r="E3170" s="526" t="s">
        <v>3673</v>
      </c>
      <c r="F3170" s="526" t="s">
        <v>1134</v>
      </c>
      <c r="G3170" s="526" t="s">
        <v>3674</v>
      </c>
      <c r="H3170" s="412">
        <v>127.88834</v>
      </c>
      <c r="I3170" s="411">
        <v>4.6123000000000003</v>
      </c>
      <c r="J3170" s="411">
        <v>15.571400000000001</v>
      </c>
      <c r="K3170" s="411">
        <v>1755.7793200000001</v>
      </c>
      <c r="L3170" s="526" t="s">
        <v>554</v>
      </c>
    </row>
    <row r="3171" spans="1:12" ht="15" x14ac:dyDescent="0.25">
      <c r="A3171">
        <v>308627</v>
      </c>
      <c r="B3171" t="str">
        <f t="shared" si="130"/>
        <v>SEVROLL 03212 spojovacia lišta H30 3m biela lesk</v>
      </c>
      <c r="C3171" s="198">
        <f t="shared" si="131"/>
        <v>29.028379999999999</v>
      </c>
      <c r="D3171" s="526" t="s">
        <v>3322</v>
      </c>
      <c r="E3171" s="526" t="s">
        <v>4779</v>
      </c>
      <c r="F3171" s="526" t="s">
        <v>4780</v>
      </c>
      <c r="G3171" s="526" t="s">
        <v>4781</v>
      </c>
      <c r="H3171" s="412">
        <v>803.76750000000004</v>
      </c>
      <c r="I3171" s="411">
        <v>29.028379999999999</v>
      </c>
      <c r="J3171" s="411">
        <v>102.1734</v>
      </c>
      <c r="K3171" s="411">
        <v>11050.3575</v>
      </c>
      <c r="L3171" s="526" t="s">
        <v>554</v>
      </c>
    </row>
    <row r="3172" spans="1:12" ht="15" x14ac:dyDescent="0.25">
      <c r="A3172">
        <v>308628</v>
      </c>
      <c r="B3172" t="str">
        <f t="shared" si="130"/>
        <v>SEVROLL 02456 uholník 18x36mm 3m oliva</v>
      </c>
      <c r="C3172" s="198">
        <f t="shared" si="131"/>
        <v>13.32081</v>
      </c>
      <c r="D3172" s="526" t="s">
        <v>3323</v>
      </c>
      <c r="E3172" s="526" t="s">
        <v>4274</v>
      </c>
      <c r="F3172" s="526" t="s">
        <v>4275</v>
      </c>
      <c r="G3172" s="526" t="s">
        <v>4276</v>
      </c>
      <c r="H3172" s="412">
        <v>368.66136</v>
      </c>
      <c r="I3172" s="411">
        <v>13.32081</v>
      </c>
      <c r="J3172" s="411">
        <v>46.032600000000002</v>
      </c>
      <c r="K3172" s="411">
        <v>5070.8863700000002</v>
      </c>
      <c r="L3172" s="526" t="s">
        <v>554</v>
      </c>
    </row>
    <row r="3173" spans="1:12" ht="15" x14ac:dyDescent="0.25">
      <c r="A3173">
        <v>308629</v>
      </c>
      <c r="B3173" t="str">
        <f t="shared" si="130"/>
        <v>SEVROLL uholník 02462 36x36mm 3m oliva</v>
      </c>
      <c r="C3173" s="198">
        <f t="shared" si="131"/>
        <v>17.642810000000001</v>
      </c>
      <c r="D3173" s="526" t="s">
        <v>3324</v>
      </c>
      <c r="E3173" s="526" t="s">
        <v>4463</v>
      </c>
      <c r="F3173" s="526" t="s">
        <v>4464</v>
      </c>
      <c r="G3173" s="526" t="s">
        <v>4465</v>
      </c>
      <c r="H3173" s="412">
        <v>488.69063999999997</v>
      </c>
      <c r="I3173" s="411">
        <v>17.642810000000001</v>
      </c>
      <c r="J3173" s="411">
        <v>60.822600000000001</v>
      </c>
      <c r="K3173" s="411">
        <v>6716.1620199999998</v>
      </c>
      <c r="L3173" s="526" t="s">
        <v>554</v>
      </c>
    </row>
    <row r="3174" spans="1:12" ht="15" x14ac:dyDescent="0.25">
      <c r="A3174">
        <v>308630</v>
      </c>
      <c r="B3174" t="str">
        <f t="shared" si="130"/>
        <v>SEVROLL 02461 uholník 36x36mm 3m strieborná</v>
      </c>
      <c r="C3174" s="198">
        <f t="shared" si="131"/>
        <v>14.114240000000001</v>
      </c>
      <c r="D3174" s="526" t="s">
        <v>3325</v>
      </c>
      <c r="E3174" s="526" t="s">
        <v>4395</v>
      </c>
      <c r="F3174" s="526" t="s">
        <v>4396</v>
      </c>
      <c r="G3174" s="526" t="s">
        <v>4397</v>
      </c>
      <c r="H3174" s="412">
        <v>390.80962</v>
      </c>
      <c r="I3174" s="411">
        <v>14.114240000000001</v>
      </c>
      <c r="J3174" s="411">
        <v>52.53</v>
      </c>
      <c r="K3174" s="411">
        <v>5372.9295300000003</v>
      </c>
      <c r="L3174" s="526" t="s">
        <v>553</v>
      </c>
    </row>
    <row r="3175" spans="1:12" ht="15" x14ac:dyDescent="0.25">
      <c r="A3175">
        <v>308631</v>
      </c>
      <c r="B3175" t="str">
        <f t="shared" si="130"/>
        <v>SEVROLL 20252 klin pre lamino hrúbka 2mm (100 ks)</v>
      </c>
      <c r="C3175" s="198">
        <f t="shared" si="131"/>
        <v>8.7214100000000006</v>
      </c>
      <c r="D3175" s="526" t="s">
        <v>3326</v>
      </c>
      <c r="E3175" s="526" t="s">
        <v>4073</v>
      </c>
      <c r="F3175" s="526" t="s">
        <v>4074</v>
      </c>
      <c r="G3175" s="526" t="s">
        <v>4075</v>
      </c>
      <c r="H3175" s="412">
        <v>241.48748000000001</v>
      </c>
      <c r="I3175" s="411">
        <v>8.7214100000000006</v>
      </c>
      <c r="J3175" s="411">
        <v>29.457999999999998</v>
      </c>
      <c r="K3175" s="411">
        <v>3320.0183699999998</v>
      </c>
      <c r="L3175" s="526" t="s">
        <v>553</v>
      </c>
    </row>
    <row r="3176" spans="1:12" ht="15" x14ac:dyDescent="0.25">
      <c r="A3176">
        <v>308632</v>
      </c>
      <c r="B3176" t="str">
        <f t="shared" si="130"/>
        <v>SEVROLL Porto úchytová lišta 2,7m oliva</v>
      </c>
      <c r="C3176" s="198" t="e">
        <f t="shared" si="131"/>
        <v>#N/A</v>
      </c>
      <c r="D3176" s="526" t="s">
        <v>3327</v>
      </c>
      <c r="E3176" s="526" t="s">
        <v>4746</v>
      </c>
      <c r="F3176" s="526" t="s">
        <v>1139</v>
      </c>
      <c r="G3176" s="526" t="s">
        <v>4747</v>
      </c>
      <c r="H3176" s="412" t="e">
        <v>#N/A</v>
      </c>
      <c r="I3176" s="411" t="e">
        <v>#N/A</v>
      </c>
      <c r="J3176" s="411" t="e">
        <v>#N/A</v>
      </c>
      <c r="K3176" s="411" t="e">
        <v>#N/A</v>
      </c>
      <c r="L3176" s="526" t="e">
        <v>#N/A</v>
      </c>
    </row>
    <row r="3177" spans="1:12" ht="15" x14ac:dyDescent="0.25">
      <c r="A3177">
        <v>308635</v>
      </c>
      <c r="B3177" t="str">
        <f t="shared" si="130"/>
        <v>SEVROLL tlmič dorazu Mini SV-60 (40-60kg)</v>
      </c>
      <c r="C3177" s="198">
        <f t="shared" si="131"/>
        <v>9.4864800000000002</v>
      </c>
      <c r="D3177" s="526" t="s">
        <v>3328</v>
      </c>
      <c r="E3177" s="526" t="s">
        <v>4057</v>
      </c>
      <c r="F3177" s="526" t="s">
        <v>4058</v>
      </c>
      <c r="G3177" s="526" t="s">
        <v>4059</v>
      </c>
      <c r="H3177" s="412">
        <v>278.99919999999997</v>
      </c>
      <c r="I3177" s="411">
        <v>9.4864800000000002</v>
      </c>
      <c r="J3177" s="411">
        <v>38.056199999999997</v>
      </c>
      <c r="K3177" s="411">
        <v>3684.95615</v>
      </c>
      <c r="L3177" s="526" t="s">
        <v>554</v>
      </c>
    </row>
    <row r="3178" spans="1:12" ht="15" x14ac:dyDescent="0.25">
      <c r="A3178">
        <v>308639</v>
      </c>
      <c r="B3178" t="str">
        <f t="shared" si="130"/>
        <v>SEVROLL protiprachový kartáč samolep. 6,7x13mm</v>
      </c>
      <c r="C3178" s="198">
        <f t="shared" si="131"/>
        <v>0.29721999999999998</v>
      </c>
      <c r="D3178" s="526" t="s">
        <v>1216</v>
      </c>
      <c r="E3178" s="526" t="s">
        <v>5146</v>
      </c>
      <c r="F3178" s="526" t="s">
        <v>1217</v>
      </c>
      <c r="G3178" s="526" t="s">
        <v>5147</v>
      </c>
      <c r="H3178" s="412">
        <v>9.2124199999999998</v>
      </c>
      <c r="I3178" s="411">
        <v>0.29721999999999998</v>
      </c>
      <c r="J3178" s="411">
        <v>1.2647999999999999</v>
      </c>
      <c r="K3178" s="411">
        <v>83.720359999999999</v>
      </c>
      <c r="L3178" s="526" t="s">
        <v>553</v>
      </c>
    </row>
    <row r="3179" spans="1:12" ht="15" x14ac:dyDescent="0.25">
      <c r="A3179">
        <v>308640</v>
      </c>
      <c r="B3179" t="str">
        <f t="shared" si="130"/>
        <v>SEVROLL okrasná lišta S18 s lepidlom 3m strieborná</v>
      </c>
      <c r="C3179" s="198">
        <f t="shared" si="131"/>
        <v>11.40493</v>
      </c>
      <c r="D3179" s="526" t="s">
        <v>3329</v>
      </c>
      <c r="E3179" s="526" t="s">
        <v>4076</v>
      </c>
      <c r="F3179" s="526" t="s">
        <v>4077</v>
      </c>
      <c r="G3179" s="526" t="s">
        <v>4078</v>
      </c>
      <c r="H3179" s="412">
        <v>315.79131999999998</v>
      </c>
      <c r="I3179" s="411">
        <v>11.40493</v>
      </c>
      <c r="J3179" s="411">
        <v>38.615499999999997</v>
      </c>
      <c r="K3179" s="411">
        <v>4341.5628299999998</v>
      </c>
      <c r="L3179" s="526" t="s">
        <v>554</v>
      </c>
    </row>
    <row r="3180" spans="1:12" ht="15" x14ac:dyDescent="0.25">
      <c r="A3180">
        <v>308641</v>
      </c>
      <c r="B3180" t="str">
        <f t="shared" si="130"/>
        <v>SEVROLL okrasná lišta S18 s lepidlom 3m oliva</v>
      </c>
      <c r="C3180" s="198">
        <f t="shared" si="131"/>
        <v>13.62398</v>
      </c>
      <c r="D3180" s="526" t="s">
        <v>3330</v>
      </c>
      <c r="E3180" s="526" t="s">
        <v>4148</v>
      </c>
      <c r="F3180" s="526" t="s">
        <v>4149</v>
      </c>
      <c r="G3180" s="526" t="s">
        <v>2392</v>
      </c>
      <c r="H3180" s="412">
        <v>377.23487999999998</v>
      </c>
      <c r="I3180" s="411">
        <v>13.62398</v>
      </c>
      <c r="J3180" s="411">
        <v>46.1</v>
      </c>
      <c r="K3180" s="411">
        <v>5186.3009700000002</v>
      </c>
      <c r="L3180" s="526" t="s">
        <v>554</v>
      </c>
    </row>
    <row r="3181" spans="1:12" ht="15" x14ac:dyDescent="0.25">
      <c r="A3181">
        <v>308645</v>
      </c>
      <c r="B3181" t="str">
        <f t="shared" si="130"/>
        <v>SEVROLL 04295 Elegant II spodné vedenie 6m biela lesk</v>
      </c>
      <c r="C3181" s="198">
        <f t="shared" si="131"/>
        <v>37.585949999999997</v>
      </c>
      <c r="D3181" s="526" t="s">
        <v>3331</v>
      </c>
      <c r="E3181" s="526" t="s">
        <v>4925</v>
      </c>
      <c r="F3181" s="526" t="s">
        <v>4926</v>
      </c>
      <c r="G3181" s="526" t="s">
        <v>4927</v>
      </c>
      <c r="H3181" s="412">
        <v>1040.96822</v>
      </c>
      <c r="I3181" s="411">
        <v>37.585949999999997</v>
      </c>
      <c r="J3181" s="411">
        <v>143.60579999999999</v>
      </c>
      <c r="K3181" s="411">
        <v>14308.00301</v>
      </c>
      <c r="L3181" s="526" t="s">
        <v>554</v>
      </c>
    </row>
    <row r="3182" spans="1:12" ht="15" x14ac:dyDescent="0.25">
      <c r="A3182">
        <v>308647</v>
      </c>
      <c r="B3182" t="str">
        <f t="shared" si="130"/>
        <v>SEVROLL 04586 Gemini II spodné vedenie  1,7m oliva</v>
      </c>
      <c r="C3182" s="198">
        <f t="shared" si="131"/>
        <v>10.615349999999999</v>
      </c>
      <c r="D3182" s="526" t="s">
        <v>3332</v>
      </c>
      <c r="E3182" s="526" t="s">
        <v>4101</v>
      </c>
      <c r="F3182" s="526" t="s">
        <v>4102</v>
      </c>
      <c r="G3182" s="526" t="s">
        <v>4103</v>
      </c>
      <c r="H3182" s="412">
        <v>293.64305999999999</v>
      </c>
      <c r="I3182" s="411">
        <v>10.615349999999999</v>
      </c>
      <c r="J3182" s="411">
        <v>35.91337</v>
      </c>
      <c r="K3182" s="411">
        <v>4040.99305</v>
      </c>
      <c r="L3182" s="526" t="s">
        <v>553</v>
      </c>
    </row>
    <row r="3183" spans="1:12" ht="15" x14ac:dyDescent="0.25">
      <c r="A3183">
        <v>308653</v>
      </c>
      <c r="B3183" t="str">
        <f t="shared" si="130"/>
        <v>SEVROLL 04587 Gemini II spodné vedenie  2,35m oliva</v>
      </c>
      <c r="C3183" s="198">
        <f t="shared" si="131"/>
        <v>14.67418</v>
      </c>
      <c r="D3183" s="526" t="s">
        <v>3333</v>
      </c>
      <c r="E3183" s="526" t="s">
        <v>4327</v>
      </c>
      <c r="F3183" s="526" t="s">
        <v>4328</v>
      </c>
      <c r="G3183" s="526" t="s">
        <v>4329</v>
      </c>
      <c r="H3183" s="412">
        <v>406.52773999999999</v>
      </c>
      <c r="I3183" s="411">
        <v>14.67418</v>
      </c>
      <c r="J3183" s="411">
        <v>49.645020000000002</v>
      </c>
      <c r="K3183" s="411">
        <v>5586.0784000000003</v>
      </c>
      <c r="L3183" s="526" t="s">
        <v>553</v>
      </c>
    </row>
    <row r="3184" spans="1:12" ht="15" x14ac:dyDescent="0.25">
      <c r="A3184">
        <v>308657</v>
      </c>
      <c r="B3184" t="str">
        <f t="shared" si="130"/>
        <v>SEVROLL 04588 Gemini II spodné vedenie  3m oliva</v>
      </c>
      <c r="C3184" s="198">
        <f t="shared" si="131"/>
        <v>18.732980000000001</v>
      </c>
      <c r="D3184" s="526" t="s">
        <v>3334</v>
      </c>
      <c r="E3184" s="526" t="s">
        <v>4482</v>
      </c>
      <c r="F3184" s="526" t="s">
        <v>4483</v>
      </c>
      <c r="G3184" s="526" t="s">
        <v>4484</v>
      </c>
      <c r="H3184" s="412">
        <v>518.69795999999997</v>
      </c>
      <c r="I3184" s="411">
        <v>18.732980000000001</v>
      </c>
      <c r="J3184" s="411">
        <v>63.37659</v>
      </c>
      <c r="K3184" s="411">
        <v>7131.1641099999997</v>
      </c>
      <c r="L3184" s="526" t="s">
        <v>553</v>
      </c>
    </row>
    <row r="3185" spans="1:12" ht="15" x14ac:dyDescent="0.25">
      <c r="A3185">
        <v>308666</v>
      </c>
      <c r="B3185" t="str">
        <f t="shared" si="130"/>
        <v>SEVROLL 04589 Gemini II spodné vedenie  4,05m oliva</v>
      </c>
      <c r="C3185" s="198">
        <f t="shared" si="131"/>
        <v>25.289529999999999</v>
      </c>
      <c r="D3185" s="526" t="s">
        <v>3335</v>
      </c>
      <c r="E3185" s="526" t="s">
        <v>4675</v>
      </c>
      <c r="F3185" s="526" t="s">
        <v>4676</v>
      </c>
      <c r="G3185" s="526" t="s">
        <v>4677</v>
      </c>
      <c r="H3185" s="412">
        <v>700.17079999999999</v>
      </c>
      <c r="I3185" s="411">
        <v>25.289529999999999</v>
      </c>
      <c r="J3185" s="411">
        <v>85.558390000000003</v>
      </c>
      <c r="K3185" s="411">
        <v>9627.0714499999995</v>
      </c>
      <c r="L3185" s="526" t="s">
        <v>553</v>
      </c>
    </row>
    <row r="3186" spans="1:12" ht="15" x14ac:dyDescent="0.25">
      <c r="A3186">
        <v>308668</v>
      </c>
      <c r="B3186" t="str">
        <f t="shared" si="130"/>
        <v>SEVROLL 04590 Gemini II spodné vedenie  6m oliva</v>
      </c>
      <c r="C3186" s="198">
        <f t="shared" si="131"/>
        <v>37.465960000000003</v>
      </c>
      <c r="D3186" s="526" t="s">
        <v>3336</v>
      </c>
      <c r="E3186" s="526" t="s">
        <v>4894</v>
      </c>
      <c r="F3186" s="526" t="s">
        <v>4895</v>
      </c>
      <c r="G3186" s="526" t="s">
        <v>4896</v>
      </c>
      <c r="H3186" s="412">
        <v>1037.3959199999999</v>
      </c>
      <c r="I3186" s="411">
        <v>37.465960000000003</v>
      </c>
      <c r="J3186" s="411">
        <v>126.75315000000001</v>
      </c>
      <c r="K3186" s="411">
        <v>14262.328229999999</v>
      </c>
      <c r="L3186" s="526" t="s">
        <v>553</v>
      </c>
    </row>
    <row r="3187" spans="1:12" ht="15" x14ac:dyDescent="0.25">
      <c r="A3187">
        <v>308670</v>
      </c>
      <c r="B3187" t="str">
        <f t="shared" si="130"/>
        <v>SEVROLL Hide M spodné vedenie 1,7m strieborná</v>
      </c>
      <c r="C3187" s="198">
        <f t="shared" si="131"/>
        <v>4.9025699999999999</v>
      </c>
      <c r="D3187" s="526" t="s">
        <v>3337</v>
      </c>
      <c r="E3187" s="526" t="s">
        <v>3732</v>
      </c>
      <c r="F3187" s="526" t="s">
        <v>3733</v>
      </c>
      <c r="G3187" s="526" t="s">
        <v>3734</v>
      </c>
      <c r="H3187" s="412">
        <v>129.39949999999999</v>
      </c>
      <c r="I3187" s="411">
        <v>4.9025699999999999</v>
      </c>
      <c r="J3187" s="411">
        <v>16.868539999999999</v>
      </c>
      <c r="K3187" s="411">
        <v>1805.3653999999999</v>
      </c>
      <c r="L3187" s="526" t="s">
        <v>554</v>
      </c>
    </row>
    <row r="3188" spans="1:12" ht="15" x14ac:dyDescent="0.25">
      <c r="A3188">
        <v>308671</v>
      </c>
      <c r="B3188" t="str">
        <f t="shared" si="130"/>
        <v>SEVROLL 01979 Hide M spodné vedenie 2,35m strieborná</v>
      </c>
      <c r="C3188" s="198">
        <f t="shared" si="131"/>
        <v>6.7861900000000004</v>
      </c>
      <c r="D3188" s="526" t="s">
        <v>3338</v>
      </c>
      <c r="E3188" s="526" t="s">
        <v>3866</v>
      </c>
      <c r="F3188" s="526" t="s">
        <v>3867</v>
      </c>
      <c r="G3188" s="526" t="s">
        <v>3868</v>
      </c>
      <c r="H3188" s="412">
        <v>179.11615</v>
      </c>
      <c r="I3188" s="411">
        <v>6.7861900000000004</v>
      </c>
      <c r="J3188" s="411">
        <v>23.349630000000001</v>
      </c>
      <c r="K3188" s="411">
        <v>2499.0057700000002</v>
      </c>
      <c r="L3188" s="526" t="s">
        <v>554</v>
      </c>
    </row>
    <row r="3189" spans="1:12" ht="15" x14ac:dyDescent="0.25">
      <c r="A3189">
        <v>308673</v>
      </c>
      <c r="B3189" t="str">
        <f t="shared" si="130"/>
        <v>SEVROLL02676 Hide M dolné vedenie 6m strieborná</v>
      </c>
      <c r="C3189" s="198">
        <f t="shared" si="131"/>
        <v>17.391220000000001</v>
      </c>
      <c r="D3189" s="526" t="s">
        <v>3339</v>
      </c>
      <c r="E3189" s="526" t="s">
        <v>4498</v>
      </c>
      <c r="F3189" s="526" t="s">
        <v>4499</v>
      </c>
      <c r="G3189" s="526" t="s">
        <v>4500</v>
      </c>
      <c r="H3189" s="412">
        <v>459.02769999999998</v>
      </c>
      <c r="I3189" s="411">
        <v>17.391220000000001</v>
      </c>
      <c r="J3189" s="411">
        <v>59.838949999999997</v>
      </c>
      <c r="K3189" s="411">
        <v>6404.2961599999999</v>
      </c>
      <c r="L3189" s="526" t="s">
        <v>554</v>
      </c>
    </row>
    <row r="3190" spans="1:12" ht="15" x14ac:dyDescent="0.25">
      <c r="A3190">
        <v>308681</v>
      </c>
      <c r="B3190" t="str">
        <f t="shared" si="130"/>
        <v>SEVROLL 10182 sada Fold pre 2 krídla ľavá</v>
      </c>
      <c r="C3190" s="198">
        <f t="shared" si="131"/>
        <v>56.428579999999997</v>
      </c>
      <c r="D3190" s="526" t="s">
        <v>1369</v>
      </c>
      <c r="E3190" s="526" t="s">
        <v>1820</v>
      </c>
      <c r="F3190" s="526" t="s">
        <v>5837</v>
      </c>
      <c r="G3190" s="526" t="s">
        <v>2392</v>
      </c>
      <c r="H3190" s="412">
        <v>1562.5240200000001</v>
      </c>
      <c r="I3190" s="411">
        <v>56.428579999999997</v>
      </c>
      <c r="J3190" s="411">
        <v>198.59399999999999</v>
      </c>
      <c r="K3190" s="411">
        <v>21480.91287</v>
      </c>
      <c r="L3190" s="526" t="s">
        <v>554</v>
      </c>
    </row>
    <row r="3191" spans="1:12" ht="15" x14ac:dyDescent="0.25">
      <c r="A3191">
        <v>308682</v>
      </c>
      <c r="B3191" t="str">
        <f t="shared" si="130"/>
        <v>SEVROLL 10181 sada Fold pro 2 krídla pravá</v>
      </c>
      <c r="C3191" s="198">
        <f t="shared" si="131"/>
        <v>56.428579999999997</v>
      </c>
      <c r="D3191" s="526" t="s">
        <v>1370</v>
      </c>
      <c r="E3191" s="526" t="s">
        <v>1821</v>
      </c>
      <c r="F3191" s="526" t="s">
        <v>5838</v>
      </c>
      <c r="G3191" s="526" t="s">
        <v>2393</v>
      </c>
      <c r="H3191" s="412">
        <v>1562.5240200000001</v>
      </c>
      <c r="I3191" s="411">
        <v>56.428579999999997</v>
      </c>
      <c r="J3191" s="411">
        <v>198.59399999999999</v>
      </c>
      <c r="K3191" s="411">
        <v>21480.91287</v>
      </c>
      <c r="L3191" s="526" t="s">
        <v>554</v>
      </c>
    </row>
    <row r="3192" spans="1:12" ht="15" x14ac:dyDescent="0.25">
      <c r="A3192">
        <v>308683</v>
      </c>
      <c r="B3192" t="str">
        <f t="shared" ref="B3192:B3255" si="132">IF($A$2=1,D3192,IF($A$2=2,F3192,IF($A$2=3,G3192,IF($A$2=4,E3192,"zadat jazyk"))))</f>
        <v>SEVROLL krycí profil Galaxy 1,5 m</v>
      </c>
      <c r="C3192" s="198">
        <f t="shared" ref="C3192:C3255" si="133">IF($A$2=1,H3192,IF($A$2=2,I3192,IF($A$2=3,J3192,IF($A$2=4,K3192,"zadat jazyk"))))</f>
        <v>0</v>
      </c>
      <c r="D3192" s="526" t="s">
        <v>3340</v>
      </c>
      <c r="E3192" s="526" t="s">
        <v>3921</v>
      </c>
      <c r="F3192" s="526" t="s">
        <v>3922</v>
      </c>
      <c r="G3192" s="526" t="s">
        <v>3923</v>
      </c>
      <c r="H3192" s="412">
        <v>0</v>
      </c>
      <c r="I3192" s="411">
        <v>0</v>
      </c>
      <c r="J3192" s="411">
        <v>0</v>
      </c>
      <c r="K3192" s="411">
        <v>0</v>
      </c>
      <c r="L3192" s="526" t="s">
        <v>555</v>
      </c>
    </row>
    <row r="3193" spans="1:12" ht="15" x14ac:dyDescent="0.25">
      <c r="A3193">
        <v>308687</v>
      </c>
      <c r="B3193" t="str">
        <f t="shared" si="132"/>
        <v>SEVROLL Fala úchytová lišta 10mm 2,5m strie</v>
      </c>
      <c r="C3193" s="198">
        <f t="shared" si="133"/>
        <v>9.5987200000000001</v>
      </c>
      <c r="D3193" s="526" t="s">
        <v>3341</v>
      </c>
      <c r="E3193" s="526" t="s">
        <v>4071</v>
      </c>
      <c r="F3193" s="526" t="s">
        <v>1194</v>
      </c>
      <c r="G3193" s="526" t="s">
        <v>4072</v>
      </c>
      <c r="H3193" s="412">
        <v>262.911</v>
      </c>
      <c r="I3193" s="411">
        <v>9.5987200000000001</v>
      </c>
      <c r="J3193" s="411">
        <v>42.051870000000001</v>
      </c>
      <c r="K3193" s="411">
        <v>3728.5561499999999</v>
      </c>
      <c r="L3193" s="526" t="s">
        <v>554</v>
      </c>
    </row>
    <row r="3194" spans="1:12" ht="15" x14ac:dyDescent="0.25">
      <c r="A3194">
        <v>308690</v>
      </c>
      <c r="B3194" t="str">
        <f t="shared" si="132"/>
        <v>SEVROLL Polo úchytová lišta 10mm 2,5m strie</v>
      </c>
      <c r="C3194" s="198" t="e">
        <f t="shared" si="133"/>
        <v>#N/A</v>
      </c>
      <c r="D3194" s="526" t="s">
        <v>3342</v>
      </c>
      <c r="E3194" s="526" t="s">
        <v>4117</v>
      </c>
      <c r="F3194" s="526" t="s">
        <v>1141</v>
      </c>
      <c r="G3194" s="526" t="s">
        <v>4118</v>
      </c>
      <c r="H3194" s="412" t="e">
        <v>#N/A</v>
      </c>
      <c r="I3194" s="411" t="e">
        <v>#N/A</v>
      </c>
      <c r="J3194" s="411" t="e">
        <v>#N/A</v>
      </c>
      <c r="K3194" s="411" t="e">
        <v>#N/A</v>
      </c>
      <c r="L3194" s="526" t="e">
        <v>#N/A</v>
      </c>
    </row>
    <row r="3195" spans="1:12" ht="15" x14ac:dyDescent="0.25">
      <c r="A3195">
        <v>308694</v>
      </c>
      <c r="B3195" t="str">
        <f t="shared" si="132"/>
        <v>SEVROLL vedenie Galaxy B 50kg na stenu 1,5m</v>
      </c>
      <c r="C3195" s="198">
        <f t="shared" si="133"/>
        <v>9.7316099999999999</v>
      </c>
      <c r="D3195" s="526" t="s">
        <v>3343</v>
      </c>
      <c r="E3195" s="526" t="s">
        <v>3964</v>
      </c>
      <c r="F3195" s="526" t="s">
        <v>1112</v>
      </c>
      <c r="G3195" s="526" t="s">
        <v>3965</v>
      </c>
      <c r="H3195" s="412">
        <v>256.75585000000001</v>
      </c>
      <c r="I3195" s="411">
        <v>9.7316099999999999</v>
      </c>
      <c r="J3195" s="411">
        <v>33.484079999999999</v>
      </c>
      <c r="K3195" s="411">
        <v>3583.6529</v>
      </c>
      <c r="L3195" s="526" t="s">
        <v>554</v>
      </c>
    </row>
    <row r="3196" spans="1:12" ht="15" x14ac:dyDescent="0.25">
      <c r="A3196">
        <v>308695</v>
      </c>
      <c r="B3196" t="str">
        <f t="shared" si="132"/>
        <v>SEVROLL vedenie Galaxy B 50kg na stenu 2,5m</v>
      </c>
      <c r="C3196" s="198">
        <f t="shared" si="133"/>
        <v>0</v>
      </c>
      <c r="D3196" s="526" t="s">
        <v>3344</v>
      </c>
      <c r="E3196" s="526" t="s">
        <v>5698</v>
      </c>
      <c r="F3196" s="526" t="s">
        <v>1111</v>
      </c>
      <c r="G3196" s="526" t="s">
        <v>5699</v>
      </c>
      <c r="H3196" s="412">
        <v>0</v>
      </c>
      <c r="I3196" s="411">
        <v>0</v>
      </c>
      <c r="J3196" s="411">
        <v>0</v>
      </c>
      <c r="K3196" s="411">
        <v>0</v>
      </c>
      <c r="L3196" s="526" t="s">
        <v>555</v>
      </c>
    </row>
    <row r="3197" spans="1:12" ht="15" x14ac:dyDescent="0.25">
      <c r="A3197">
        <v>308696</v>
      </c>
      <c r="B3197" t="str">
        <f t="shared" si="132"/>
        <v>SEVROLL vedenie Galaxy B 50kg na stenu 4m</v>
      </c>
      <c r="C3197" s="198">
        <f t="shared" si="133"/>
        <v>25.9346</v>
      </c>
      <c r="D3197" s="526" t="s">
        <v>3345</v>
      </c>
      <c r="E3197" s="526" t="s">
        <v>5696</v>
      </c>
      <c r="F3197" s="526" t="s">
        <v>1110</v>
      </c>
      <c r="G3197" s="526" t="s">
        <v>5697</v>
      </c>
      <c r="H3197" s="412">
        <v>684.45524999999998</v>
      </c>
      <c r="I3197" s="411">
        <v>25.9346</v>
      </c>
      <c r="J3197" s="411">
        <v>89.2346</v>
      </c>
      <c r="K3197" s="411">
        <v>9550.3846300000005</v>
      </c>
      <c r="L3197" s="526" t="s">
        <v>554</v>
      </c>
    </row>
    <row r="3198" spans="1:12" ht="15" x14ac:dyDescent="0.25">
      <c r="A3198">
        <v>308697</v>
      </c>
      <c r="B3198" t="str">
        <f t="shared" si="132"/>
        <v>SEVROLL vedenie Galaxy S 50kg do stropu 1,5m</v>
      </c>
      <c r="C3198" s="198">
        <f t="shared" si="133"/>
        <v>9.26586</v>
      </c>
      <c r="D3198" s="526" t="s">
        <v>3346</v>
      </c>
      <c r="E3198" s="526" t="s">
        <v>5694</v>
      </c>
      <c r="F3198" s="526" t="s">
        <v>1109</v>
      </c>
      <c r="G3198" s="526" t="s">
        <v>5695</v>
      </c>
      <c r="H3198" s="412">
        <v>244.49695</v>
      </c>
      <c r="I3198" s="411">
        <v>9.26586</v>
      </c>
      <c r="J3198" s="411">
        <v>31.881550000000001</v>
      </c>
      <c r="K3198" s="411">
        <v>3412.1423</v>
      </c>
      <c r="L3198" s="526" t="s">
        <v>554</v>
      </c>
    </row>
    <row r="3199" spans="1:12" ht="15" x14ac:dyDescent="0.25">
      <c r="A3199">
        <v>308698</v>
      </c>
      <c r="B3199" t="str">
        <f t="shared" si="132"/>
        <v>SEVROLL vedenie Galaxy S 50kg do stropu 2,5m</v>
      </c>
      <c r="C3199" s="198">
        <f t="shared" si="133"/>
        <v>0</v>
      </c>
      <c r="D3199" s="526" t="s">
        <v>3347</v>
      </c>
      <c r="E3199" s="526" t="s">
        <v>5692</v>
      </c>
      <c r="F3199" s="526" t="s">
        <v>1108</v>
      </c>
      <c r="G3199" s="526" t="s">
        <v>5693</v>
      </c>
      <c r="H3199" s="412">
        <v>0</v>
      </c>
      <c r="I3199" s="411">
        <v>0</v>
      </c>
      <c r="J3199" s="411">
        <v>0</v>
      </c>
      <c r="K3199" s="411">
        <v>0</v>
      </c>
      <c r="L3199" s="526" t="s">
        <v>555</v>
      </c>
    </row>
    <row r="3200" spans="1:12" ht="15" x14ac:dyDescent="0.25">
      <c r="A3200">
        <v>308699</v>
      </c>
      <c r="B3200" t="str">
        <f t="shared" si="132"/>
        <v>SEVROLL vedenie Galaxy S 50kg do stropu 4m</v>
      </c>
      <c r="C3200" s="198">
        <f t="shared" si="133"/>
        <v>24.684449999999998</v>
      </c>
      <c r="D3200" s="526" t="s">
        <v>3348</v>
      </c>
      <c r="E3200" s="526" t="s">
        <v>5690</v>
      </c>
      <c r="F3200" s="526" t="s">
        <v>1107</v>
      </c>
      <c r="G3200" s="526" t="s">
        <v>5691</v>
      </c>
      <c r="H3200" s="412">
        <v>651.76485000000002</v>
      </c>
      <c r="I3200" s="411">
        <v>24.684449999999998</v>
      </c>
      <c r="J3200" s="411">
        <v>84.933130000000006</v>
      </c>
      <c r="K3200" s="411">
        <v>9090.0172999999995</v>
      </c>
      <c r="L3200" s="526" t="s">
        <v>554</v>
      </c>
    </row>
    <row r="3201" spans="1:12" ht="15" x14ac:dyDescent="0.25">
      <c r="A3201">
        <v>311586</v>
      </c>
      <c r="B3201" t="str">
        <f t="shared" si="132"/>
        <v>SEVROLL 03206 Gemini horné vedenie 6m biela lesk</v>
      </c>
      <c r="C3201" s="198">
        <f t="shared" si="133"/>
        <v>64.404290000000003</v>
      </c>
      <c r="D3201" s="526" t="s">
        <v>3349</v>
      </c>
      <c r="E3201" s="526" t="s">
        <v>5320</v>
      </c>
      <c r="F3201" s="526" t="s">
        <v>5321</v>
      </c>
      <c r="G3201" s="526" t="s">
        <v>5322</v>
      </c>
      <c r="H3201" s="412">
        <v>1783.29216</v>
      </c>
      <c r="I3201" s="411">
        <v>64.404290000000003</v>
      </c>
      <c r="J3201" s="411">
        <v>263.56799999999998</v>
      </c>
      <c r="K3201" s="411">
        <v>24517.05991</v>
      </c>
      <c r="L3201" s="526" t="s">
        <v>554</v>
      </c>
    </row>
    <row r="3202" spans="1:12" ht="15" x14ac:dyDescent="0.25">
      <c r="A3202">
        <v>312097</v>
      </c>
      <c r="B3202" t="str">
        <f t="shared" si="132"/>
        <v/>
      </c>
      <c r="C3202" s="198">
        <f t="shared" si="133"/>
        <v>0</v>
      </c>
      <c r="D3202" s="526" t="s">
        <v>1344</v>
      </c>
      <c r="E3202" s="526" t="s">
        <v>5807</v>
      </c>
      <c r="F3202" s="526" t="s">
        <v>71</v>
      </c>
      <c r="G3202" s="526" t="s">
        <v>5808</v>
      </c>
      <c r="H3202" s="412" t="e">
        <v>#N/A</v>
      </c>
      <c r="I3202" s="411">
        <v>0</v>
      </c>
      <c r="J3202" s="411">
        <v>0</v>
      </c>
      <c r="K3202" s="411">
        <v>4889.2752499999997</v>
      </c>
      <c r="L3202" s="526" t="e">
        <v>#N/A</v>
      </c>
    </row>
    <row r="3203" spans="1:12" ht="15" x14ac:dyDescent="0.25">
      <c r="A3203">
        <v>315863</v>
      </c>
      <c r="B3203" t="str">
        <f t="shared" si="132"/>
        <v>SEVROLL 221-300 sada Herkules plus 25kg HP2/25 1,2m</v>
      </c>
      <c r="C3203" s="198" t="e">
        <f t="shared" si="133"/>
        <v>#N/A</v>
      </c>
      <c r="D3203" s="526" t="s">
        <v>1442</v>
      </c>
      <c r="E3203" s="526" t="s">
        <v>1887</v>
      </c>
      <c r="F3203" s="526" t="s">
        <v>1442</v>
      </c>
      <c r="G3203" s="526" t="s">
        <v>2434</v>
      </c>
      <c r="H3203" s="412" t="e">
        <v>#N/A</v>
      </c>
      <c r="I3203" s="411" t="e">
        <v>#N/A</v>
      </c>
      <c r="J3203" s="411" t="e">
        <v>#N/A</v>
      </c>
      <c r="K3203" s="411" t="e">
        <v>#N/A</v>
      </c>
      <c r="L3203" s="526" t="e">
        <v>#N/A</v>
      </c>
    </row>
    <row r="3204" spans="1:12" ht="15" x14ac:dyDescent="0.25">
      <c r="A3204">
        <v>317377</v>
      </c>
      <c r="B3204" t="str">
        <f t="shared" si="132"/>
        <v>SEVROLL 219-313 Herkules Glass sada kovania 100kg</v>
      </c>
      <c r="C3204" s="198" t="e">
        <f t="shared" si="133"/>
        <v>#N/A</v>
      </c>
      <c r="D3204" s="526" t="s">
        <v>3350</v>
      </c>
      <c r="E3204" s="526" t="s">
        <v>5107</v>
      </c>
      <c r="F3204" s="526" t="s">
        <v>5108</v>
      </c>
      <c r="G3204" s="526" t="s">
        <v>5109</v>
      </c>
      <c r="H3204" s="412" t="e">
        <v>#N/A</v>
      </c>
      <c r="I3204" s="411" t="e">
        <v>#N/A</v>
      </c>
      <c r="J3204" s="411" t="e">
        <v>#N/A</v>
      </c>
      <c r="K3204" s="411" t="e">
        <v>#N/A</v>
      </c>
      <c r="L3204" s="526" t="e">
        <v>#N/A</v>
      </c>
    </row>
    <row r="3205" spans="1:12" ht="15" x14ac:dyDescent="0.25">
      <c r="A3205">
        <v>318447</v>
      </c>
      <c r="B3205" t="str">
        <f t="shared" si="132"/>
        <v>SEVROLL držiak pôdy skrine u šikmých stropov</v>
      </c>
      <c r="C3205" s="198">
        <f t="shared" si="133"/>
        <v>29.492830000000001</v>
      </c>
      <c r="D3205" s="526" t="s">
        <v>3351</v>
      </c>
      <c r="E3205" s="526" t="s">
        <v>4838</v>
      </c>
      <c r="F3205" s="526" t="s">
        <v>4839</v>
      </c>
      <c r="G3205" s="526" t="s">
        <v>4840</v>
      </c>
      <c r="H3205" s="412">
        <v>816.62778000000003</v>
      </c>
      <c r="I3205" s="411">
        <v>29.492830000000001</v>
      </c>
      <c r="J3205" s="411">
        <v>99.559799999999996</v>
      </c>
      <c r="K3205" s="411">
        <v>11227.163070000001</v>
      </c>
      <c r="L3205" s="526" t="s">
        <v>554</v>
      </c>
    </row>
    <row r="3206" spans="1:12" ht="15" x14ac:dyDescent="0.25">
      <c r="A3206">
        <v>318638</v>
      </c>
      <c r="B3206" t="str">
        <f t="shared" si="132"/>
        <v>SEVROLL maska Elegant II 1,7m zlatá</v>
      </c>
      <c r="C3206" s="198">
        <f t="shared" si="133"/>
        <v>3.1802299999999999</v>
      </c>
      <c r="D3206" s="526" t="s">
        <v>3352</v>
      </c>
      <c r="E3206" s="526" t="s">
        <v>5460</v>
      </c>
      <c r="F3206" s="526" t="s">
        <v>1162</v>
      </c>
      <c r="G3206" s="526" t="s">
        <v>5461</v>
      </c>
      <c r="H3206" s="412">
        <v>87.878579999999999</v>
      </c>
      <c r="I3206" s="411">
        <v>3.1802299999999999</v>
      </c>
      <c r="J3206" s="411">
        <v>10.917999999999999</v>
      </c>
      <c r="K3206" s="411">
        <v>1210.6283000000001</v>
      </c>
      <c r="L3206" s="526" t="s">
        <v>554</v>
      </c>
    </row>
    <row r="3207" spans="1:12" ht="15" x14ac:dyDescent="0.25">
      <c r="A3207">
        <v>318643</v>
      </c>
      <c r="B3207" t="str">
        <f t="shared" si="132"/>
        <v>SEVROLL maska Elegant II 2,35m zlatá</v>
      </c>
      <c r="C3207" s="198">
        <f t="shared" si="133"/>
        <v>4.3961899999999998</v>
      </c>
      <c r="D3207" s="526" t="s">
        <v>3353</v>
      </c>
      <c r="E3207" s="526" t="s">
        <v>5467</v>
      </c>
      <c r="F3207" s="526" t="s">
        <v>1161</v>
      </c>
      <c r="G3207" s="526" t="s">
        <v>5468</v>
      </c>
      <c r="H3207" s="412">
        <v>121.45820000000001</v>
      </c>
      <c r="I3207" s="411">
        <v>4.3961899999999998</v>
      </c>
      <c r="J3207" s="411">
        <v>15.089499999999999</v>
      </c>
      <c r="K3207" s="411">
        <v>1673.51511</v>
      </c>
      <c r="L3207" s="526" t="s">
        <v>554</v>
      </c>
    </row>
    <row r="3208" spans="1:12" ht="15" x14ac:dyDescent="0.25">
      <c r="A3208">
        <v>318644</v>
      </c>
      <c r="B3208" t="str">
        <f t="shared" si="132"/>
        <v>SEVROLL maska Elegant II 3m zlatá</v>
      </c>
      <c r="C3208" s="198">
        <f t="shared" si="133"/>
        <v>5.6121499999999997</v>
      </c>
      <c r="D3208" s="526" t="s">
        <v>3354</v>
      </c>
      <c r="E3208" s="526" t="s">
        <v>5474</v>
      </c>
      <c r="F3208" s="526" t="s">
        <v>1160</v>
      </c>
      <c r="G3208" s="526" t="s">
        <v>5475</v>
      </c>
      <c r="H3208" s="412">
        <v>210.05124000000001</v>
      </c>
      <c r="I3208" s="411">
        <v>5.6121499999999997</v>
      </c>
      <c r="J3208" s="411">
        <v>19.240400000000001</v>
      </c>
      <c r="K3208" s="411">
        <v>2136.40265</v>
      </c>
      <c r="L3208" s="526" t="s">
        <v>553</v>
      </c>
    </row>
    <row r="3209" spans="1:12" ht="15" x14ac:dyDescent="0.25">
      <c r="A3209">
        <v>318645</v>
      </c>
      <c r="B3209" t="str">
        <f t="shared" si="132"/>
        <v>SEVROLL maska Elegant II 4,05m zlatá</v>
      </c>
      <c r="C3209" s="198">
        <f t="shared" si="133"/>
        <v>7.5763999999999996</v>
      </c>
      <c r="D3209" s="526" t="s">
        <v>3355</v>
      </c>
      <c r="E3209" s="526" t="s">
        <v>5481</v>
      </c>
      <c r="F3209" s="526" t="s">
        <v>1159</v>
      </c>
      <c r="G3209" s="526" t="s">
        <v>5482</v>
      </c>
      <c r="H3209" s="412">
        <v>210.05124000000001</v>
      </c>
      <c r="I3209" s="411">
        <v>7.5763999999999996</v>
      </c>
      <c r="J3209" s="411">
        <v>25.986899999999999</v>
      </c>
      <c r="K3209" s="411">
        <v>2884.1434100000001</v>
      </c>
      <c r="L3209" s="526" t="s">
        <v>553</v>
      </c>
    </row>
    <row r="3210" spans="1:12" ht="15" x14ac:dyDescent="0.25">
      <c r="A3210">
        <v>318646</v>
      </c>
      <c r="B3210" t="str">
        <f t="shared" si="132"/>
        <v>SEVROLL 04312 maska ??Elegant II 6m zlatá</v>
      </c>
      <c r="C3210" s="198">
        <f t="shared" si="133"/>
        <v>11.224309999999999</v>
      </c>
      <c r="D3210" s="526" t="s">
        <v>3356</v>
      </c>
      <c r="E3210" s="526" t="s">
        <v>5488</v>
      </c>
      <c r="F3210" s="526" t="s">
        <v>5489</v>
      </c>
      <c r="G3210" s="526" t="s">
        <v>5490</v>
      </c>
      <c r="H3210" s="412">
        <v>310.7901</v>
      </c>
      <c r="I3210" s="411">
        <v>11.224309999999999</v>
      </c>
      <c r="J3210" s="411">
        <v>38.491100000000003</v>
      </c>
      <c r="K3210" s="411">
        <v>4272.8049000000001</v>
      </c>
      <c r="L3210" s="526" t="s">
        <v>554</v>
      </c>
    </row>
    <row r="3211" spans="1:12" ht="15" x14ac:dyDescent="0.25">
      <c r="A3211">
        <v>318655</v>
      </c>
      <c r="B3211" t="str">
        <f t="shared" si="132"/>
        <v>SEVROLL 04296 maska Elegant II 1,7m oliva</v>
      </c>
      <c r="C3211" s="198">
        <f t="shared" si="133"/>
        <v>3.1802299999999999</v>
      </c>
      <c r="D3211" s="526" t="s">
        <v>3357</v>
      </c>
      <c r="E3211" s="526" t="s">
        <v>5456</v>
      </c>
      <c r="F3211" s="526" t="s">
        <v>3357</v>
      </c>
      <c r="G3211" s="526" t="s">
        <v>5457</v>
      </c>
      <c r="H3211" s="412">
        <v>87.878579999999999</v>
      </c>
      <c r="I3211" s="411">
        <v>3.1802299999999999</v>
      </c>
      <c r="J3211" s="411">
        <v>10.917999999999999</v>
      </c>
      <c r="K3211" s="411">
        <v>1210.6283000000001</v>
      </c>
      <c r="L3211" s="526" t="s">
        <v>553</v>
      </c>
    </row>
    <row r="3212" spans="1:12" ht="15" x14ac:dyDescent="0.25">
      <c r="A3212">
        <v>318656</v>
      </c>
      <c r="B3212" t="str">
        <f t="shared" si="132"/>
        <v>SEVROLL 04313 maska Elegant II 1,7m biela lesk</v>
      </c>
      <c r="C3212" s="198">
        <f t="shared" si="133"/>
        <v>3.3074400000000002</v>
      </c>
      <c r="D3212" s="526" t="s">
        <v>3358</v>
      </c>
      <c r="E3212" s="526" t="s">
        <v>3639</v>
      </c>
      <c r="F3212" s="526" t="s">
        <v>3640</v>
      </c>
      <c r="G3212" s="526" t="s">
        <v>3641</v>
      </c>
      <c r="H3212" s="412">
        <v>91.450879999999998</v>
      </c>
      <c r="I3212" s="411">
        <v>3.3074400000000002</v>
      </c>
      <c r="J3212" s="411">
        <v>12.199199999999999</v>
      </c>
      <c r="K3212" s="411">
        <v>1259.0531100000001</v>
      </c>
      <c r="L3212" s="526" t="s">
        <v>553</v>
      </c>
    </row>
    <row r="3213" spans="1:12" ht="15" x14ac:dyDescent="0.25">
      <c r="A3213">
        <v>318657</v>
      </c>
      <c r="B3213" t="str">
        <f t="shared" si="132"/>
        <v>SEVROLL 04302 maska Elegant II 1,7m strieborná</v>
      </c>
      <c r="C3213" s="198">
        <f t="shared" si="133"/>
        <v>2.5441799999999999</v>
      </c>
      <c r="D3213" s="526" t="s">
        <v>3359</v>
      </c>
      <c r="E3213" s="526" t="s">
        <v>5458</v>
      </c>
      <c r="F3213" s="526" t="s">
        <v>5459</v>
      </c>
      <c r="G3213" s="526" t="s">
        <v>2404</v>
      </c>
      <c r="H3213" s="412">
        <v>70.731539999999995</v>
      </c>
      <c r="I3213" s="411">
        <v>2.5441799999999999</v>
      </c>
      <c r="J3213" s="411">
        <v>9.3840000000000003</v>
      </c>
      <c r="K3213" s="411">
        <v>968.50234999999998</v>
      </c>
      <c r="L3213" s="526" t="s">
        <v>710</v>
      </c>
    </row>
    <row r="3214" spans="1:12" ht="15" x14ac:dyDescent="0.25">
      <c r="A3214">
        <v>318658</v>
      </c>
      <c r="B3214" t="str">
        <f t="shared" si="132"/>
        <v>SEVROLL 04297 maska Elegant II 2,35m oliva</v>
      </c>
      <c r="C3214" s="198">
        <f t="shared" si="133"/>
        <v>4.3961899999999998</v>
      </c>
      <c r="D3214" s="526" t="s">
        <v>3360</v>
      </c>
      <c r="E3214" s="526" t="s">
        <v>5462</v>
      </c>
      <c r="F3214" s="526" t="s">
        <v>3360</v>
      </c>
      <c r="G3214" s="526" t="s">
        <v>5463</v>
      </c>
      <c r="H3214" s="412">
        <v>121.45820000000001</v>
      </c>
      <c r="I3214" s="411">
        <v>4.3961899999999998</v>
      </c>
      <c r="J3214" s="411">
        <v>15.089499999999999</v>
      </c>
      <c r="K3214" s="411">
        <v>1673.51511</v>
      </c>
      <c r="L3214" s="526" t="s">
        <v>553</v>
      </c>
    </row>
    <row r="3215" spans="1:12" ht="15" x14ac:dyDescent="0.25">
      <c r="A3215">
        <v>318659</v>
      </c>
      <c r="B3215" t="str">
        <f t="shared" si="132"/>
        <v>SEVROLL 04314 maska Elegant II 2,35m biela lesk</v>
      </c>
      <c r="C3215" s="198">
        <f t="shared" si="133"/>
        <v>4.5720400000000003</v>
      </c>
      <c r="D3215" s="526" t="s">
        <v>3361</v>
      </c>
      <c r="E3215" s="526" t="s">
        <v>3727</v>
      </c>
      <c r="F3215" s="526" t="s">
        <v>3728</v>
      </c>
      <c r="G3215" s="526" t="s">
        <v>3729</v>
      </c>
      <c r="H3215" s="412">
        <v>126.45941999999999</v>
      </c>
      <c r="I3215" s="411">
        <v>4.5720400000000003</v>
      </c>
      <c r="J3215" s="411">
        <v>16.870799999999999</v>
      </c>
      <c r="K3215" s="411">
        <v>1740.45587</v>
      </c>
      <c r="L3215" s="526" t="s">
        <v>553</v>
      </c>
    </row>
    <row r="3216" spans="1:12" ht="15" x14ac:dyDescent="0.25">
      <c r="A3216">
        <v>318660</v>
      </c>
      <c r="B3216" t="str">
        <f t="shared" si="132"/>
        <v>SEVROLL 04303 maska Elegant II 2,35m strieborná</v>
      </c>
      <c r="C3216" s="198">
        <f t="shared" si="133"/>
        <v>3.51694</v>
      </c>
      <c r="D3216" s="526" t="s">
        <v>3362</v>
      </c>
      <c r="E3216" s="526" t="s">
        <v>5464</v>
      </c>
      <c r="F3216" s="526" t="s">
        <v>5465</v>
      </c>
      <c r="G3216" s="526" t="s">
        <v>5466</v>
      </c>
      <c r="H3216" s="412">
        <v>97.166560000000004</v>
      </c>
      <c r="I3216" s="411">
        <v>3.51694</v>
      </c>
      <c r="J3216" s="411">
        <v>12.9846</v>
      </c>
      <c r="K3216" s="411">
        <v>1338.8123000000001</v>
      </c>
      <c r="L3216" s="526" t="s">
        <v>710</v>
      </c>
    </row>
    <row r="3217" spans="1:12" ht="15" x14ac:dyDescent="0.25">
      <c r="A3217">
        <v>318662</v>
      </c>
      <c r="B3217" t="str">
        <f t="shared" si="132"/>
        <v>SEVROLL 20368-SV tlmič dorazu Mini SV25 (14-25kg)</v>
      </c>
      <c r="C3217" s="198">
        <f t="shared" si="133"/>
        <v>22.75825</v>
      </c>
      <c r="D3217" s="526" t="s">
        <v>4619</v>
      </c>
      <c r="E3217" s="526" t="s">
        <v>4620</v>
      </c>
      <c r="F3217" s="526" t="s">
        <v>4621</v>
      </c>
      <c r="G3217" s="526" t="s">
        <v>4622</v>
      </c>
      <c r="H3217" s="412">
        <v>668.68830000000003</v>
      </c>
      <c r="I3217" s="411">
        <v>22.75825</v>
      </c>
      <c r="J3217" s="411">
        <v>96.889799999999994</v>
      </c>
      <c r="K3217" s="411">
        <v>8840.2861499999999</v>
      </c>
      <c r="L3217" s="526" t="s">
        <v>553</v>
      </c>
    </row>
    <row r="3218" spans="1:12" ht="15" x14ac:dyDescent="0.25">
      <c r="A3218">
        <v>318663</v>
      </c>
      <c r="B3218" t="str">
        <f t="shared" si="132"/>
        <v>SEVROLL 20363-SV tlmič Central 10/18mm obojstranný 25kg</v>
      </c>
      <c r="C3218" s="198">
        <f t="shared" si="133"/>
        <v>48.741869999999999</v>
      </c>
      <c r="D3218" s="526" t="s">
        <v>3363</v>
      </c>
      <c r="E3218" s="526" t="s">
        <v>4992</v>
      </c>
      <c r="F3218" s="526" t="s">
        <v>4993</v>
      </c>
      <c r="G3218" s="526" t="s">
        <v>4994</v>
      </c>
      <c r="H3218" s="412">
        <v>1432.14535</v>
      </c>
      <c r="I3218" s="411">
        <v>48.741869999999999</v>
      </c>
      <c r="J3218" s="411">
        <v>206.958</v>
      </c>
      <c r="K3218" s="411">
        <v>18933.446929999998</v>
      </c>
      <c r="L3218" s="526" t="s">
        <v>553</v>
      </c>
    </row>
    <row r="3219" spans="1:12" ht="15" x14ac:dyDescent="0.25">
      <c r="A3219">
        <v>318666</v>
      </c>
      <c r="B3219" t="str">
        <f t="shared" si="132"/>
        <v>SEVROLL 04273 Elegant II spodné vedenie 1,7m oliva</v>
      </c>
      <c r="C3219" s="198">
        <f t="shared" si="133"/>
        <v>10.308299999999999</v>
      </c>
      <c r="D3219" s="526" t="s">
        <v>3364</v>
      </c>
      <c r="E3219" s="526" t="s">
        <v>5180</v>
      </c>
      <c r="F3219" s="526" t="s">
        <v>5181</v>
      </c>
      <c r="G3219" s="526" t="s">
        <v>5182</v>
      </c>
      <c r="H3219" s="412">
        <v>285.42676999999998</v>
      </c>
      <c r="I3219" s="411">
        <v>10.308299999999999</v>
      </c>
      <c r="J3219" s="411">
        <v>39.086399999999998</v>
      </c>
      <c r="K3219" s="411">
        <v>3924.1047100000001</v>
      </c>
      <c r="L3219" s="526" t="s">
        <v>553</v>
      </c>
    </row>
    <row r="3220" spans="1:12" ht="15" x14ac:dyDescent="0.25">
      <c r="A3220">
        <v>318841</v>
      </c>
      <c r="B3220" t="str">
        <f t="shared" si="132"/>
        <v/>
      </c>
      <c r="C3220" s="198">
        <f t="shared" si="133"/>
        <v>0</v>
      </c>
      <c r="D3220" s="526" t="s">
        <v>1430</v>
      </c>
      <c r="E3220" s="526" t="s">
        <v>71</v>
      </c>
      <c r="F3220" s="526" t="s">
        <v>71</v>
      </c>
      <c r="G3220" s="526" t="s">
        <v>71</v>
      </c>
      <c r="H3220" s="412" t="e">
        <v>#N/A</v>
      </c>
      <c r="I3220" s="411">
        <v>0</v>
      </c>
      <c r="J3220" s="411">
        <v>0</v>
      </c>
      <c r="K3220" s="411">
        <v>4889.2752499999997</v>
      </c>
      <c r="L3220" s="526" t="e">
        <v>#N/A</v>
      </c>
    </row>
    <row r="3221" spans="1:12" ht="15" x14ac:dyDescent="0.25">
      <c r="A3221">
        <v>328321</v>
      </c>
      <c r="B3221" t="str">
        <f t="shared" si="132"/>
        <v>SEVROLL 10238 spodný vozík WD10 V 2ks bez pozicionéru</v>
      </c>
      <c r="C3221" s="198">
        <f t="shared" si="133"/>
        <v>5.9682199999999996</v>
      </c>
      <c r="D3221" s="526" t="s">
        <v>3365</v>
      </c>
      <c r="E3221" s="526" t="s">
        <v>5597</v>
      </c>
      <c r="F3221" s="526" t="s">
        <v>5598</v>
      </c>
      <c r="G3221" s="526" t="s">
        <v>5599</v>
      </c>
      <c r="H3221" s="412">
        <v>175.13265000000001</v>
      </c>
      <c r="I3221" s="411">
        <v>5.9682199999999996</v>
      </c>
      <c r="J3221" s="411">
        <v>26.52</v>
      </c>
      <c r="K3221" s="411">
        <v>2318.3200000000002</v>
      </c>
      <c r="L3221" s="526" t="s">
        <v>710</v>
      </c>
    </row>
    <row r="3222" spans="1:12" ht="15" x14ac:dyDescent="0.25">
      <c r="A3222">
        <v>328334</v>
      </c>
      <c r="B3222" t="str">
        <f t="shared" si="132"/>
        <v/>
      </c>
      <c r="C3222" s="198">
        <f t="shared" si="133"/>
        <v>0</v>
      </c>
      <c r="D3222" s="526" t="s">
        <v>1101</v>
      </c>
      <c r="E3222" s="526" t="s">
        <v>5743</v>
      </c>
      <c r="F3222" s="526" t="s">
        <v>71</v>
      </c>
      <c r="G3222" s="526" t="s">
        <v>5744</v>
      </c>
      <c r="H3222" s="412">
        <v>0</v>
      </c>
      <c r="I3222" s="411">
        <v>0</v>
      </c>
      <c r="J3222" s="411">
        <v>0</v>
      </c>
      <c r="K3222" s="411">
        <v>0</v>
      </c>
      <c r="L3222" s="526" t="s">
        <v>555</v>
      </c>
    </row>
    <row r="3223" spans="1:12" ht="15" x14ac:dyDescent="0.25">
      <c r="A3223">
        <v>328662</v>
      </c>
      <c r="B3223" t="str">
        <f t="shared" si="132"/>
        <v/>
      </c>
      <c r="C3223" s="198">
        <f t="shared" si="133"/>
        <v>3.9899900000000001</v>
      </c>
      <c r="D3223" s="526" t="s">
        <v>1300</v>
      </c>
      <c r="E3223" s="526" t="s">
        <v>1752</v>
      </c>
      <c r="F3223" s="526" t="s">
        <v>71</v>
      </c>
      <c r="G3223" s="526" t="s">
        <v>2336</v>
      </c>
      <c r="H3223" s="412">
        <v>260.96474000000001</v>
      </c>
      <c r="I3223" s="411">
        <v>3.9899900000000001</v>
      </c>
      <c r="J3223" s="411">
        <v>34.093000000000004</v>
      </c>
      <c r="K3223" s="411">
        <v>3901.8495800000001</v>
      </c>
      <c r="L3223" s="526" t="s">
        <v>556</v>
      </c>
    </row>
    <row r="3224" spans="1:12" ht="15" x14ac:dyDescent="0.25">
      <c r="A3224">
        <v>328825</v>
      </c>
      <c r="B3224" t="str">
        <f t="shared" si="132"/>
        <v>SEVROLL 04445 spojovacia lišta Simple/Blue H28 3m (pre lamino 18mm) strieborná</v>
      </c>
      <c r="C3224" s="198">
        <f t="shared" si="133"/>
        <v>19.66189</v>
      </c>
      <c r="D3224" s="526" t="s">
        <v>3366</v>
      </c>
      <c r="E3224" s="526" t="s">
        <v>4583</v>
      </c>
      <c r="F3224" s="526" t="s">
        <v>4584</v>
      </c>
      <c r="G3224" s="526" t="s">
        <v>4585</v>
      </c>
      <c r="H3224" s="412">
        <v>538.54349999999999</v>
      </c>
      <c r="I3224" s="411">
        <v>19.66189</v>
      </c>
      <c r="J3224" s="411">
        <v>70.338160000000002</v>
      </c>
      <c r="K3224" s="411">
        <v>7637.5261499999997</v>
      </c>
      <c r="L3224" s="526" t="s">
        <v>710</v>
      </c>
    </row>
    <row r="3225" spans="1:12" ht="15" x14ac:dyDescent="0.25">
      <c r="A3225">
        <v>334858</v>
      </c>
      <c r="B3225" t="str">
        <f t="shared" si="132"/>
        <v>SEVROLL 04289 Elegant II spodné vedenie 6m zlatá</v>
      </c>
      <c r="C3225" s="198">
        <f t="shared" si="133"/>
        <v>36.38223</v>
      </c>
      <c r="D3225" s="526" t="s">
        <v>3367</v>
      </c>
      <c r="E3225" s="526" t="s">
        <v>4854</v>
      </c>
      <c r="F3225" s="526" t="s">
        <v>4855</v>
      </c>
      <c r="G3225" s="526" t="s">
        <v>4856</v>
      </c>
      <c r="H3225" s="412">
        <v>1007.3886</v>
      </c>
      <c r="I3225" s="411">
        <v>36.38223</v>
      </c>
      <c r="J3225" s="411">
        <v>137.86320000000001</v>
      </c>
      <c r="K3225" s="411">
        <v>13849.7814</v>
      </c>
      <c r="L3225" s="526" t="s">
        <v>554</v>
      </c>
    </row>
    <row r="3226" spans="1:12" ht="15" x14ac:dyDescent="0.25">
      <c r="A3226">
        <v>335225</v>
      </c>
      <c r="B3226" t="str">
        <f t="shared" si="132"/>
        <v>K-SEVROLL sp.vozík V 10mm+mont.prípr.zadarmo</v>
      </c>
      <c r="C3226" s="198">
        <f t="shared" si="133"/>
        <v>0</v>
      </c>
      <c r="D3226" s="526" t="s">
        <v>1097</v>
      </c>
      <c r="E3226" s="526" t="s">
        <v>5739</v>
      </c>
      <c r="F3226" s="526" t="s">
        <v>1098</v>
      </c>
      <c r="G3226" s="526" t="s">
        <v>5740</v>
      </c>
      <c r="H3226" s="412" t="e">
        <v>#N/A</v>
      </c>
      <c r="I3226" s="411">
        <v>0</v>
      </c>
      <c r="J3226" s="411">
        <v>0</v>
      </c>
      <c r="K3226" s="411">
        <v>0</v>
      </c>
      <c r="L3226" s="526" t="e">
        <v>#N/A</v>
      </c>
    </row>
    <row r="3227" spans="1:12" ht="15" x14ac:dyDescent="0.25">
      <c r="A3227">
        <v>335227</v>
      </c>
      <c r="B3227" t="str">
        <f t="shared" si="132"/>
        <v>K-SEVROLL sp.vozík V 10mm+Fix+vrták zadarmo</v>
      </c>
      <c r="C3227" s="198">
        <f t="shared" si="133"/>
        <v>0</v>
      </c>
      <c r="D3227" s="526" t="s">
        <v>1099</v>
      </c>
      <c r="E3227" s="526" t="s">
        <v>5741</v>
      </c>
      <c r="F3227" s="526" t="s">
        <v>1100</v>
      </c>
      <c r="G3227" s="526" t="s">
        <v>5742</v>
      </c>
      <c r="H3227" s="412" t="e">
        <v>#N/A</v>
      </c>
      <c r="I3227" s="411">
        <v>0</v>
      </c>
      <c r="J3227" s="411">
        <v>0</v>
      </c>
      <c r="K3227" s="411">
        <v>0</v>
      </c>
      <c r="L3227" s="526" t="e">
        <v>#N/A</v>
      </c>
    </row>
    <row r="3228" spans="1:12" ht="15" x14ac:dyDescent="0.25">
      <c r="A3228">
        <v>335508</v>
      </c>
      <c r="B3228" t="str">
        <f t="shared" si="132"/>
        <v>SEVROLL 04414 Pax XL úchytová lišta 2,7m strieborná</v>
      </c>
      <c r="C3228" s="198">
        <f t="shared" si="133"/>
        <v>23.2485</v>
      </c>
      <c r="D3228" s="526" t="s">
        <v>1466</v>
      </c>
      <c r="E3228" s="526" t="s">
        <v>1902</v>
      </c>
      <c r="F3228" s="526" t="s">
        <v>5942</v>
      </c>
      <c r="G3228" s="526" t="s">
        <v>2440</v>
      </c>
      <c r="H3228" s="412">
        <v>643.72846000000004</v>
      </c>
      <c r="I3228" s="411">
        <v>23.2485</v>
      </c>
      <c r="J3228" s="411">
        <v>89.892600000000002</v>
      </c>
      <c r="K3228" s="411">
        <v>8850.1086099999993</v>
      </c>
      <c r="L3228" s="526" t="s">
        <v>554</v>
      </c>
    </row>
    <row r="3229" spans="1:12" ht="15" x14ac:dyDescent="0.25">
      <c r="A3229">
        <v>335509</v>
      </c>
      <c r="B3229" t="str">
        <f t="shared" si="132"/>
        <v>SEVROLL 04421 Pax XL horná vodiaca lišta 3m strieborná</v>
      </c>
      <c r="C3229" s="198">
        <f t="shared" si="133"/>
        <v>26.680299999999999</v>
      </c>
      <c r="D3229" s="526" t="s">
        <v>1467</v>
      </c>
      <c r="E3229" s="526" t="s">
        <v>1903</v>
      </c>
      <c r="F3229" s="526" t="s">
        <v>5943</v>
      </c>
      <c r="G3229" s="526" t="s">
        <v>2441</v>
      </c>
      <c r="H3229" s="412">
        <v>738.75163999999995</v>
      </c>
      <c r="I3229" s="411">
        <v>26.680299999999999</v>
      </c>
      <c r="J3229" s="411">
        <v>103.20359999999999</v>
      </c>
      <c r="K3229" s="411">
        <v>10156.506289999999</v>
      </c>
      <c r="L3229" s="526" t="s">
        <v>554</v>
      </c>
    </row>
    <row r="3230" spans="1:12" ht="15" x14ac:dyDescent="0.25">
      <c r="A3230">
        <v>335510</v>
      </c>
      <c r="B3230" t="str">
        <f t="shared" si="132"/>
        <v>SEVROLL 04419 Pax XL spodná krycia lišta 3m 4mm strieborná</v>
      </c>
      <c r="C3230" s="198">
        <f t="shared" si="133"/>
        <v>28.847750000000001</v>
      </c>
      <c r="D3230" s="526" t="s">
        <v>3368</v>
      </c>
      <c r="E3230" s="526" t="s">
        <v>1904</v>
      </c>
      <c r="F3230" s="526" t="s">
        <v>5944</v>
      </c>
      <c r="G3230" s="526" t="s">
        <v>2442</v>
      </c>
      <c r="H3230" s="412">
        <v>798.76628000000005</v>
      </c>
      <c r="I3230" s="411">
        <v>28.847750000000001</v>
      </c>
      <c r="J3230" s="411">
        <v>111.6186</v>
      </c>
      <c r="K3230" s="411">
        <v>10981.59957</v>
      </c>
      <c r="L3230" s="526" t="s">
        <v>554</v>
      </c>
    </row>
    <row r="3231" spans="1:12" ht="15" x14ac:dyDescent="0.25">
      <c r="A3231">
        <v>335513</v>
      </c>
      <c r="B3231" t="str">
        <f t="shared" si="132"/>
        <v>SEVROLL 20167 tesnenie pre profil Pax XL</v>
      </c>
      <c r="C3231" s="198">
        <f t="shared" si="133"/>
        <v>0.59347000000000005</v>
      </c>
      <c r="D3231" s="526" t="s">
        <v>1468</v>
      </c>
      <c r="E3231" s="526" t="s">
        <v>1905</v>
      </c>
      <c r="F3231" s="526" t="s">
        <v>5945</v>
      </c>
      <c r="G3231" s="526" t="s">
        <v>2443</v>
      </c>
      <c r="H3231" s="412">
        <v>17.437449999999998</v>
      </c>
      <c r="I3231" s="411">
        <v>0.59347000000000005</v>
      </c>
      <c r="J3231" s="411">
        <v>2.1318000000000001</v>
      </c>
      <c r="K3231" s="411">
        <v>230.52885000000001</v>
      </c>
      <c r="L3231" s="526" t="s">
        <v>554</v>
      </c>
    </row>
    <row r="3232" spans="1:12" ht="15" x14ac:dyDescent="0.25">
      <c r="A3232">
        <v>336796</v>
      </c>
      <c r="B3232" t="str">
        <f t="shared" si="132"/>
        <v>SEVROLL 04447 spojovacia lišta Simple/Blue H21 3m (pre lamino 18mm) strieborná</v>
      </c>
      <c r="C3232" s="198">
        <f t="shared" si="133"/>
        <v>11.32752</v>
      </c>
      <c r="D3232" s="526" t="s">
        <v>3369</v>
      </c>
      <c r="E3232" s="526" t="s">
        <v>4203</v>
      </c>
      <c r="F3232" s="526" t="s">
        <v>4204</v>
      </c>
      <c r="G3232" s="526" t="s">
        <v>4205</v>
      </c>
      <c r="H3232" s="412">
        <v>310.26325000000003</v>
      </c>
      <c r="I3232" s="411">
        <v>11.32752</v>
      </c>
      <c r="J3232" s="411">
        <v>46.268070000000002</v>
      </c>
      <c r="K3232" s="411">
        <v>4400.0969299999997</v>
      </c>
      <c r="L3232" s="526" t="s">
        <v>710</v>
      </c>
    </row>
    <row r="3233" spans="1:12" ht="15" x14ac:dyDescent="0.25">
      <c r="A3233">
        <v>340884</v>
      </c>
      <c r="B3233" t="str">
        <f t="shared" si="132"/>
        <v/>
      </c>
      <c r="C3233" s="198">
        <f t="shared" si="133"/>
        <v>0</v>
      </c>
      <c r="D3233" s="526" t="s">
        <v>1565</v>
      </c>
      <c r="E3233" s="526" t="s">
        <v>1993</v>
      </c>
      <c r="F3233" s="526" t="s">
        <v>71</v>
      </c>
      <c r="G3233" s="526" t="s">
        <v>2503</v>
      </c>
      <c r="H3233" s="412">
        <v>0</v>
      </c>
      <c r="I3233" s="411">
        <v>0</v>
      </c>
      <c r="J3233" s="411">
        <v>0</v>
      </c>
      <c r="K3233" s="411">
        <v>0</v>
      </c>
      <c r="L3233" s="526" t="s">
        <v>555</v>
      </c>
    </row>
    <row r="3234" spans="1:12" ht="15" x14ac:dyDescent="0.25">
      <c r="A3234">
        <v>341559</v>
      </c>
      <c r="B3234" t="str">
        <f t="shared" si="132"/>
        <v>SEVROLL 04748 Rekord úchytová lišta 18mm 2,70m strieborná</v>
      </c>
      <c r="C3234" s="198">
        <f t="shared" si="133"/>
        <v>12.359640000000001</v>
      </c>
      <c r="D3234" s="526" t="s">
        <v>3370</v>
      </c>
      <c r="E3234" s="526" t="s">
        <v>4249</v>
      </c>
      <c r="F3234" s="526" t="s">
        <v>4250</v>
      </c>
      <c r="G3234" s="526" t="s">
        <v>4251</v>
      </c>
      <c r="H3234" s="412">
        <v>338.53325000000001</v>
      </c>
      <c r="I3234" s="411">
        <v>12.359640000000001</v>
      </c>
      <c r="J3234" s="411">
        <v>51.239409999999999</v>
      </c>
      <c r="K3234" s="411">
        <v>4801.0169299999998</v>
      </c>
      <c r="L3234" s="526" t="s">
        <v>710</v>
      </c>
    </row>
    <row r="3235" spans="1:12" ht="15" x14ac:dyDescent="0.25">
      <c r="A3235">
        <v>341560</v>
      </c>
      <c r="B3235" t="str">
        <f t="shared" si="132"/>
        <v>SEVROLL 04747 Rekord úchytová lišta 18mm 2,70m oliva</v>
      </c>
      <c r="C3235" s="198">
        <f t="shared" si="133"/>
        <v>15.44956</v>
      </c>
      <c r="D3235" s="526" t="s">
        <v>3371</v>
      </c>
      <c r="E3235" s="526" t="s">
        <v>5503</v>
      </c>
      <c r="F3235" s="526" t="s">
        <v>3371</v>
      </c>
      <c r="G3235" s="526" t="s">
        <v>5504</v>
      </c>
      <c r="H3235" s="412">
        <v>423.34325000000001</v>
      </c>
      <c r="I3235" s="411">
        <v>15.44956</v>
      </c>
      <c r="J3235" s="411">
        <v>58.838009999999997</v>
      </c>
      <c r="K3235" s="411">
        <v>6001.2715500000004</v>
      </c>
      <c r="L3235" s="526" t="s">
        <v>553</v>
      </c>
    </row>
    <row r="3236" spans="1:12" ht="15" x14ac:dyDescent="0.25">
      <c r="A3236">
        <v>341987</v>
      </c>
      <c r="B3236" t="str">
        <f t="shared" si="132"/>
        <v>SEVROLL 10231 Micra brzda (2ks v balení)</v>
      </c>
      <c r="C3236" s="198">
        <f t="shared" si="133"/>
        <v>0.59347000000000005</v>
      </c>
      <c r="D3236" s="526" t="s">
        <v>3372</v>
      </c>
      <c r="E3236" s="526" t="s">
        <v>6234</v>
      </c>
      <c r="F3236" s="526" t="s">
        <v>3372</v>
      </c>
      <c r="G3236" s="526" t="s">
        <v>6235</v>
      </c>
      <c r="H3236" s="412">
        <v>16.432580000000002</v>
      </c>
      <c r="I3236" s="411">
        <v>0.59347000000000005</v>
      </c>
      <c r="J3236" s="411">
        <v>2.1215999999999999</v>
      </c>
      <c r="K3236" s="411">
        <v>225.91827000000001</v>
      </c>
      <c r="L3236" s="526" t="s">
        <v>553</v>
      </c>
    </row>
    <row r="3237" spans="1:12" ht="15" x14ac:dyDescent="0.25">
      <c r="A3237">
        <v>342177</v>
      </c>
      <c r="B3237" t="str">
        <f t="shared" si="132"/>
        <v>SEVROLL 20265-SV sada kovania pre tlmič Mini</v>
      </c>
      <c r="C3237" s="198">
        <f t="shared" si="133"/>
        <v>2.0642399999999999</v>
      </c>
      <c r="D3237" s="526" t="s">
        <v>1555</v>
      </c>
      <c r="E3237" s="526" t="s">
        <v>1985</v>
      </c>
      <c r="F3237" s="526" t="s">
        <v>6061</v>
      </c>
      <c r="G3237" s="526" t="s">
        <v>6062</v>
      </c>
      <c r="H3237" s="412">
        <v>60.652000000000001</v>
      </c>
      <c r="I3237" s="411">
        <v>2.0642399999999999</v>
      </c>
      <c r="J3237" s="411">
        <v>6.9930000000000003</v>
      </c>
      <c r="K3237" s="411">
        <v>801.84</v>
      </c>
      <c r="L3237" s="526" t="s">
        <v>554</v>
      </c>
    </row>
    <row r="3238" spans="1:12" ht="15" x14ac:dyDescent="0.25">
      <c r="A3238">
        <v>342428</v>
      </c>
      <c r="B3238" t="str">
        <f t="shared" si="132"/>
        <v/>
      </c>
      <c r="C3238" s="198">
        <f t="shared" si="133"/>
        <v>2.2679999999999999E-2</v>
      </c>
      <c r="D3238" s="526" t="s">
        <v>1556</v>
      </c>
      <c r="E3238" s="526" t="s">
        <v>71</v>
      </c>
      <c r="F3238" s="526" t="s">
        <v>71</v>
      </c>
      <c r="G3238" s="526" t="s">
        <v>71</v>
      </c>
      <c r="H3238" s="412">
        <v>0</v>
      </c>
      <c r="I3238" s="411">
        <v>2.2679999999999999E-2</v>
      </c>
      <c r="J3238" s="411">
        <v>0</v>
      </c>
      <c r="K3238" s="411">
        <v>0</v>
      </c>
      <c r="L3238" s="526" t="s">
        <v>555</v>
      </c>
    </row>
    <row r="3239" spans="1:12" ht="15" x14ac:dyDescent="0.25">
      <c r="A3239">
        <v>343109</v>
      </c>
      <c r="B3239" t="str">
        <f t="shared" si="132"/>
        <v>SEVROLL 10227-SV Eden sada kovania pre dvojo dverí</v>
      </c>
      <c r="C3239" s="198">
        <f t="shared" si="133"/>
        <v>46.476370000000003</v>
      </c>
      <c r="D3239" s="526" t="s">
        <v>1531</v>
      </c>
      <c r="E3239" s="526" t="s">
        <v>1959</v>
      </c>
      <c r="F3239" s="526" t="s">
        <v>6037</v>
      </c>
      <c r="G3239" s="526" t="s">
        <v>2383</v>
      </c>
      <c r="H3239" s="412">
        <v>1286.7424599999999</v>
      </c>
      <c r="I3239" s="411">
        <v>46.476370000000003</v>
      </c>
      <c r="J3239" s="411">
        <v>156.9102</v>
      </c>
      <c r="K3239" s="411">
        <v>17692.35915</v>
      </c>
      <c r="L3239" s="526" t="s">
        <v>553</v>
      </c>
    </row>
    <row r="3240" spans="1:12" ht="15" x14ac:dyDescent="0.25">
      <c r="A3240">
        <v>343110</v>
      </c>
      <c r="B3240" t="str">
        <f t="shared" si="132"/>
        <v>SEVROLL 10226-SV Eden sada kovania pre vnútorné dvere</v>
      </c>
      <c r="C3240" s="198">
        <f t="shared" si="133"/>
        <v>22.96855</v>
      </c>
      <c r="D3240" s="526" t="s">
        <v>1532</v>
      </c>
      <c r="E3240" s="526" t="s">
        <v>1960</v>
      </c>
      <c r="F3240" s="526" t="s">
        <v>6038</v>
      </c>
      <c r="G3240" s="526" t="s">
        <v>2479</v>
      </c>
      <c r="H3240" s="412">
        <v>635.86940000000004</v>
      </c>
      <c r="I3240" s="411">
        <v>22.96855</v>
      </c>
      <c r="J3240" s="411">
        <v>77.497200000000007</v>
      </c>
      <c r="K3240" s="411">
        <v>8743.5340099999994</v>
      </c>
      <c r="L3240" s="526" t="s">
        <v>554</v>
      </c>
    </row>
    <row r="3241" spans="1:12" ht="15" x14ac:dyDescent="0.25">
      <c r="A3241">
        <v>343112</v>
      </c>
      <c r="B3241" t="str">
        <f t="shared" si="132"/>
        <v>SEVROLL 04715 Eden horné vedenie  1,7m strieborná</v>
      </c>
      <c r="C3241" s="198">
        <f t="shared" si="133"/>
        <v>8.0763400000000001</v>
      </c>
      <c r="D3241" s="526" t="s">
        <v>1533</v>
      </c>
      <c r="E3241" s="526" t="s">
        <v>1961</v>
      </c>
      <c r="F3241" s="526" t="s">
        <v>6039</v>
      </c>
      <c r="G3241" s="526" t="s">
        <v>2480</v>
      </c>
      <c r="H3241" s="412">
        <v>223.62598</v>
      </c>
      <c r="I3241" s="411">
        <v>8.0763400000000001</v>
      </c>
      <c r="J3241" s="411">
        <v>27.253799999999998</v>
      </c>
      <c r="K3241" s="411">
        <v>3074.45487</v>
      </c>
      <c r="L3241" s="526" t="s">
        <v>554</v>
      </c>
    </row>
    <row r="3242" spans="1:12" ht="15" x14ac:dyDescent="0.25">
      <c r="A3242">
        <v>343113</v>
      </c>
      <c r="B3242" t="str">
        <f t="shared" si="132"/>
        <v>SEVROLL 04717 Eden horné vedenie 1,7m biela lesk</v>
      </c>
      <c r="C3242" s="198">
        <f t="shared" si="133"/>
        <v>10.49924</v>
      </c>
      <c r="D3242" s="526" t="s">
        <v>1534</v>
      </c>
      <c r="E3242" s="526" t="s">
        <v>1962</v>
      </c>
      <c r="F3242" s="526" t="s">
        <v>6040</v>
      </c>
      <c r="G3242" s="526" t="s">
        <v>2481</v>
      </c>
      <c r="H3242" s="412">
        <v>290.78521999999998</v>
      </c>
      <c r="I3242" s="411">
        <v>10.49924</v>
      </c>
      <c r="J3242" s="411">
        <v>35.374200000000002</v>
      </c>
      <c r="K3242" s="411">
        <v>3996.7916700000001</v>
      </c>
      <c r="L3242" s="526" t="s">
        <v>554</v>
      </c>
    </row>
    <row r="3243" spans="1:12" ht="15" x14ac:dyDescent="0.25">
      <c r="A3243">
        <v>343115</v>
      </c>
      <c r="B3243" t="str">
        <f t="shared" si="132"/>
        <v>SEVROLL 04716 Eden horné vedenie  2,35m strieborná</v>
      </c>
      <c r="C3243" s="198">
        <f t="shared" si="133"/>
        <v>11.1469</v>
      </c>
      <c r="D3243" s="526" t="s">
        <v>1535</v>
      </c>
      <c r="E3243" s="526" t="s">
        <v>1963</v>
      </c>
      <c r="F3243" s="526" t="s">
        <v>6041</v>
      </c>
      <c r="G3243" s="526" t="s">
        <v>2382</v>
      </c>
      <c r="H3243" s="412">
        <v>308.64672000000002</v>
      </c>
      <c r="I3243" s="411">
        <v>11.1469</v>
      </c>
      <c r="J3243" s="411">
        <v>37.656799999999997</v>
      </c>
      <c r="K3243" s="411">
        <v>4243.3374299999996</v>
      </c>
      <c r="L3243" s="526" t="s">
        <v>554</v>
      </c>
    </row>
    <row r="3244" spans="1:12" ht="15" x14ac:dyDescent="0.25">
      <c r="A3244">
        <v>343116</v>
      </c>
      <c r="B3244" t="str">
        <f t="shared" si="132"/>
        <v>SEVROLL 04718 Eden horné vedenie 2,35 m biela lesk</v>
      </c>
      <c r="C3244" s="198">
        <f t="shared" si="133"/>
        <v>14.490970000000001</v>
      </c>
      <c r="D3244" s="526" t="s">
        <v>1536</v>
      </c>
      <c r="E3244" s="526" t="s">
        <v>1964</v>
      </c>
      <c r="F3244" s="526" t="s">
        <v>6042</v>
      </c>
      <c r="G3244" s="526" t="s">
        <v>2482</v>
      </c>
      <c r="H3244" s="412">
        <v>401.52652</v>
      </c>
      <c r="I3244" s="411">
        <v>14.490970000000001</v>
      </c>
      <c r="J3244" s="411">
        <v>48.848399999999998</v>
      </c>
      <c r="K3244" s="411">
        <v>5516.3385900000003</v>
      </c>
      <c r="L3244" s="526" t="s">
        <v>554</v>
      </c>
    </row>
    <row r="3245" spans="1:12" ht="15" x14ac:dyDescent="0.25">
      <c r="A3245">
        <v>343117</v>
      </c>
      <c r="B3245" t="str">
        <f t="shared" si="132"/>
        <v>SEVROLL 04697 Eden horné vedenie  3m strieborná</v>
      </c>
      <c r="C3245" s="198">
        <f t="shared" si="133"/>
        <v>14.243259999999999</v>
      </c>
      <c r="D3245" s="526" t="s">
        <v>1537</v>
      </c>
      <c r="E3245" s="526" t="s">
        <v>1965</v>
      </c>
      <c r="F3245" s="526" t="s">
        <v>6043</v>
      </c>
      <c r="G3245" s="526" t="s">
        <v>2483</v>
      </c>
      <c r="H3245" s="412">
        <v>394.38191999999998</v>
      </c>
      <c r="I3245" s="411">
        <v>14.243259999999999</v>
      </c>
      <c r="J3245" s="411">
        <v>48.100999999999999</v>
      </c>
      <c r="K3245" s="411">
        <v>5422.04223</v>
      </c>
      <c r="L3245" s="526" t="s">
        <v>554</v>
      </c>
    </row>
    <row r="3246" spans="1:12" ht="15" x14ac:dyDescent="0.25">
      <c r="A3246">
        <v>343118</v>
      </c>
      <c r="B3246" t="str">
        <f t="shared" si="132"/>
        <v>SEVROLL 04698 Eden horné vedenie 3m biela lesk</v>
      </c>
      <c r="C3246" s="198">
        <f t="shared" si="133"/>
        <v>18.51624</v>
      </c>
      <c r="D3246" s="526" t="s">
        <v>1538</v>
      </c>
      <c r="E3246" s="526" t="s">
        <v>1966</v>
      </c>
      <c r="F3246" s="526" t="s">
        <v>6044</v>
      </c>
      <c r="G3246" s="526" t="s">
        <v>2484</v>
      </c>
      <c r="H3246" s="412">
        <v>512.98227999999995</v>
      </c>
      <c r="I3246" s="411">
        <v>18.51624</v>
      </c>
      <c r="J3246" s="411">
        <v>62.645000000000003</v>
      </c>
      <c r="K3246" s="411">
        <v>7048.6545299999998</v>
      </c>
      <c r="L3246" s="526" t="s">
        <v>554</v>
      </c>
    </row>
    <row r="3247" spans="1:12" ht="15" x14ac:dyDescent="0.25">
      <c r="A3247">
        <v>343119</v>
      </c>
      <c r="B3247" t="str">
        <f t="shared" si="132"/>
        <v>SEVROLL 04728 Eden horné vedenie 6m strieborná</v>
      </c>
      <c r="C3247" s="198">
        <f t="shared" si="133"/>
        <v>28.486509999999999</v>
      </c>
      <c r="D3247" s="526" t="s">
        <v>1539</v>
      </c>
      <c r="E3247" s="526" t="s">
        <v>1967</v>
      </c>
      <c r="F3247" s="526" t="s">
        <v>6045</v>
      </c>
      <c r="G3247" s="526" t="s">
        <v>2485</v>
      </c>
      <c r="H3247" s="412">
        <v>788.76383999999996</v>
      </c>
      <c r="I3247" s="411">
        <v>28.486509999999999</v>
      </c>
      <c r="J3247" s="411">
        <v>96.191699999999997</v>
      </c>
      <c r="K3247" s="411">
        <v>10844.08409</v>
      </c>
      <c r="L3247" s="526" t="s">
        <v>554</v>
      </c>
    </row>
    <row r="3248" spans="1:12" ht="15" x14ac:dyDescent="0.25">
      <c r="A3248">
        <v>343120</v>
      </c>
      <c r="B3248" t="str">
        <f t="shared" si="132"/>
        <v>SEVROLL 04727 Eden horné vedenie 6m biela lesk</v>
      </c>
      <c r="C3248" s="198">
        <f t="shared" si="133"/>
        <v>37.03248</v>
      </c>
      <c r="D3248" s="526" t="s">
        <v>1540</v>
      </c>
      <c r="E3248" s="526" t="s">
        <v>1968</v>
      </c>
      <c r="F3248" s="526" t="s">
        <v>6046</v>
      </c>
      <c r="G3248" s="526" t="s">
        <v>2486</v>
      </c>
      <c r="H3248" s="412">
        <v>1025.2501</v>
      </c>
      <c r="I3248" s="411">
        <v>37.03248</v>
      </c>
      <c r="J3248" s="411">
        <v>125.76300000000001</v>
      </c>
      <c r="K3248" s="411">
        <v>14097.309429999999</v>
      </c>
      <c r="L3248" s="526" t="s">
        <v>554</v>
      </c>
    </row>
    <row r="3249" spans="1:12" ht="15" x14ac:dyDescent="0.25">
      <c r="A3249">
        <v>343327</v>
      </c>
      <c r="B3249" t="str">
        <f t="shared" si="132"/>
        <v>SEVROLL 04721 Eden horizontálna lišta 1,7m strieborná</v>
      </c>
      <c r="C3249" s="198">
        <f t="shared" si="133"/>
        <v>21.829339999999998</v>
      </c>
      <c r="D3249" s="526" t="s">
        <v>1541</v>
      </c>
      <c r="E3249" s="526" t="s">
        <v>1969</v>
      </c>
      <c r="F3249" s="526" t="s">
        <v>6047</v>
      </c>
      <c r="G3249" s="526" t="s">
        <v>2487</v>
      </c>
      <c r="H3249" s="412">
        <v>604.43316000000004</v>
      </c>
      <c r="I3249" s="411">
        <v>21.829339999999998</v>
      </c>
      <c r="J3249" s="411">
        <v>74.0655</v>
      </c>
      <c r="K3249" s="411">
        <v>8309.8689099999992</v>
      </c>
      <c r="L3249" s="526" t="s">
        <v>554</v>
      </c>
    </row>
    <row r="3250" spans="1:12" ht="15" x14ac:dyDescent="0.25">
      <c r="A3250">
        <v>343328</v>
      </c>
      <c r="B3250" t="str">
        <f t="shared" si="132"/>
        <v>SEVROLL 04725 Eden XL horizontálna lišta 1,7m strieborná</v>
      </c>
      <c r="C3250" s="198">
        <f t="shared" si="133"/>
        <v>24.306429999999999</v>
      </c>
      <c r="D3250" s="526" t="s">
        <v>1542</v>
      </c>
      <c r="E3250" s="526" t="s">
        <v>1970</v>
      </c>
      <c r="F3250" s="526" t="s">
        <v>6048</v>
      </c>
      <c r="G3250" s="526" t="s">
        <v>2488</v>
      </c>
      <c r="H3250" s="412">
        <v>673.02131999999995</v>
      </c>
      <c r="I3250" s="411">
        <v>24.306429999999999</v>
      </c>
      <c r="J3250" s="411">
        <v>82.469399999999993</v>
      </c>
      <c r="K3250" s="411">
        <v>9252.8328299999994</v>
      </c>
      <c r="L3250" s="526" t="s">
        <v>554</v>
      </c>
    </row>
    <row r="3251" spans="1:12" ht="15" x14ac:dyDescent="0.25">
      <c r="A3251">
        <v>343329</v>
      </c>
      <c r="B3251" t="str">
        <f t="shared" si="132"/>
        <v>SEVROLL 04723 Eden XL horizontálna lišta 1,7m biela lesk</v>
      </c>
      <c r="C3251" s="198">
        <f t="shared" si="133"/>
        <v>31.60868</v>
      </c>
      <c r="D3251" s="526" t="s">
        <v>1543</v>
      </c>
      <c r="E3251" s="526" t="s">
        <v>1971</v>
      </c>
      <c r="F3251" s="526" t="s">
        <v>6049</v>
      </c>
      <c r="G3251" s="526" t="s">
        <v>2489</v>
      </c>
      <c r="H3251" s="412">
        <v>875.21349999999995</v>
      </c>
      <c r="I3251" s="411">
        <v>31.60868</v>
      </c>
      <c r="J3251" s="411">
        <v>107.2124</v>
      </c>
      <c r="K3251" s="411">
        <v>12032.611500000001</v>
      </c>
      <c r="L3251" s="526" t="s">
        <v>554</v>
      </c>
    </row>
    <row r="3252" spans="1:12" ht="15" x14ac:dyDescent="0.25">
      <c r="A3252">
        <v>343330</v>
      </c>
      <c r="B3252" t="str">
        <f t="shared" si="132"/>
        <v>SEVROLL 04719 Eden horizontálna lišta 1,7m biela lesk</v>
      </c>
      <c r="C3252" s="198">
        <f t="shared" si="133"/>
        <v>28.383299999999998</v>
      </c>
      <c r="D3252" s="526" t="s">
        <v>1544</v>
      </c>
      <c r="E3252" s="526" t="s">
        <v>1972</v>
      </c>
      <c r="F3252" s="526" t="s">
        <v>6050</v>
      </c>
      <c r="G3252" s="526" t="s">
        <v>2490</v>
      </c>
      <c r="H3252" s="412">
        <v>785.90599999999995</v>
      </c>
      <c r="I3252" s="411">
        <v>28.383299999999998</v>
      </c>
      <c r="J3252" s="411">
        <v>97.540999999999997</v>
      </c>
      <c r="K3252" s="411">
        <v>10804.794</v>
      </c>
      <c r="L3252" s="526" t="s">
        <v>554</v>
      </c>
    </row>
    <row r="3253" spans="1:12" ht="15" x14ac:dyDescent="0.25">
      <c r="A3253">
        <v>343331</v>
      </c>
      <c r="B3253" t="str">
        <f t="shared" si="132"/>
        <v>SEVROLL 04720 Eden horizontálna lišta 2,35 m biela lesk</v>
      </c>
      <c r="C3253" s="198">
        <f t="shared" si="133"/>
        <v>39.220559999999999</v>
      </c>
      <c r="D3253" s="526" t="s">
        <v>1545</v>
      </c>
      <c r="E3253" s="526" t="s">
        <v>1973</v>
      </c>
      <c r="F3253" s="526" t="s">
        <v>6051</v>
      </c>
      <c r="G3253" s="526" t="s">
        <v>2491</v>
      </c>
      <c r="H3253" s="412">
        <v>1085.9792</v>
      </c>
      <c r="I3253" s="411">
        <v>39.220559999999999</v>
      </c>
      <c r="J3253" s="411">
        <v>134.827</v>
      </c>
      <c r="K3253" s="411">
        <v>14930.2608</v>
      </c>
      <c r="L3253" s="526" t="s">
        <v>554</v>
      </c>
    </row>
    <row r="3254" spans="1:12" ht="15" x14ac:dyDescent="0.25">
      <c r="A3254">
        <v>343332</v>
      </c>
      <c r="B3254" t="str">
        <f t="shared" si="132"/>
        <v>SEVROLL 04724 Eden XL horizontálna lišta 2,35 m biela lesk</v>
      </c>
      <c r="C3254" s="198">
        <f t="shared" si="133"/>
        <v>43.684480000000001</v>
      </c>
      <c r="D3254" s="526" t="s">
        <v>1546</v>
      </c>
      <c r="E3254" s="526" t="s">
        <v>1974</v>
      </c>
      <c r="F3254" s="526" t="s">
        <v>6052</v>
      </c>
      <c r="G3254" s="526" t="s">
        <v>2492</v>
      </c>
      <c r="H3254" s="412">
        <v>1209.58078</v>
      </c>
      <c r="I3254" s="411">
        <v>43.684480000000001</v>
      </c>
      <c r="J3254" s="411">
        <v>148.2182</v>
      </c>
      <c r="K3254" s="411">
        <v>16629.56007</v>
      </c>
      <c r="L3254" s="526" t="s">
        <v>554</v>
      </c>
    </row>
    <row r="3255" spans="1:12" ht="15" x14ac:dyDescent="0.25">
      <c r="A3255">
        <v>343333</v>
      </c>
      <c r="B3255" t="str">
        <f t="shared" si="132"/>
        <v>SEVROLL 04726 Eden XL horizontálna lišta 2,35m strieborná</v>
      </c>
      <c r="C3255" s="198">
        <f t="shared" si="133"/>
        <v>33.595509999999997</v>
      </c>
      <c r="D3255" s="526" t="s">
        <v>1547</v>
      </c>
      <c r="E3255" s="526" t="s">
        <v>1975</v>
      </c>
      <c r="F3255" s="526" t="s">
        <v>6053</v>
      </c>
      <c r="G3255" s="526" t="s">
        <v>2493</v>
      </c>
      <c r="H3255" s="412">
        <v>930.22691999999995</v>
      </c>
      <c r="I3255" s="411">
        <v>33.595509999999997</v>
      </c>
      <c r="J3255" s="411">
        <v>114.0249</v>
      </c>
      <c r="K3255" s="411">
        <v>12788.94723</v>
      </c>
      <c r="L3255" s="526" t="s">
        <v>554</v>
      </c>
    </row>
    <row r="3256" spans="1:12" ht="15" x14ac:dyDescent="0.25">
      <c r="A3256">
        <v>343334</v>
      </c>
      <c r="B3256" t="str">
        <f t="shared" ref="B3256:B3319" si="134">IF($A$2=1,D3256,IF($A$2=2,F3256,IF($A$2=3,G3256,IF($A$2=4,E3256,"zadat jazyk"))))</f>
        <v>SEVROLL 04722 Eden horizontálna lišta 2,35m strieborná</v>
      </c>
      <c r="C3256" s="198">
        <f t="shared" ref="C3256:C3319" si="135">IF($A$2=1,H3256,IF($A$2=2,I3256,IF($A$2=3,J3256,IF($A$2=4,K3256,"zadat jazyk"))))</f>
        <v>30.163709999999998</v>
      </c>
      <c r="D3256" s="526" t="s">
        <v>1548</v>
      </c>
      <c r="E3256" s="526" t="s">
        <v>1976</v>
      </c>
      <c r="F3256" s="526" t="s">
        <v>6054</v>
      </c>
      <c r="G3256" s="526" t="s">
        <v>2494</v>
      </c>
      <c r="H3256" s="412">
        <v>835.20374000000004</v>
      </c>
      <c r="I3256" s="411">
        <v>30.163709999999998</v>
      </c>
      <c r="J3256" s="411">
        <v>102.36190000000001</v>
      </c>
      <c r="K3256" s="411">
        <v>11482.54919</v>
      </c>
      <c r="L3256" s="526" t="s">
        <v>554</v>
      </c>
    </row>
    <row r="3257" spans="1:12" ht="15" x14ac:dyDescent="0.25">
      <c r="A3257">
        <v>343335</v>
      </c>
      <c r="B3257" t="str">
        <f t="shared" si="134"/>
        <v>SEVROLL 04686 Eden horizontálna lišta 3m strieborná</v>
      </c>
      <c r="C3257" s="198">
        <f t="shared" si="135"/>
        <v>38.498080000000002</v>
      </c>
      <c r="D3257" s="526" t="s">
        <v>1549</v>
      </c>
      <c r="E3257" s="526" t="s">
        <v>1977</v>
      </c>
      <c r="F3257" s="526" t="s">
        <v>6055</v>
      </c>
      <c r="G3257" s="526" t="s">
        <v>2495</v>
      </c>
      <c r="H3257" s="412">
        <v>1065.97432</v>
      </c>
      <c r="I3257" s="411">
        <v>38.498080000000002</v>
      </c>
      <c r="J3257" s="411">
        <v>130.66919999999999</v>
      </c>
      <c r="K3257" s="411">
        <v>14655.22983</v>
      </c>
      <c r="L3257" s="526" t="s">
        <v>554</v>
      </c>
    </row>
    <row r="3258" spans="1:12" ht="15" x14ac:dyDescent="0.25">
      <c r="A3258">
        <v>343336</v>
      </c>
      <c r="B3258" t="str">
        <f t="shared" si="134"/>
        <v>SEVROLL 04688 Eden XL horizontálna lišta 3m strieborná</v>
      </c>
      <c r="C3258" s="198">
        <f t="shared" si="135"/>
        <v>42.884590000000003</v>
      </c>
      <c r="D3258" s="526" t="s">
        <v>1550</v>
      </c>
      <c r="E3258" s="526" t="s">
        <v>1978</v>
      </c>
      <c r="F3258" s="526" t="s">
        <v>6056</v>
      </c>
      <c r="G3258" s="526" t="s">
        <v>2496</v>
      </c>
      <c r="H3258" s="412">
        <v>1187.4325200000001</v>
      </c>
      <c r="I3258" s="411">
        <v>42.884590000000003</v>
      </c>
      <c r="J3258" s="411">
        <v>145.52590000000001</v>
      </c>
      <c r="K3258" s="411">
        <v>16325.06163</v>
      </c>
      <c r="L3258" s="526" t="s">
        <v>554</v>
      </c>
    </row>
    <row r="3259" spans="1:12" ht="15" x14ac:dyDescent="0.25">
      <c r="A3259">
        <v>343337</v>
      </c>
      <c r="B3259" t="str">
        <f t="shared" si="134"/>
        <v>SEVROLL 04689 Eden XL horizontálna lišta 3m biela lesk</v>
      </c>
      <c r="C3259" s="198">
        <f t="shared" si="135"/>
        <v>55.760280000000002</v>
      </c>
      <c r="D3259" s="526" t="s">
        <v>1551</v>
      </c>
      <c r="E3259" s="526" t="s">
        <v>1979</v>
      </c>
      <c r="F3259" s="526" t="s">
        <v>6057</v>
      </c>
      <c r="G3259" s="526" t="s">
        <v>2497</v>
      </c>
      <c r="H3259" s="412">
        <v>1543.9480599999999</v>
      </c>
      <c r="I3259" s="411">
        <v>55.760280000000002</v>
      </c>
      <c r="J3259" s="411">
        <v>189.2131</v>
      </c>
      <c r="K3259" s="411">
        <v>21226.509010000002</v>
      </c>
      <c r="L3259" s="526" t="s">
        <v>554</v>
      </c>
    </row>
    <row r="3260" spans="1:12" ht="15" x14ac:dyDescent="0.25">
      <c r="A3260">
        <v>343338</v>
      </c>
      <c r="B3260" t="str">
        <f t="shared" si="134"/>
        <v>SEVROLL 04687 Eden horizontálna lišta 3m biela lesk</v>
      </c>
      <c r="C3260" s="198">
        <f t="shared" si="135"/>
        <v>50.05782</v>
      </c>
      <c r="D3260" s="526" t="s">
        <v>3373</v>
      </c>
      <c r="E3260" s="526" t="s">
        <v>1980</v>
      </c>
      <c r="F3260" s="526" t="s">
        <v>6058</v>
      </c>
      <c r="G3260" s="526" t="s">
        <v>2498</v>
      </c>
      <c r="H3260" s="412">
        <v>1386.0524</v>
      </c>
      <c r="I3260" s="411">
        <v>50.05782</v>
      </c>
      <c r="J3260" s="411">
        <v>172.1027</v>
      </c>
      <c r="K3260" s="411">
        <v>19055.727599999998</v>
      </c>
      <c r="L3260" s="526" t="s">
        <v>554</v>
      </c>
    </row>
    <row r="3261" spans="1:12" ht="15" x14ac:dyDescent="0.25">
      <c r="A3261">
        <v>343373</v>
      </c>
      <c r="B3261" t="str">
        <f t="shared" si="134"/>
        <v>SEVROLL 04749 Eden horná krytka 1,1m strieborná</v>
      </c>
      <c r="C3261" s="198">
        <f t="shared" si="135"/>
        <v>3.71563</v>
      </c>
      <c r="D3261" s="526" t="s">
        <v>3374</v>
      </c>
      <c r="E3261" s="526" t="s">
        <v>1981</v>
      </c>
      <c r="F3261" s="526" t="s">
        <v>6059</v>
      </c>
      <c r="G3261" s="526" t="s">
        <v>6060</v>
      </c>
      <c r="H3261" s="412">
        <v>102.88224</v>
      </c>
      <c r="I3261" s="411">
        <v>3.71563</v>
      </c>
      <c r="J3261" s="411">
        <v>12.6175</v>
      </c>
      <c r="K3261" s="411">
        <v>1414.44569</v>
      </c>
      <c r="L3261" s="526" t="s">
        <v>554</v>
      </c>
    </row>
    <row r="3262" spans="1:12" ht="15" x14ac:dyDescent="0.25">
      <c r="A3262">
        <v>343374</v>
      </c>
      <c r="B3262" t="str">
        <f t="shared" si="134"/>
        <v>SEVROLL 20340 montážny prípravok pre Eden/Pax</v>
      </c>
      <c r="C3262" s="198">
        <f t="shared" si="135"/>
        <v>21.633700000000001</v>
      </c>
      <c r="D3262" s="526" t="s">
        <v>3375</v>
      </c>
      <c r="E3262" s="526" t="s">
        <v>5748</v>
      </c>
      <c r="F3262" s="526" t="s">
        <v>5749</v>
      </c>
      <c r="G3262" s="526" t="s">
        <v>5750</v>
      </c>
      <c r="H3262" s="412">
        <v>542.79499999999996</v>
      </c>
      <c r="I3262" s="411">
        <v>21.633700000000001</v>
      </c>
      <c r="J3262" s="411">
        <v>99.477649999999997</v>
      </c>
      <c r="K3262" s="411">
        <v>9278.2384399999992</v>
      </c>
      <c r="L3262" s="526" t="s">
        <v>554</v>
      </c>
    </row>
    <row r="3263" spans="1:12" ht="15" x14ac:dyDescent="0.25">
      <c r="A3263">
        <v>343615</v>
      </c>
      <c r="B3263" t="str">
        <f t="shared" si="134"/>
        <v>SEVROLL 04319 PAX dištančný profil 04 3m strieborná</v>
      </c>
      <c r="C3263" s="198">
        <f t="shared" si="135"/>
        <v>3.56081</v>
      </c>
      <c r="D3263" s="526" t="s">
        <v>3376</v>
      </c>
      <c r="E3263" s="526" t="s">
        <v>3645</v>
      </c>
      <c r="F3263" s="526" t="s">
        <v>3646</v>
      </c>
      <c r="G3263" s="526" t="s">
        <v>71</v>
      </c>
      <c r="H3263" s="412">
        <v>98.595479999999995</v>
      </c>
      <c r="I3263" s="411">
        <v>3.56081</v>
      </c>
      <c r="J3263" s="411">
        <v>12.5154</v>
      </c>
      <c r="K3263" s="411">
        <v>1355.51037</v>
      </c>
      <c r="L3263" s="526" t="s">
        <v>554</v>
      </c>
    </row>
    <row r="3264" spans="1:12" ht="15" x14ac:dyDescent="0.25">
      <c r="A3264">
        <v>343616</v>
      </c>
      <c r="B3264" t="str">
        <f t="shared" si="134"/>
        <v>SEVROLL 04320 dištančný profil 04 3m biela lesk</v>
      </c>
      <c r="C3264" s="198">
        <f t="shared" si="135"/>
        <v>4.6290500000000003</v>
      </c>
      <c r="D3264" s="526" t="s">
        <v>3377</v>
      </c>
      <c r="E3264" s="526" t="s">
        <v>3719</v>
      </c>
      <c r="F3264" s="526" t="s">
        <v>3720</v>
      </c>
      <c r="G3264" s="526" t="s">
        <v>71</v>
      </c>
      <c r="H3264" s="412">
        <v>128.17411999999999</v>
      </c>
      <c r="I3264" s="411">
        <v>4.6290500000000003</v>
      </c>
      <c r="J3264" s="411">
        <v>16.289400000000001</v>
      </c>
      <c r="K3264" s="411">
        <v>1762.16363</v>
      </c>
      <c r="L3264" s="526" t="s">
        <v>554</v>
      </c>
    </row>
    <row r="3265" spans="1:12" ht="15" x14ac:dyDescent="0.25">
      <c r="A3265">
        <v>345401</v>
      </c>
      <c r="B3265" t="str">
        <f t="shared" si="134"/>
        <v>SEVROLL 04348-Y maska Elegant II 1,7m oliva kartáčovaná</v>
      </c>
      <c r="C3265" s="198">
        <f t="shared" si="135"/>
        <v>4.6187399999999998</v>
      </c>
      <c r="D3265" s="526" t="s">
        <v>3378</v>
      </c>
      <c r="E3265" s="526" t="s">
        <v>3678</v>
      </c>
      <c r="F3265" s="526" t="s">
        <v>3378</v>
      </c>
      <c r="G3265" s="526" t="s">
        <v>3679</v>
      </c>
      <c r="H3265" s="412">
        <v>127.88834</v>
      </c>
      <c r="I3265" s="411">
        <v>4.6187399999999998</v>
      </c>
      <c r="J3265" s="411">
        <v>15.6312</v>
      </c>
      <c r="K3265" s="411">
        <v>1758.23459</v>
      </c>
      <c r="L3265" s="526" t="s">
        <v>553</v>
      </c>
    </row>
    <row r="3266" spans="1:12" ht="15" x14ac:dyDescent="0.25">
      <c r="A3266">
        <v>345402</v>
      </c>
      <c r="B3266" t="str">
        <f t="shared" si="134"/>
        <v>SEVROLL 04358 maska Elegant II 1,7m oliva tmavá kartáčovaná</v>
      </c>
      <c r="C3266" s="198">
        <f t="shared" si="135"/>
        <v>4.6187399999999998</v>
      </c>
      <c r="D3266" s="526" t="s">
        <v>3379</v>
      </c>
      <c r="E3266" s="526" t="s">
        <v>3680</v>
      </c>
      <c r="F3266" s="526" t="s">
        <v>3379</v>
      </c>
      <c r="G3266" s="526" t="s">
        <v>3681</v>
      </c>
      <c r="H3266" s="412">
        <v>127.88834</v>
      </c>
      <c r="I3266" s="411">
        <v>4.6187399999999998</v>
      </c>
      <c r="J3266" s="411">
        <v>15.6312</v>
      </c>
      <c r="K3266" s="411">
        <v>1758.23459</v>
      </c>
      <c r="L3266" s="526" t="s">
        <v>554</v>
      </c>
    </row>
    <row r="3267" spans="1:12" ht="15" x14ac:dyDescent="0.25">
      <c r="A3267">
        <v>345403</v>
      </c>
      <c r="B3267" t="str">
        <f t="shared" si="134"/>
        <v>SEVROLL 04353 maska Elegant II 1,7m čierna  kartáčovaná</v>
      </c>
      <c r="C3267" s="198">
        <f t="shared" si="135"/>
        <v>4.6187399999999998</v>
      </c>
      <c r="D3267" s="526" t="s">
        <v>3380</v>
      </c>
      <c r="E3267" s="526" t="s">
        <v>3675</v>
      </c>
      <c r="F3267" s="526" t="s">
        <v>3676</v>
      </c>
      <c r="G3267" s="526" t="s">
        <v>3677</v>
      </c>
      <c r="H3267" s="412">
        <v>127.88834</v>
      </c>
      <c r="I3267" s="411">
        <v>4.6187399999999998</v>
      </c>
      <c r="J3267" s="411">
        <v>15.6312</v>
      </c>
      <c r="K3267" s="411">
        <v>1758.23459</v>
      </c>
      <c r="L3267" s="526" t="s">
        <v>553</v>
      </c>
    </row>
    <row r="3268" spans="1:12" ht="15" x14ac:dyDescent="0.25">
      <c r="A3268">
        <v>345404</v>
      </c>
      <c r="B3268" t="str">
        <f t="shared" si="134"/>
        <v>SEVROLL 04349-Y maska Elegant II 2,35m oliva kartáčovaná</v>
      </c>
      <c r="C3268" s="198">
        <f t="shared" si="135"/>
        <v>6.3475400000000004</v>
      </c>
      <c r="D3268" s="526" t="s">
        <v>3381</v>
      </c>
      <c r="E3268" s="526" t="s">
        <v>3797</v>
      </c>
      <c r="F3268" s="526" t="s">
        <v>3381</v>
      </c>
      <c r="G3268" s="526" t="s">
        <v>3798</v>
      </c>
      <c r="H3268" s="412">
        <v>175.75716</v>
      </c>
      <c r="I3268" s="411">
        <v>6.3475400000000004</v>
      </c>
      <c r="J3268" s="411">
        <v>21.423999999999999</v>
      </c>
      <c r="K3268" s="411">
        <v>2416.3449099999998</v>
      </c>
      <c r="L3268" s="526" t="s">
        <v>553</v>
      </c>
    </row>
    <row r="3269" spans="1:12" ht="15" x14ac:dyDescent="0.25">
      <c r="A3269">
        <v>345405</v>
      </c>
      <c r="B3269" t="str">
        <f t="shared" si="134"/>
        <v>SEVROLL 04359 maska Elegant II 2,35 oliva tmavá kartáčovaná</v>
      </c>
      <c r="C3269" s="198">
        <f t="shared" si="135"/>
        <v>6.3475400000000004</v>
      </c>
      <c r="D3269" s="526" t="s">
        <v>3382</v>
      </c>
      <c r="E3269" s="526" t="s">
        <v>3779</v>
      </c>
      <c r="F3269" s="526" t="s">
        <v>3780</v>
      </c>
      <c r="G3269" s="526" t="s">
        <v>3781</v>
      </c>
      <c r="H3269" s="412">
        <v>175.75716</v>
      </c>
      <c r="I3269" s="411">
        <v>6.3475400000000004</v>
      </c>
      <c r="J3269" s="411">
        <v>21.423999999999999</v>
      </c>
      <c r="K3269" s="411">
        <v>2416.3449099999998</v>
      </c>
      <c r="L3269" s="526" t="s">
        <v>554</v>
      </c>
    </row>
    <row r="3270" spans="1:12" ht="15" x14ac:dyDescent="0.25">
      <c r="A3270">
        <v>345407</v>
      </c>
      <c r="B3270" t="str">
        <f t="shared" si="134"/>
        <v>SEVROLL 04354 maska Elegant II 2,35m čierna  kartáčovaná</v>
      </c>
      <c r="C3270" s="198">
        <f t="shared" si="135"/>
        <v>6.3475400000000004</v>
      </c>
      <c r="D3270" s="526" t="s">
        <v>3383</v>
      </c>
      <c r="E3270" s="526" t="s">
        <v>3794</v>
      </c>
      <c r="F3270" s="526" t="s">
        <v>3795</v>
      </c>
      <c r="G3270" s="526" t="s">
        <v>3796</v>
      </c>
      <c r="H3270" s="412">
        <v>175.75716</v>
      </c>
      <c r="I3270" s="411">
        <v>6.3475400000000004</v>
      </c>
      <c r="J3270" s="411">
        <v>21.423999999999999</v>
      </c>
      <c r="K3270" s="411">
        <v>2416.3449099999998</v>
      </c>
      <c r="L3270" s="526" t="s">
        <v>553</v>
      </c>
    </row>
    <row r="3271" spans="1:12" ht="15" x14ac:dyDescent="0.25">
      <c r="A3271">
        <v>345408</v>
      </c>
      <c r="B3271" t="str">
        <f t="shared" si="134"/>
        <v>SEVROLL 04304 maska Elegant II 3m strieborná</v>
      </c>
      <c r="C3271" s="198">
        <f t="shared" si="135"/>
        <v>4.4897200000000002</v>
      </c>
      <c r="D3271" s="526" t="s">
        <v>3384</v>
      </c>
      <c r="E3271" s="526" t="s">
        <v>5471</v>
      </c>
      <c r="F3271" s="526" t="s">
        <v>5472</v>
      </c>
      <c r="G3271" s="526" t="s">
        <v>5473</v>
      </c>
      <c r="H3271" s="412">
        <v>124.31604</v>
      </c>
      <c r="I3271" s="411">
        <v>4.4897200000000002</v>
      </c>
      <c r="J3271" s="411">
        <v>16.564800000000002</v>
      </c>
      <c r="K3271" s="411">
        <v>1709.1218899999999</v>
      </c>
      <c r="L3271" s="526" t="s">
        <v>710</v>
      </c>
    </row>
    <row r="3272" spans="1:12" ht="15" x14ac:dyDescent="0.25">
      <c r="A3272">
        <v>345409</v>
      </c>
      <c r="B3272" t="str">
        <f t="shared" si="134"/>
        <v>SEVROLL 04298 maska Elegant II 3m oliva</v>
      </c>
      <c r="C3272" s="198">
        <f t="shared" si="135"/>
        <v>5.6121499999999997</v>
      </c>
      <c r="D3272" s="526" t="s">
        <v>3385</v>
      </c>
      <c r="E3272" s="526" t="s">
        <v>5469</v>
      </c>
      <c r="F3272" s="526" t="s">
        <v>3385</v>
      </c>
      <c r="G3272" s="526" t="s">
        <v>5470</v>
      </c>
      <c r="H3272" s="412">
        <v>155.39505</v>
      </c>
      <c r="I3272" s="411">
        <v>5.6121499999999997</v>
      </c>
      <c r="J3272" s="411">
        <v>19.240400000000001</v>
      </c>
      <c r="K3272" s="411">
        <v>2136.40265</v>
      </c>
      <c r="L3272" s="526" t="s">
        <v>553</v>
      </c>
    </row>
    <row r="3273" spans="1:12" ht="15" x14ac:dyDescent="0.25">
      <c r="A3273">
        <v>345410</v>
      </c>
      <c r="B3273" t="str">
        <f t="shared" si="134"/>
        <v>SEVROLL 04350-Y maska Elegant II 3m oliva kartáčovaná</v>
      </c>
      <c r="C3273" s="198">
        <f t="shared" si="135"/>
        <v>8.1021400000000003</v>
      </c>
      <c r="D3273" s="526" t="s">
        <v>3386</v>
      </c>
      <c r="E3273" s="526" t="s">
        <v>3912</v>
      </c>
      <c r="F3273" s="526" t="s">
        <v>3386</v>
      </c>
      <c r="G3273" s="526" t="s">
        <v>3913</v>
      </c>
      <c r="H3273" s="412">
        <v>224.34044</v>
      </c>
      <c r="I3273" s="411">
        <v>8.1021400000000003</v>
      </c>
      <c r="J3273" s="411">
        <v>27.3156</v>
      </c>
      <c r="K3273" s="411">
        <v>3084.2774899999999</v>
      </c>
      <c r="L3273" s="526" t="s">
        <v>553</v>
      </c>
    </row>
    <row r="3274" spans="1:12" ht="15" x14ac:dyDescent="0.25">
      <c r="A3274">
        <v>345411</v>
      </c>
      <c r="B3274" t="str">
        <f t="shared" si="134"/>
        <v>SEVROLL 04360 maska Elegant II 3m oliva tmavá kartáčovaná</v>
      </c>
      <c r="C3274" s="198">
        <f t="shared" si="135"/>
        <v>8.1021400000000003</v>
      </c>
      <c r="D3274" s="526" t="s">
        <v>3387</v>
      </c>
      <c r="E3274" s="526" t="s">
        <v>3914</v>
      </c>
      <c r="F3274" s="526" t="s">
        <v>3387</v>
      </c>
      <c r="G3274" s="526" t="s">
        <v>3915</v>
      </c>
      <c r="H3274" s="412">
        <v>224.34044</v>
      </c>
      <c r="I3274" s="411">
        <v>8.1021400000000003</v>
      </c>
      <c r="J3274" s="411">
        <v>27.3156</v>
      </c>
      <c r="K3274" s="411">
        <v>3084.2774899999999</v>
      </c>
      <c r="L3274" s="526" t="s">
        <v>554</v>
      </c>
    </row>
    <row r="3275" spans="1:12" ht="15" x14ac:dyDescent="0.25">
      <c r="A3275">
        <v>345412</v>
      </c>
      <c r="B3275" t="str">
        <f t="shared" si="134"/>
        <v>SEVROLL 04355 maska Elegant II 3m čierna  kartáčovaná</v>
      </c>
      <c r="C3275" s="198">
        <f t="shared" si="135"/>
        <v>8.1021400000000003</v>
      </c>
      <c r="D3275" s="526" t="s">
        <v>3388</v>
      </c>
      <c r="E3275" s="526" t="s">
        <v>3909</v>
      </c>
      <c r="F3275" s="526" t="s">
        <v>3910</v>
      </c>
      <c r="G3275" s="526" t="s">
        <v>3911</v>
      </c>
      <c r="H3275" s="412">
        <v>224.34044</v>
      </c>
      <c r="I3275" s="411">
        <v>8.1021400000000003</v>
      </c>
      <c r="J3275" s="411">
        <v>27.3156</v>
      </c>
      <c r="K3275" s="411">
        <v>3084.2774899999999</v>
      </c>
      <c r="L3275" s="526" t="s">
        <v>553</v>
      </c>
    </row>
    <row r="3276" spans="1:12" ht="15" x14ac:dyDescent="0.25">
      <c r="A3276">
        <v>345413</v>
      </c>
      <c r="B3276" t="str">
        <f t="shared" si="134"/>
        <v>SEVROLL 04315 maska Elegant II 3m biela lesk</v>
      </c>
      <c r="C3276" s="198">
        <f t="shared" si="135"/>
        <v>5.8366499999999997</v>
      </c>
      <c r="D3276" s="526" t="s">
        <v>3389</v>
      </c>
      <c r="E3276" s="526" t="s">
        <v>3832</v>
      </c>
      <c r="F3276" s="526" t="s">
        <v>3833</v>
      </c>
      <c r="G3276" s="526" t="s">
        <v>3834</v>
      </c>
      <c r="H3276" s="412">
        <v>161.61085</v>
      </c>
      <c r="I3276" s="411">
        <v>5.8366499999999997</v>
      </c>
      <c r="J3276" s="411">
        <v>21.542400000000001</v>
      </c>
      <c r="K3276" s="411">
        <v>2221.8586500000001</v>
      </c>
      <c r="L3276" s="526" t="s">
        <v>553</v>
      </c>
    </row>
    <row r="3277" spans="1:12" ht="15" x14ac:dyDescent="0.25">
      <c r="A3277">
        <v>345776</v>
      </c>
      <c r="B3277" t="str">
        <f t="shared" si="134"/>
        <v>SEVROLL 04305 maska Elegant II 4,05m strieborná</v>
      </c>
      <c r="C3277" s="198">
        <f t="shared" si="135"/>
        <v>6.0611199999999998</v>
      </c>
      <c r="D3277" s="526" t="s">
        <v>3390</v>
      </c>
      <c r="E3277" s="526" t="s">
        <v>5478</v>
      </c>
      <c r="F3277" s="526" t="s">
        <v>5479</v>
      </c>
      <c r="G3277" s="526" t="s">
        <v>5480</v>
      </c>
      <c r="H3277" s="412">
        <v>167.82665</v>
      </c>
      <c r="I3277" s="411">
        <v>6.0611199999999998</v>
      </c>
      <c r="J3277" s="411">
        <v>22.368600000000001</v>
      </c>
      <c r="K3277" s="411">
        <v>2307.3146499999998</v>
      </c>
      <c r="L3277" s="526" t="s">
        <v>710</v>
      </c>
    </row>
    <row r="3278" spans="1:12" ht="15" x14ac:dyDescent="0.25">
      <c r="A3278">
        <v>345777</v>
      </c>
      <c r="B3278" t="str">
        <f t="shared" si="134"/>
        <v>SEVROLL 04299 maska Elegant II 4,05m oliva</v>
      </c>
      <c r="C3278" s="198">
        <f t="shared" si="135"/>
        <v>7.5763999999999996</v>
      </c>
      <c r="D3278" s="526" t="s">
        <v>3391</v>
      </c>
      <c r="E3278" s="526" t="s">
        <v>5476</v>
      </c>
      <c r="F3278" s="526" t="s">
        <v>3391</v>
      </c>
      <c r="G3278" s="526" t="s">
        <v>5477</v>
      </c>
      <c r="H3278" s="412">
        <v>210.05124000000001</v>
      </c>
      <c r="I3278" s="411">
        <v>7.5763999999999996</v>
      </c>
      <c r="J3278" s="411">
        <v>25.986899999999999</v>
      </c>
      <c r="K3278" s="411">
        <v>2884.1434100000001</v>
      </c>
      <c r="L3278" s="526" t="s">
        <v>553</v>
      </c>
    </row>
    <row r="3279" spans="1:12" ht="15" x14ac:dyDescent="0.25">
      <c r="A3279">
        <v>346114</v>
      </c>
      <c r="B3279" t="str">
        <f t="shared" si="134"/>
        <v>SEVROLL 04351-Y maska Elegant II 4,05m oliva kartáčovaná</v>
      </c>
      <c r="C3279" s="198">
        <f t="shared" si="135"/>
        <v>10.940469999999999</v>
      </c>
      <c r="D3279" s="526" t="s">
        <v>3392</v>
      </c>
      <c r="E3279" s="526" t="s">
        <v>4107</v>
      </c>
      <c r="F3279" s="526" t="s">
        <v>3392</v>
      </c>
      <c r="G3279" s="526" t="s">
        <v>4108</v>
      </c>
      <c r="H3279" s="412">
        <v>302.93104</v>
      </c>
      <c r="I3279" s="411">
        <v>10.940469999999999</v>
      </c>
      <c r="J3279" s="411">
        <v>36.894599999999997</v>
      </c>
      <c r="K3279" s="411">
        <v>4164.7568899999997</v>
      </c>
      <c r="L3279" s="526" t="s">
        <v>554</v>
      </c>
    </row>
    <row r="3280" spans="1:12" ht="15" x14ac:dyDescent="0.25">
      <c r="A3280">
        <v>346115</v>
      </c>
      <c r="B3280" t="str">
        <f t="shared" si="134"/>
        <v>SEVROLL 04361 maska Elegant II 4,05m oliva tmavá kartáčovaná</v>
      </c>
      <c r="C3280" s="198">
        <f t="shared" si="135"/>
        <v>10.940469999999999</v>
      </c>
      <c r="D3280" s="526" t="s">
        <v>3393</v>
      </c>
      <c r="E3280" s="526" t="s">
        <v>4069</v>
      </c>
      <c r="F3280" s="526" t="s">
        <v>3393</v>
      </c>
      <c r="G3280" s="526" t="s">
        <v>4070</v>
      </c>
      <c r="H3280" s="412">
        <v>302.93104</v>
      </c>
      <c r="I3280" s="411">
        <v>10.940469999999999</v>
      </c>
      <c r="J3280" s="411">
        <v>36.894599999999997</v>
      </c>
      <c r="K3280" s="411">
        <v>4164.7568899999997</v>
      </c>
      <c r="L3280" s="526" t="s">
        <v>554</v>
      </c>
    </row>
    <row r="3281" spans="1:12" ht="15" x14ac:dyDescent="0.25">
      <c r="A3281">
        <v>346116</v>
      </c>
      <c r="B3281" t="str">
        <f t="shared" si="134"/>
        <v>SEVROLL 04356 maska Elegant II 4,05m čierna  kartáčovaná</v>
      </c>
      <c r="C3281" s="198">
        <f t="shared" si="135"/>
        <v>10.940469999999999</v>
      </c>
      <c r="D3281" s="526" t="s">
        <v>3394</v>
      </c>
      <c r="E3281" s="526" t="s">
        <v>4104</v>
      </c>
      <c r="F3281" s="526" t="s">
        <v>4105</v>
      </c>
      <c r="G3281" s="526" t="s">
        <v>4106</v>
      </c>
      <c r="H3281" s="412">
        <v>302.93104</v>
      </c>
      <c r="I3281" s="411">
        <v>10.940469999999999</v>
      </c>
      <c r="J3281" s="411">
        <v>36.894599999999997</v>
      </c>
      <c r="K3281" s="411">
        <v>4164.7568899999997</v>
      </c>
      <c r="L3281" s="526" t="s">
        <v>553</v>
      </c>
    </row>
    <row r="3282" spans="1:12" ht="15" x14ac:dyDescent="0.25">
      <c r="A3282">
        <v>346117</v>
      </c>
      <c r="B3282" t="str">
        <f t="shared" si="134"/>
        <v>SEVROLL 04316 maska Elegant II 4,05m biela lesk</v>
      </c>
      <c r="C3282" s="198">
        <f t="shared" si="135"/>
        <v>7.8794599999999999</v>
      </c>
      <c r="D3282" s="526" t="s">
        <v>3395</v>
      </c>
      <c r="E3282" s="526" t="s">
        <v>3983</v>
      </c>
      <c r="F3282" s="526" t="s">
        <v>3984</v>
      </c>
      <c r="G3282" s="526" t="s">
        <v>3985</v>
      </c>
      <c r="H3282" s="412">
        <v>217.91030000000001</v>
      </c>
      <c r="I3282" s="411">
        <v>7.8794599999999999</v>
      </c>
      <c r="J3282" s="411">
        <v>29.07</v>
      </c>
      <c r="K3282" s="411">
        <v>2999.5093700000002</v>
      </c>
      <c r="L3282" s="526" t="s">
        <v>553</v>
      </c>
    </row>
    <row r="3283" spans="1:12" ht="15" x14ac:dyDescent="0.25">
      <c r="A3283">
        <v>346118</v>
      </c>
      <c r="B3283" t="str">
        <f t="shared" si="134"/>
        <v>SEVROLL 04307 maska Elegant II 6m strieborná</v>
      </c>
      <c r="C3283" s="198">
        <f t="shared" si="135"/>
        <v>8.9794400000000003</v>
      </c>
      <c r="D3283" s="526" t="s">
        <v>3396</v>
      </c>
      <c r="E3283" s="526" t="s">
        <v>5485</v>
      </c>
      <c r="F3283" s="526" t="s">
        <v>5486</v>
      </c>
      <c r="G3283" s="526" t="s">
        <v>5487</v>
      </c>
      <c r="H3283" s="412">
        <v>248.63208</v>
      </c>
      <c r="I3283" s="411">
        <v>8.9794400000000003</v>
      </c>
      <c r="J3283" s="411">
        <v>33.160200000000003</v>
      </c>
      <c r="K3283" s="411">
        <v>3418.24377</v>
      </c>
      <c r="L3283" s="526" t="s">
        <v>553</v>
      </c>
    </row>
    <row r="3284" spans="1:12" ht="15" x14ac:dyDescent="0.25">
      <c r="A3284">
        <v>346119</v>
      </c>
      <c r="B3284" t="str">
        <f t="shared" si="134"/>
        <v>SEVROLL 04301 maska Elegant II 6m oliva</v>
      </c>
      <c r="C3284" s="198">
        <f t="shared" si="135"/>
        <v>11.224309999999999</v>
      </c>
      <c r="D3284" s="526" t="s">
        <v>3397</v>
      </c>
      <c r="E3284" s="526" t="s">
        <v>5483</v>
      </c>
      <c r="F3284" s="526" t="s">
        <v>3397</v>
      </c>
      <c r="G3284" s="526" t="s">
        <v>5484</v>
      </c>
      <c r="H3284" s="412">
        <v>310.7901</v>
      </c>
      <c r="I3284" s="411">
        <v>11.224309999999999</v>
      </c>
      <c r="J3284" s="411">
        <v>38.491100000000003</v>
      </c>
      <c r="K3284" s="411">
        <v>4272.8049000000001</v>
      </c>
      <c r="L3284" s="526" t="s">
        <v>553</v>
      </c>
    </row>
    <row r="3285" spans="1:12" ht="15" x14ac:dyDescent="0.25">
      <c r="A3285">
        <v>346120</v>
      </c>
      <c r="B3285" t="str">
        <f t="shared" si="134"/>
        <v>SEVROLL 04352-Y maska Elegant II 6m oliva kartáčovaná</v>
      </c>
      <c r="C3285" s="198">
        <f t="shared" si="135"/>
        <v>16.204280000000001</v>
      </c>
      <c r="D3285" s="526" t="s">
        <v>3398</v>
      </c>
      <c r="E3285" s="526" t="s">
        <v>4339</v>
      </c>
      <c r="F3285" s="526" t="s">
        <v>3398</v>
      </c>
      <c r="G3285" s="526" t="s">
        <v>4340</v>
      </c>
      <c r="H3285" s="412">
        <v>448.68088</v>
      </c>
      <c r="I3285" s="411">
        <v>16.204280000000001</v>
      </c>
      <c r="J3285" s="411">
        <v>54.651800000000001</v>
      </c>
      <c r="K3285" s="411">
        <v>6168.5549700000001</v>
      </c>
      <c r="L3285" s="526" t="s">
        <v>554</v>
      </c>
    </row>
    <row r="3286" spans="1:12" ht="15" x14ac:dyDescent="0.25">
      <c r="A3286">
        <v>346121</v>
      </c>
      <c r="B3286" t="str">
        <f t="shared" si="134"/>
        <v>SEVROLL 04362 maska Elegant II 6m oliva tmavá kartáčovaná</v>
      </c>
      <c r="C3286" s="198">
        <f t="shared" si="135"/>
        <v>16.204280000000001</v>
      </c>
      <c r="D3286" s="526" t="s">
        <v>3399</v>
      </c>
      <c r="E3286" s="526" t="s">
        <v>4341</v>
      </c>
      <c r="F3286" s="526" t="s">
        <v>3399</v>
      </c>
      <c r="G3286" s="526" t="s">
        <v>4342</v>
      </c>
      <c r="H3286" s="412">
        <v>448.68088</v>
      </c>
      <c r="I3286" s="411">
        <v>16.204280000000001</v>
      </c>
      <c r="J3286" s="411">
        <v>54.651800000000001</v>
      </c>
      <c r="K3286" s="411">
        <v>6168.5549700000001</v>
      </c>
      <c r="L3286" s="526" t="s">
        <v>554</v>
      </c>
    </row>
    <row r="3287" spans="1:12" ht="15" x14ac:dyDescent="0.25">
      <c r="A3287">
        <v>346122</v>
      </c>
      <c r="B3287" t="str">
        <f t="shared" si="134"/>
        <v>SEVROLL 04357 maska Elegant II 6m čierna kartáčovaná</v>
      </c>
      <c r="C3287" s="198">
        <f t="shared" si="135"/>
        <v>16.204280000000001</v>
      </c>
      <c r="D3287" s="526" t="s">
        <v>3400</v>
      </c>
      <c r="E3287" s="526" t="s">
        <v>4336</v>
      </c>
      <c r="F3287" s="526" t="s">
        <v>4337</v>
      </c>
      <c r="G3287" s="526" t="s">
        <v>4338</v>
      </c>
      <c r="H3287" s="412">
        <v>448.68088</v>
      </c>
      <c r="I3287" s="411">
        <v>16.204280000000001</v>
      </c>
      <c r="J3287" s="411">
        <v>54.651800000000001</v>
      </c>
      <c r="K3287" s="411">
        <v>6168.5549700000001</v>
      </c>
      <c r="L3287" s="526" t="s">
        <v>553</v>
      </c>
    </row>
    <row r="3288" spans="1:12" ht="15" x14ac:dyDescent="0.25">
      <c r="A3288">
        <v>346123</v>
      </c>
      <c r="B3288" t="str">
        <f t="shared" si="134"/>
        <v>SEVROLL 04317 maska Elegant II 6m biela lesk</v>
      </c>
      <c r="C3288" s="198">
        <f t="shared" si="135"/>
        <v>11.67327</v>
      </c>
      <c r="D3288" s="526" t="s">
        <v>3401</v>
      </c>
      <c r="E3288" s="526" t="s">
        <v>4198</v>
      </c>
      <c r="F3288" s="526" t="s">
        <v>4199</v>
      </c>
      <c r="G3288" s="526" t="s">
        <v>4200</v>
      </c>
      <c r="H3288" s="412">
        <v>322.93592000000001</v>
      </c>
      <c r="I3288" s="411">
        <v>11.67327</v>
      </c>
      <c r="J3288" s="411">
        <v>43.084800000000001</v>
      </c>
      <c r="K3288" s="411">
        <v>4443.7172700000001</v>
      </c>
      <c r="L3288" s="526" t="s">
        <v>554</v>
      </c>
    </row>
    <row r="3289" spans="1:12" ht="15" x14ac:dyDescent="0.25">
      <c r="A3289">
        <v>346129</v>
      </c>
      <c r="B3289" t="str">
        <f t="shared" si="134"/>
        <v>SEVROLL 214-378 Herkules plus horné vedenie 4m alu</v>
      </c>
      <c r="C3289" s="198" t="e">
        <f t="shared" si="135"/>
        <v>#N/A</v>
      </c>
      <c r="D3289" s="526" t="s">
        <v>3402</v>
      </c>
      <c r="E3289" s="526" t="s">
        <v>4900</v>
      </c>
      <c r="F3289" s="526" t="s">
        <v>4901</v>
      </c>
      <c r="G3289" s="526" t="s">
        <v>4902</v>
      </c>
      <c r="H3289" s="412" t="e">
        <v>#N/A</v>
      </c>
      <c r="I3289" s="411" t="e">
        <v>#N/A</v>
      </c>
      <c r="J3289" s="411" t="e">
        <v>#N/A</v>
      </c>
      <c r="K3289" s="411" t="e">
        <v>#N/A</v>
      </c>
      <c r="L3289" s="526" t="e">
        <v>#N/A</v>
      </c>
    </row>
    <row r="3290" spans="1:12" ht="15" x14ac:dyDescent="0.25">
      <c r="A3290">
        <v>346130</v>
      </c>
      <c r="B3290" t="str">
        <f t="shared" si="134"/>
        <v>SEVROLL 214-379 Herkules plus horné vedenie 6m alu</v>
      </c>
      <c r="C3290" s="198" t="e">
        <f t="shared" si="135"/>
        <v>#N/A</v>
      </c>
      <c r="D3290" s="526" t="s">
        <v>3403</v>
      </c>
      <c r="E3290" s="526" t="s">
        <v>5035</v>
      </c>
      <c r="F3290" s="526" t="s">
        <v>5036</v>
      </c>
      <c r="G3290" s="526" t="s">
        <v>5037</v>
      </c>
      <c r="H3290" s="412" t="e">
        <v>#N/A</v>
      </c>
      <c r="I3290" s="411" t="e">
        <v>#N/A</v>
      </c>
      <c r="J3290" s="411" t="e">
        <v>#N/A</v>
      </c>
      <c r="K3290" s="411" t="e">
        <v>#N/A</v>
      </c>
      <c r="L3290" s="526" t="e">
        <v>#N/A</v>
      </c>
    </row>
    <row r="3291" spans="1:12" ht="15" x14ac:dyDescent="0.25">
      <c r="A3291">
        <v>346726</v>
      </c>
      <c r="B3291" t="str">
        <f t="shared" si="134"/>
        <v>SEVROLL 20371 skrutkovrut Blue 6,3x45</v>
      </c>
      <c r="C3291" s="198">
        <f t="shared" si="135"/>
        <v>0.15482000000000001</v>
      </c>
      <c r="D3291" s="526" t="s">
        <v>3404</v>
      </c>
      <c r="E3291" s="526" t="s">
        <v>6236</v>
      </c>
      <c r="F3291" s="526" t="s">
        <v>6237</v>
      </c>
      <c r="G3291" s="526" t="s">
        <v>6238</v>
      </c>
      <c r="H3291" s="412">
        <v>4.5488999999999997</v>
      </c>
      <c r="I3291" s="411">
        <v>0.15482000000000001</v>
      </c>
      <c r="J3291" s="411">
        <v>0.52376999999999996</v>
      </c>
      <c r="K3291" s="411">
        <v>60.138080000000002</v>
      </c>
      <c r="L3291" s="526" t="s">
        <v>710</v>
      </c>
    </row>
    <row r="3292" spans="1:12" ht="15" x14ac:dyDescent="0.25">
      <c r="A3292">
        <v>349474</v>
      </c>
      <c r="B3292" t="str">
        <f t="shared" si="134"/>
        <v>SEVROLL 04512 Era úchytová lišta 18mm 2,70m strieborná</v>
      </c>
      <c r="C3292" s="198">
        <f t="shared" si="135"/>
        <v>11.86938</v>
      </c>
      <c r="D3292" s="526" t="s">
        <v>3405</v>
      </c>
      <c r="E3292" s="526" t="s">
        <v>4211</v>
      </c>
      <c r="F3292" s="526" t="s">
        <v>4212</v>
      </c>
      <c r="G3292" s="526" t="s">
        <v>4213</v>
      </c>
      <c r="H3292" s="412">
        <v>325.10500000000002</v>
      </c>
      <c r="I3292" s="411">
        <v>11.86938</v>
      </c>
      <c r="J3292" s="411">
        <v>42.932870000000001</v>
      </c>
      <c r="K3292" s="411">
        <v>4610.58</v>
      </c>
      <c r="L3292" s="526" t="s">
        <v>710</v>
      </c>
    </row>
    <row r="3293" spans="1:12" ht="15" x14ac:dyDescent="0.25">
      <c r="A3293">
        <v>349475</v>
      </c>
      <c r="B3293" t="str">
        <f t="shared" si="134"/>
        <v>SEVROLL 04472 Blue horné vedenie  2m strieborná</v>
      </c>
      <c r="C3293" s="198">
        <f t="shared" si="135"/>
        <v>14.96574</v>
      </c>
      <c r="D3293" s="526" t="s">
        <v>3406</v>
      </c>
      <c r="E3293" s="526" t="s">
        <v>4383</v>
      </c>
      <c r="F3293" s="526" t="s">
        <v>4384</v>
      </c>
      <c r="G3293" s="526" t="s">
        <v>4385</v>
      </c>
      <c r="H3293" s="412">
        <v>409.91500000000002</v>
      </c>
      <c r="I3293" s="411">
        <v>14.96574</v>
      </c>
      <c r="J3293" s="411">
        <v>53.662149999999997</v>
      </c>
      <c r="K3293" s="411">
        <v>5813.34</v>
      </c>
      <c r="L3293" s="526" t="s">
        <v>710</v>
      </c>
    </row>
    <row r="3294" spans="1:12" ht="15" x14ac:dyDescent="0.25">
      <c r="A3294">
        <v>349476</v>
      </c>
      <c r="B3294" t="str">
        <f t="shared" si="134"/>
        <v>SEVROLL 04496 Blue-V spodné vedenie  2m strieborná</v>
      </c>
      <c r="C3294" s="198">
        <f t="shared" si="135"/>
        <v>7.9989299999999997</v>
      </c>
      <c r="D3294" s="526" t="s">
        <v>3407</v>
      </c>
      <c r="E3294" s="526" t="s">
        <v>3947</v>
      </c>
      <c r="F3294" s="526" t="s">
        <v>3948</v>
      </c>
      <c r="G3294" s="526" t="s">
        <v>3949</v>
      </c>
      <c r="H3294" s="412">
        <v>219.0925</v>
      </c>
      <c r="I3294" s="411">
        <v>7.9989299999999997</v>
      </c>
      <c r="J3294" s="411">
        <v>33.713859999999997</v>
      </c>
      <c r="K3294" s="411">
        <v>3107.13</v>
      </c>
      <c r="L3294" s="526" t="s">
        <v>710</v>
      </c>
    </row>
    <row r="3295" spans="1:12" ht="15" x14ac:dyDescent="0.25">
      <c r="A3295">
        <v>349726</v>
      </c>
      <c r="B3295" t="str">
        <f t="shared" si="134"/>
        <v>SEVROLL 04484 Blue-C spodné vedenie 2m strieborná</v>
      </c>
      <c r="C3295" s="198">
        <f t="shared" si="135"/>
        <v>6.8894000000000002</v>
      </c>
      <c r="D3295" s="526" t="s">
        <v>3408</v>
      </c>
      <c r="E3295" s="526" t="s">
        <v>3811</v>
      </c>
      <c r="F3295" s="526" t="s">
        <v>3812</v>
      </c>
      <c r="G3295" s="526" t="s">
        <v>3813</v>
      </c>
      <c r="H3295" s="412">
        <v>188.70224999999999</v>
      </c>
      <c r="I3295" s="411">
        <v>6.8894000000000002</v>
      </c>
      <c r="J3295" s="411">
        <v>28.207630000000002</v>
      </c>
      <c r="K3295" s="411">
        <v>2676.1411499999999</v>
      </c>
      <c r="L3295" s="526" t="s">
        <v>554</v>
      </c>
    </row>
    <row r="3296" spans="1:12" ht="15" x14ac:dyDescent="0.25">
      <c r="A3296">
        <v>349732</v>
      </c>
      <c r="B3296" t="str">
        <f t="shared" si="134"/>
        <v>SEVROLL 10218 horný vozík Blue (pro lamino 18mm) rámový L+P</v>
      </c>
      <c r="C3296" s="198">
        <f t="shared" si="135"/>
        <v>3.6124200000000002</v>
      </c>
      <c r="D3296" s="526" t="s">
        <v>3409</v>
      </c>
      <c r="E3296" s="526" t="s">
        <v>3607</v>
      </c>
      <c r="F3296" s="526" t="s">
        <v>3608</v>
      </c>
      <c r="G3296" s="526" t="s">
        <v>3609</v>
      </c>
      <c r="H3296" s="412">
        <v>106.14100000000001</v>
      </c>
      <c r="I3296" s="411">
        <v>3.6124200000000002</v>
      </c>
      <c r="J3296" s="411">
        <v>15.244389999999999</v>
      </c>
      <c r="K3296" s="411">
        <v>1403.22</v>
      </c>
      <c r="L3296" s="526" t="s">
        <v>710</v>
      </c>
    </row>
    <row r="3297" spans="1:12" ht="15" x14ac:dyDescent="0.25">
      <c r="A3297">
        <v>349733</v>
      </c>
      <c r="B3297" t="str">
        <f t="shared" si="134"/>
        <v>SEVROLL 10221 spodný vozík Blue C rámový systém - 2ks</v>
      </c>
      <c r="C3297" s="198">
        <f t="shared" si="135"/>
        <v>2.91574</v>
      </c>
      <c r="D3297" s="526" t="s">
        <v>3410</v>
      </c>
      <c r="E3297" s="526" t="s">
        <v>6239</v>
      </c>
      <c r="F3297" s="526" t="s">
        <v>6240</v>
      </c>
      <c r="G3297" s="526" t="s">
        <v>6241</v>
      </c>
      <c r="H3297" s="412">
        <v>85.670950000000005</v>
      </c>
      <c r="I3297" s="411">
        <v>2.91574</v>
      </c>
      <c r="J3297" s="411">
        <v>15.66916</v>
      </c>
      <c r="K3297" s="411">
        <v>1132.5988500000001</v>
      </c>
      <c r="L3297" s="526" t="s">
        <v>554</v>
      </c>
    </row>
    <row r="3298" spans="1:12" ht="15" x14ac:dyDescent="0.25">
      <c r="A3298">
        <v>349734</v>
      </c>
      <c r="B3298" t="str">
        <f t="shared" si="134"/>
        <v>SEVROLL 10217 horný vozík Blue (pro lamino 18mm) bezrámový L+P</v>
      </c>
      <c r="C3298" s="198">
        <f t="shared" si="135"/>
        <v>3.6124200000000002</v>
      </c>
      <c r="D3298" s="526" t="s">
        <v>3411</v>
      </c>
      <c r="E3298" s="526" t="s">
        <v>3626</v>
      </c>
      <c r="F3298" s="526" t="s">
        <v>3627</v>
      </c>
      <c r="G3298" s="526" t="s">
        <v>3628</v>
      </c>
      <c r="H3298" s="412">
        <v>106.14100000000001</v>
      </c>
      <c r="I3298" s="411">
        <v>3.6124200000000002</v>
      </c>
      <c r="J3298" s="411">
        <v>12.22138</v>
      </c>
      <c r="K3298" s="411">
        <v>1403.22</v>
      </c>
      <c r="L3298" s="526" t="s">
        <v>710</v>
      </c>
    </row>
    <row r="3299" spans="1:12" ht="15" x14ac:dyDescent="0.25">
      <c r="A3299">
        <v>349735</v>
      </c>
      <c r="B3299" t="str">
        <f t="shared" si="134"/>
        <v>SEVROLL 10219 spodný vozík Blue V bezrámový pre 18mm - 2ks</v>
      </c>
      <c r="C3299" s="198">
        <f t="shared" si="135"/>
        <v>4.7800200000000004</v>
      </c>
      <c r="D3299" s="526" t="s">
        <v>3412</v>
      </c>
      <c r="E3299" s="526" t="s">
        <v>3710</v>
      </c>
      <c r="F3299" s="526" t="s">
        <v>3711</v>
      </c>
      <c r="G3299" s="526" t="s">
        <v>3712</v>
      </c>
      <c r="H3299" s="412">
        <v>140.25774999999999</v>
      </c>
      <c r="I3299" s="411">
        <v>4.7800200000000004</v>
      </c>
      <c r="J3299" s="411">
        <v>17.35249</v>
      </c>
      <c r="K3299" s="411">
        <v>1856.7607800000001</v>
      </c>
      <c r="L3299" s="526" t="s">
        <v>710</v>
      </c>
    </row>
    <row r="3300" spans="1:12" ht="15" x14ac:dyDescent="0.25">
      <c r="A3300">
        <v>349736</v>
      </c>
      <c r="B3300" t="str">
        <f t="shared" si="134"/>
        <v>SEVROLL 10220 spodný vozík Blue C bezrámový pre 18mm - 2ks</v>
      </c>
      <c r="C3300" s="198">
        <f t="shared" si="135"/>
        <v>4.7800200000000004</v>
      </c>
      <c r="D3300" s="526" t="s">
        <v>3413</v>
      </c>
      <c r="E3300" s="526" t="s">
        <v>3685</v>
      </c>
      <c r="F3300" s="526" t="s">
        <v>3686</v>
      </c>
      <c r="G3300" s="526" t="s">
        <v>3687</v>
      </c>
      <c r="H3300" s="412">
        <v>140.25774999999999</v>
      </c>
      <c r="I3300" s="411">
        <v>4.7800200000000004</v>
      </c>
      <c r="J3300" s="411">
        <v>16.911989999999999</v>
      </c>
      <c r="K3300" s="411">
        <v>1856.7607800000001</v>
      </c>
      <c r="L3300" s="526" t="s">
        <v>554</v>
      </c>
    </row>
    <row r="3301" spans="1:12" ht="15" x14ac:dyDescent="0.25">
      <c r="A3301">
        <v>349794</v>
      </c>
      <c r="B3301" t="str">
        <f t="shared" si="134"/>
        <v>SEVROLL 04511 Era úchytová lišta 18mm 2,70m oliva</v>
      </c>
      <c r="C3301" s="198">
        <f t="shared" si="135"/>
        <v>14.836729999999999</v>
      </c>
      <c r="D3301" s="526" t="s">
        <v>3414</v>
      </c>
      <c r="E3301" s="526" t="s">
        <v>4283</v>
      </c>
      <c r="F3301" s="526" t="s">
        <v>3414</v>
      </c>
      <c r="G3301" s="526" t="s">
        <v>4284</v>
      </c>
      <c r="H3301" s="412">
        <v>406.38125000000002</v>
      </c>
      <c r="I3301" s="411">
        <v>14.836729999999999</v>
      </c>
      <c r="J3301" s="411">
        <v>50.194949999999999</v>
      </c>
      <c r="K3301" s="411">
        <v>5763.2250000000004</v>
      </c>
      <c r="L3301" s="526" t="s">
        <v>553</v>
      </c>
    </row>
    <row r="3302" spans="1:12" ht="15" x14ac:dyDescent="0.25">
      <c r="A3302">
        <v>349796</v>
      </c>
      <c r="B3302" t="str">
        <f t="shared" si="134"/>
        <v>SEVROLL 04471 Blue horné vedenie 1,5m strieborná</v>
      </c>
      <c r="C3302" s="198">
        <f t="shared" si="135"/>
        <v>11.224309999999999</v>
      </c>
      <c r="D3302" s="526" t="s">
        <v>3415</v>
      </c>
      <c r="E3302" s="526" t="s">
        <v>4163</v>
      </c>
      <c r="F3302" s="526" t="s">
        <v>4164</v>
      </c>
      <c r="G3302" s="526" t="s">
        <v>4165</v>
      </c>
      <c r="H3302" s="412">
        <v>307.43624999999997</v>
      </c>
      <c r="I3302" s="411">
        <v>11.224309999999999</v>
      </c>
      <c r="J3302" s="411">
        <v>40.289879999999997</v>
      </c>
      <c r="K3302" s="411">
        <v>4360.0050000000001</v>
      </c>
      <c r="L3302" s="526" t="s">
        <v>554</v>
      </c>
    </row>
    <row r="3303" spans="1:12" ht="15" x14ac:dyDescent="0.25">
      <c r="A3303">
        <v>349797</v>
      </c>
      <c r="B3303" t="str">
        <f t="shared" si="134"/>
        <v>SEVROLL 04465 Blue horné vedenie 1,5m oliva</v>
      </c>
      <c r="C3303" s="198">
        <f t="shared" si="135"/>
        <v>14.030390000000001</v>
      </c>
      <c r="D3303" s="526" t="s">
        <v>3416</v>
      </c>
      <c r="E3303" s="526" t="s">
        <v>4225</v>
      </c>
      <c r="F3303" s="526" t="s">
        <v>4226</v>
      </c>
      <c r="G3303" s="526" t="s">
        <v>4227</v>
      </c>
      <c r="H3303" s="412">
        <v>384.47199999999998</v>
      </c>
      <c r="I3303" s="411">
        <v>14.030390000000001</v>
      </c>
      <c r="J3303" s="411">
        <v>47.466999999999999</v>
      </c>
      <c r="K3303" s="411">
        <v>5450.0065500000001</v>
      </c>
      <c r="L3303" s="526" t="s">
        <v>554</v>
      </c>
    </row>
    <row r="3304" spans="1:12" ht="15" x14ac:dyDescent="0.25">
      <c r="A3304">
        <v>349798</v>
      </c>
      <c r="B3304" t="str">
        <f t="shared" si="134"/>
        <v>SEVROLL 04466 Blue horné vedenie  2m oliva</v>
      </c>
      <c r="C3304" s="198">
        <f t="shared" si="135"/>
        <v>18.707180000000001</v>
      </c>
      <c r="D3304" s="526" t="s">
        <v>3417</v>
      </c>
      <c r="E3304" s="526" t="s">
        <v>4440</v>
      </c>
      <c r="F3304" s="526" t="s">
        <v>4441</v>
      </c>
      <c r="G3304" s="526" t="s">
        <v>4442</v>
      </c>
      <c r="H3304" s="412">
        <v>512.39374999999995</v>
      </c>
      <c r="I3304" s="411">
        <v>18.707180000000001</v>
      </c>
      <c r="J3304" s="411">
        <v>63.289290000000001</v>
      </c>
      <c r="K3304" s="411">
        <v>7266.6750000000002</v>
      </c>
      <c r="L3304" s="526" t="s">
        <v>553</v>
      </c>
    </row>
    <row r="3305" spans="1:12" ht="15" x14ac:dyDescent="0.25">
      <c r="A3305">
        <v>349799</v>
      </c>
      <c r="B3305" t="str">
        <f t="shared" si="134"/>
        <v>SEVROLL 04473 Blue horné vedenie 2,5m strieborná</v>
      </c>
      <c r="C3305" s="198">
        <f t="shared" si="135"/>
        <v>18.707180000000001</v>
      </c>
      <c r="D3305" s="526" t="s">
        <v>3418</v>
      </c>
      <c r="E3305" s="526" t="s">
        <v>4495</v>
      </c>
      <c r="F3305" s="526" t="s">
        <v>4496</v>
      </c>
      <c r="G3305" s="526" t="s">
        <v>4497</v>
      </c>
      <c r="H3305" s="412">
        <v>512.39374999999995</v>
      </c>
      <c r="I3305" s="411">
        <v>18.707180000000001</v>
      </c>
      <c r="J3305" s="411">
        <v>67.065889999999996</v>
      </c>
      <c r="K3305" s="411">
        <v>7266.6750000000002</v>
      </c>
      <c r="L3305" s="526" t="s">
        <v>554</v>
      </c>
    </row>
    <row r="3306" spans="1:12" ht="15" x14ac:dyDescent="0.25">
      <c r="A3306">
        <v>349800</v>
      </c>
      <c r="B3306" t="str">
        <f t="shared" si="134"/>
        <v>SEVROLL 04467 Blue horné vedenie 2,5m oliva</v>
      </c>
      <c r="C3306" s="198">
        <f t="shared" si="135"/>
        <v>23.383980000000001</v>
      </c>
      <c r="D3306" s="526" t="s">
        <v>3419</v>
      </c>
      <c r="E3306" s="526" t="s">
        <v>4545</v>
      </c>
      <c r="F3306" s="526" t="s">
        <v>4546</v>
      </c>
      <c r="G3306" s="526" t="s">
        <v>4547</v>
      </c>
      <c r="H3306" s="412">
        <v>640.31550000000004</v>
      </c>
      <c r="I3306" s="411">
        <v>23.383980000000001</v>
      </c>
      <c r="J3306" s="411">
        <v>79.111639999999994</v>
      </c>
      <c r="K3306" s="411">
        <v>9083.3438499999993</v>
      </c>
      <c r="L3306" s="526" t="s">
        <v>554</v>
      </c>
    </row>
    <row r="3307" spans="1:12" ht="15" x14ac:dyDescent="0.25">
      <c r="A3307">
        <v>349801</v>
      </c>
      <c r="B3307" t="str">
        <f t="shared" si="134"/>
        <v>SEVROLL 04468 Blue horné vedenie  3m oliva</v>
      </c>
      <c r="C3307" s="198">
        <f t="shared" si="135"/>
        <v>28.060759999999998</v>
      </c>
      <c r="D3307" s="526" t="s">
        <v>3420</v>
      </c>
      <c r="E3307" s="526" t="s">
        <v>4711</v>
      </c>
      <c r="F3307" s="526" t="s">
        <v>4712</v>
      </c>
      <c r="G3307" s="526" t="s">
        <v>4713</v>
      </c>
      <c r="H3307" s="412">
        <v>768.94399999999996</v>
      </c>
      <c r="I3307" s="411">
        <v>28.060759999999998</v>
      </c>
      <c r="J3307" s="411">
        <v>94.933920000000001</v>
      </c>
      <c r="K3307" s="411">
        <v>10900.012699999999</v>
      </c>
      <c r="L3307" s="526" t="s">
        <v>553</v>
      </c>
    </row>
    <row r="3308" spans="1:12" ht="15" x14ac:dyDescent="0.25">
      <c r="A3308">
        <v>349802</v>
      </c>
      <c r="B3308" t="str">
        <f t="shared" si="134"/>
        <v>SEVROLL 04474 Blue horné vedenie  3m strieborná</v>
      </c>
      <c r="C3308" s="198">
        <f t="shared" si="135"/>
        <v>22.448609999999999</v>
      </c>
      <c r="D3308" s="526" t="s">
        <v>3421</v>
      </c>
      <c r="E3308" s="526" t="s">
        <v>4639</v>
      </c>
      <c r="F3308" s="526" t="s">
        <v>4640</v>
      </c>
      <c r="G3308" s="526" t="s">
        <v>4641</v>
      </c>
      <c r="H3308" s="412">
        <v>614.87249999999995</v>
      </c>
      <c r="I3308" s="411">
        <v>22.448609999999999</v>
      </c>
      <c r="J3308" s="411">
        <v>80.48536</v>
      </c>
      <c r="K3308" s="411">
        <v>8720.01</v>
      </c>
      <c r="L3308" s="526" t="s">
        <v>710</v>
      </c>
    </row>
    <row r="3309" spans="1:12" ht="15" x14ac:dyDescent="0.25">
      <c r="A3309">
        <v>349804</v>
      </c>
      <c r="B3309" t="str">
        <f t="shared" si="134"/>
        <v>SEVROLL 04475 Blue horné vedenie  4m strieborná</v>
      </c>
      <c r="C3309" s="198">
        <f t="shared" si="135"/>
        <v>29.931480000000001</v>
      </c>
      <c r="D3309" s="526" t="s">
        <v>3422</v>
      </c>
      <c r="E3309" s="526" t="s">
        <v>4812</v>
      </c>
      <c r="F3309" s="526" t="s">
        <v>4813</v>
      </c>
      <c r="G3309" s="526" t="s">
        <v>2432</v>
      </c>
      <c r="H3309" s="412">
        <v>819.83</v>
      </c>
      <c r="I3309" s="411">
        <v>29.931480000000001</v>
      </c>
      <c r="J3309" s="411">
        <v>107.34003</v>
      </c>
      <c r="K3309" s="411">
        <v>11626.68</v>
      </c>
      <c r="L3309" s="526" t="s">
        <v>710</v>
      </c>
    </row>
    <row r="3310" spans="1:12" ht="15" x14ac:dyDescent="0.25">
      <c r="A3310">
        <v>349805</v>
      </c>
      <c r="B3310" t="str">
        <f t="shared" si="134"/>
        <v>SEVROLL 04469 Blue horné vedenie  4m oliva</v>
      </c>
      <c r="C3310" s="198">
        <f t="shared" si="135"/>
        <v>37.414349999999999</v>
      </c>
      <c r="D3310" s="526" t="s">
        <v>3423</v>
      </c>
      <c r="E3310" s="526" t="s">
        <v>4876</v>
      </c>
      <c r="F3310" s="526" t="s">
        <v>4877</v>
      </c>
      <c r="G3310" s="526" t="s">
        <v>4878</v>
      </c>
      <c r="H3310" s="412">
        <v>1024.7874999999999</v>
      </c>
      <c r="I3310" s="411">
        <v>37.414349999999999</v>
      </c>
      <c r="J3310" s="411">
        <v>126.57856</v>
      </c>
      <c r="K3310" s="411">
        <v>14533.35</v>
      </c>
      <c r="L3310" s="526" t="s">
        <v>553</v>
      </c>
    </row>
    <row r="3311" spans="1:12" ht="15" x14ac:dyDescent="0.25">
      <c r="A3311">
        <v>349806</v>
      </c>
      <c r="B3311" t="str">
        <f t="shared" si="134"/>
        <v>SEVROLL 04470 Blue horné vedenie  6m oliva</v>
      </c>
      <c r="C3311" s="198">
        <f t="shared" si="135"/>
        <v>56.12153</v>
      </c>
      <c r="D3311" s="526" t="s">
        <v>3424</v>
      </c>
      <c r="E3311" s="526" t="s">
        <v>4989</v>
      </c>
      <c r="F3311" s="526" t="s">
        <v>4990</v>
      </c>
      <c r="G3311" s="526" t="s">
        <v>4991</v>
      </c>
      <c r="H3311" s="412">
        <v>1537.1812500000001</v>
      </c>
      <c r="I3311" s="411">
        <v>56.12153</v>
      </c>
      <c r="J3311" s="411">
        <v>189.86785</v>
      </c>
      <c r="K3311" s="411">
        <v>21800.025000000001</v>
      </c>
      <c r="L3311" s="526" t="s">
        <v>553</v>
      </c>
    </row>
    <row r="3312" spans="1:12" ht="15" x14ac:dyDescent="0.25">
      <c r="A3312">
        <v>349807</v>
      </c>
      <c r="B3312" t="str">
        <f t="shared" si="134"/>
        <v>SEVROLL 04476 Blue horné vedenie  6m strieborná</v>
      </c>
      <c r="C3312" s="198">
        <f t="shared" si="135"/>
        <v>44.897219999999997</v>
      </c>
      <c r="D3312" s="526" t="s">
        <v>3425</v>
      </c>
      <c r="E3312" s="526" t="s">
        <v>4975</v>
      </c>
      <c r="F3312" s="526" t="s">
        <v>4976</v>
      </c>
      <c r="G3312" s="526" t="s">
        <v>4977</v>
      </c>
      <c r="H3312" s="412">
        <v>1224.2893999999999</v>
      </c>
      <c r="I3312" s="411">
        <v>44.897219999999997</v>
      </c>
      <c r="J3312" s="411">
        <v>160.97072</v>
      </c>
      <c r="K3312" s="411">
        <v>17440.02</v>
      </c>
      <c r="L3312" s="526" t="s">
        <v>555</v>
      </c>
    </row>
    <row r="3313" spans="1:12" ht="15" x14ac:dyDescent="0.25">
      <c r="A3313">
        <v>349809</v>
      </c>
      <c r="B3313" t="str">
        <f t="shared" si="134"/>
        <v>SEVROLL 04490 Blue-V spodné vedenie  2m oliva</v>
      </c>
      <c r="C3313" s="198">
        <f t="shared" si="135"/>
        <v>9.9986599999999992</v>
      </c>
      <c r="D3313" s="526" t="s">
        <v>3426</v>
      </c>
      <c r="E3313" s="526" t="s">
        <v>4008</v>
      </c>
      <c r="F3313" s="526" t="s">
        <v>4009</v>
      </c>
      <c r="G3313" s="526" t="s">
        <v>4010</v>
      </c>
      <c r="H3313" s="412">
        <v>274.21899999999999</v>
      </c>
      <c r="I3313" s="411">
        <v>9.9986599999999992</v>
      </c>
      <c r="J3313" s="411">
        <v>37.583959999999998</v>
      </c>
      <c r="K3313" s="411">
        <v>3883.9126999999999</v>
      </c>
      <c r="L3313" s="526" t="s">
        <v>553</v>
      </c>
    </row>
    <row r="3314" spans="1:12" ht="15" x14ac:dyDescent="0.25">
      <c r="A3314">
        <v>349810</v>
      </c>
      <c r="B3314" t="str">
        <f t="shared" si="134"/>
        <v>SEVROLL 04495 Blue-V spodné vedenie 1,5m strieborná</v>
      </c>
      <c r="C3314" s="198">
        <f t="shared" si="135"/>
        <v>5.9992000000000001</v>
      </c>
      <c r="D3314" s="526" t="s">
        <v>3427</v>
      </c>
      <c r="E3314" s="526" t="s">
        <v>3814</v>
      </c>
      <c r="F3314" s="526" t="s">
        <v>3815</v>
      </c>
      <c r="G3314" s="526" t="s">
        <v>3816</v>
      </c>
      <c r="H3314" s="412">
        <v>164.67275000000001</v>
      </c>
      <c r="I3314" s="411">
        <v>5.9992000000000001</v>
      </c>
      <c r="J3314" s="411">
        <v>25.674769999999999</v>
      </c>
      <c r="K3314" s="411">
        <v>2330.3476999999998</v>
      </c>
      <c r="L3314" s="526" t="s">
        <v>554</v>
      </c>
    </row>
    <row r="3315" spans="1:12" ht="15" x14ac:dyDescent="0.25">
      <c r="A3315">
        <v>349811</v>
      </c>
      <c r="B3315" t="str">
        <f t="shared" si="134"/>
        <v>SEVROLL 04491 Blue-V spodné vedenie 2,5m oliva</v>
      </c>
      <c r="C3315" s="198">
        <f t="shared" si="135"/>
        <v>12.498329999999999</v>
      </c>
      <c r="D3315" s="526" t="s">
        <v>3428</v>
      </c>
      <c r="E3315" s="526" t="s">
        <v>4114</v>
      </c>
      <c r="F3315" s="526" t="s">
        <v>4115</v>
      </c>
      <c r="G3315" s="526" t="s">
        <v>4116</v>
      </c>
      <c r="H3315" s="412">
        <v>342.06700000000001</v>
      </c>
      <c r="I3315" s="411">
        <v>12.498329999999999</v>
      </c>
      <c r="J3315" s="411">
        <v>46.504049999999999</v>
      </c>
      <c r="K3315" s="411">
        <v>4854.8903799999998</v>
      </c>
      <c r="L3315" s="526" t="s">
        <v>554</v>
      </c>
    </row>
    <row r="3316" spans="1:12" ht="15" x14ac:dyDescent="0.25">
      <c r="A3316">
        <v>349812</v>
      </c>
      <c r="B3316" t="str">
        <f t="shared" si="134"/>
        <v>SEVROLL 04489 Blue-V spodné vedenie 1,5m oliva</v>
      </c>
      <c r="C3316" s="198">
        <f t="shared" si="135"/>
        <v>7.49899</v>
      </c>
      <c r="D3316" s="526" t="s">
        <v>3429</v>
      </c>
      <c r="E3316" s="526" t="s">
        <v>3835</v>
      </c>
      <c r="F3316" s="526" t="s">
        <v>3836</v>
      </c>
      <c r="G3316" s="526" t="s">
        <v>3837</v>
      </c>
      <c r="H3316" s="412">
        <v>205.66425000000001</v>
      </c>
      <c r="I3316" s="411">
        <v>7.49899</v>
      </c>
      <c r="J3316" s="411">
        <v>28.695329999999998</v>
      </c>
      <c r="K3316" s="411">
        <v>2912.9346300000002</v>
      </c>
      <c r="L3316" s="526" t="s">
        <v>554</v>
      </c>
    </row>
    <row r="3317" spans="1:12" ht="15" x14ac:dyDescent="0.25">
      <c r="A3317">
        <v>349813</v>
      </c>
      <c r="B3317" t="str">
        <f t="shared" si="134"/>
        <v>SEVROLL 04497 Blue-V spodné vedenie 2,5m strieborná</v>
      </c>
      <c r="C3317" s="198">
        <f t="shared" si="135"/>
        <v>9.9986599999999992</v>
      </c>
      <c r="D3317" s="526" t="s">
        <v>3430</v>
      </c>
      <c r="E3317" s="526" t="s">
        <v>4054</v>
      </c>
      <c r="F3317" s="526" t="s">
        <v>4055</v>
      </c>
      <c r="G3317" s="526" t="s">
        <v>4056</v>
      </c>
      <c r="H3317" s="412">
        <v>274.21899999999999</v>
      </c>
      <c r="I3317" s="411">
        <v>9.9986599999999992</v>
      </c>
      <c r="J3317" s="411">
        <v>41.627099999999999</v>
      </c>
      <c r="K3317" s="411">
        <v>3883.9126999999999</v>
      </c>
      <c r="L3317" s="526" t="s">
        <v>554</v>
      </c>
    </row>
    <row r="3318" spans="1:12" ht="15" x14ac:dyDescent="0.25">
      <c r="A3318">
        <v>349814</v>
      </c>
      <c r="B3318" t="str">
        <f t="shared" si="134"/>
        <v>SEVROLL 04498 Blue-V spodné vedenie  3m strieborná</v>
      </c>
      <c r="C3318" s="198">
        <f t="shared" si="135"/>
        <v>11.9984</v>
      </c>
      <c r="D3318" s="526" t="s">
        <v>3431</v>
      </c>
      <c r="E3318" s="526" t="s">
        <v>4177</v>
      </c>
      <c r="F3318" s="526" t="s">
        <v>4178</v>
      </c>
      <c r="G3318" s="526" t="s">
        <v>4179</v>
      </c>
      <c r="H3318" s="412">
        <v>328.63875000000002</v>
      </c>
      <c r="I3318" s="411">
        <v>11.9984</v>
      </c>
      <c r="J3318" s="411">
        <v>49.288629999999998</v>
      </c>
      <c r="K3318" s="411">
        <v>4660.6949999999997</v>
      </c>
      <c r="L3318" s="526" t="s">
        <v>710</v>
      </c>
    </row>
    <row r="3319" spans="1:12" ht="15" x14ac:dyDescent="0.25">
      <c r="A3319">
        <v>349815</v>
      </c>
      <c r="B3319" t="str">
        <f t="shared" si="134"/>
        <v>SEVROLL 04492 Blue-V spodné vedenie  3m oliva</v>
      </c>
      <c r="C3319" s="198">
        <f t="shared" si="135"/>
        <v>14.998010000000001</v>
      </c>
      <c r="D3319" s="526" t="s">
        <v>3432</v>
      </c>
      <c r="E3319" s="526" t="s">
        <v>4257</v>
      </c>
      <c r="F3319" s="526" t="s">
        <v>4258</v>
      </c>
      <c r="G3319" s="526" t="s">
        <v>4259</v>
      </c>
      <c r="H3319" s="412">
        <v>410.62175000000002</v>
      </c>
      <c r="I3319" s="411">
        <v>14.998010000000001</v>
      </c>
      <c r="J3319" s="411">
        <v>55.219630000000002</v>
      </c>
      <c r="K3319" s="411">
        <v>5825.8688499999998</v>
      </c>
      <c r="L3319" s="526" t="s">
        <v>553</v>
      </c>
    </row>
    <row r="3320" spans="1:12" ht="15" x14ac:dyDescent="0.25">
      <c r="A3320">
        <v>349816</v>
      </c>
      <c r="B3320" t="str">
        <f t="shared" ref="B3320:B3383" si="136">IF($A$2=1,D3320,IF($A$2=2,F3320,IF($A$2=3,G3320,IF($A$2=4,E3320,"zadat jazyk"))))</f>
        <v>SEVROLL 04493 Blue-V spodné vedenie  4m oliva</v>
      </c>
      <c r="C3320" s="198">
        <f t="shared" ref="C3320:C3383" si="137">IF($A$2=1,H3320,IF($A$2=2,I3320,IF($A$2=3,J3320,IF($A$2=4,K3320,"zadat jazyk"))))</f>
        <v>19.997330000000002</v>
      </c>
      <c r="D3320" s="526" t="s">
        <v>3433</v>
      </c>
      <c r="E3320" s="526" t="s">
        <v>4449</v>
      </c>
      <c r="F3320" s="526" t="s">
        <v>4450</v>
      </c>
      <c r="G3320" s="526" t="s">
        <v>4451</v>
      </c>
      <c r="H3320" s="412">
        <v>547.73125000000005</v>
      </c>
      <c r="I3320" s="411">
        <v>19.997330000000002</v>
      </c>
      <c r="J3320" s="411">
        <v>73.594700000000003</v>
      </c>
      <c r="K3320" s="411">
        <v>7767.8249999999998</v>
      </c>
      <c r="L3320" s="526" t="s">
        <v>553</v>
      </c>
    </row>
    <row r="3321" spans="1:12" ht="15" x14ac:dyDescent="0.25">
      <c r="A3321">
        <v>349817</v>
      </c>
      <c r="B3321" t="str">
        <f t="shared" si="136"/>
        <v>SEVROLL 04494 Blue-V spodné vedenie 6m oliva</v>
      </c>
      <c r="C3321" s="198">
        <f t="shared" si="137"/>
        <v>29.995989999999999</v>
      </c>
      <c r="D3321" s="526" t="s">
        <v>3434</v>
      </c>
      <c r="E3321" s="526" t="s">
        <v>4698</v>
      </c>
      <c r="F3321" s="526" t="s">
        <v>4699</v>
      </c>
      <c r="G3321" s="526" t="s">
        <v>4700</v>
      </c>
      <c r="H3321" s="412">
        <v>821.59688000000006</v>
      </c>
      <c r="I3321" s="411">
        <v>29.995989999999999</v>
      </c>
      <c r="J3321" s="411">
        <v>111.19439</v>
      </c>
      <c r="K3321" s="411">
        <v>11651.7377</v>
      </c>
      <c r="L3321" s="526" t="s">
        <v>553</v>
      </c>
    </row>
    <row r="3322" spans="1:12" ht="15" x14ac:dyDescent="0.25">
      <c r="A3322">
        <v>349818</v>
      </c>
      <c r="B3322" t="str">
        <f t="shared" si="136"/>
        <v>SEVROLL 04500 Blue-V spodné vedenie  6m strieborná</v>
      </c>
      <c r="C3322" s="198">
        <f t="shared" si="137"/>
        <v>23.996790000000001</v>
      </c>
      <c r="D3322" s="526" t="s">
        <v>3435</v>
      </c>
      <c r="E3322" s="526" t="s">
        <v>4662</v>
      </c>
      <c r="F3322" s="526" t="s">
        <v>4663</v>
      </c>
      <c r="G3322" s="526" t="s">
        <v>4664</v>
      </c>
      <c r="H3322" s="412">
        <v>657.27750000000003</v>
      </c>
      <c r="I3322" s="411">
        <v>23.996790000000001</v>
      </c>
      <c r="J3322" s="411">
        <v>99.143609999999995</v>
      </c>
      <c r="K3322" s="411">
        <v>9321.39</v>
      </c>
      <c r="L3322" s="526" t="s">
        <v>553</v>
      </c>
    </row>
    <row r="3323" spans="1:12" ht="15" x14ac:dyDescent="0.25">
      <c r="A3323">
        <v>349819</v>
      </c>
      <c r="B3323" t="str">
        <f t="shared" si="136"/>
        <v>SEVROLL 04499 Blue-V spodné vedenie  4m strieborná</v>
      </c>
      <c r="C3323" s="198">
        <f t="shared" si="137"/>
        <v>15.997859999999999</v>
      </c>
      <c r="D3323" s="526" t="s">
        <v>3436</v>
      </c>
      <c r="E3323" s="526" t="s">
        <v>4389</v>
      </c>
      <c r="F3323" s="526" t="s">
        <v>4390</v>
      </c>
      <c r="G3323" s="526" t="s">
        <v>2433</v>
      </c>
      <c r="H3323" s="412">
        <v>438.185</v>
      </c>
      <c r="I3323" s="411">
        <v>15.997859999999999</v>
      </c>
      <c r="J3323" s="411">
        <v>65.728660000000005</v>
      </c>
      <c r="K3323" s="411">
        <v>6214.26</v>
      </c>
      <c r="L3323" s="526" t="s">
        <v>710</v>
      </c>
    </row>
    <row r="3324" spans="1:12" ht="15" x14ac:dyDescent="0.25">
      <c r="A3324">
        <v>349856</v>
      </c>
      <c r="B3324" t="str">
        <f t="shared" si="136"/>
        <v>SEVROLL 20361 upevňovací klin Blue 40ks (sklo 4mm)</v>
      </c>
      <c r="C3324" s="198">
        <f t="shared" si="137"/>
        <v>12.17902</v>
      </c>
      <c r="D3324" s="526" t="s">
        <v>3437</v>
      </c>
      <c r="E3324" s="526" t="s">
        <v>4241</v>
      </c>
      <c r="F3324" s="526" t="s">
        <v>4242</v>
      </c>
      <c r="G3324" s="526" t="s">
        <v>4243</v>
      </c>
      <c r="H3324" s="412">
        <v>357.84679999999997</v>
      </c>
      <c r="I3324" s="411">
        <v>12.17902</v>
      </c>
      <c r="J3324" s="411">
        <v>42.618220000000001</v>
      </c>
      <c r="K3324" s="411">
        <v>4730.8561499999996</v>
      </c>
      <c r="L3324" s="526" t="s">
        <v>553</v>
      </c>
    </row>
    <row r="3325" spans="1:12" ht="15" x14ac:dyDescent="0.25">
      <c r="A3325">
        <v>349857</v>
      </c>
      <c r="B3325" t="str">
        <f t="shared" si="136"/>
        <v>SEVROLL 04483 Blue-C spodné vedenie 1,5m strieborná</v>
      </c>
      <c r="C3325" s="198">
        <f t="shared" si="137"/>
        <v>5.2638100000000003</v>
      </c>
      <c r="D3325" s="526" t="s">
        <v>3438</v>
      </c>
      <c r="E3325" s="526" t="s">
        <v>3700</v>
      </c>
      <c r="F3325" s="526" t="s">
        <v>3701</v>
      </c>
      <c r="G3325" s="526" t="s">
        <v>3702</v>
      </c>
      <c r="H3325" s="412">
        <v>144.17699999999999</v>
      </c>
      <c r="I3325" s="411">
        <v>5.2638100000000003</v>
      </c>
      <c r="J3325" s="411">
        <v>21.61589</v>
      </c>
      <c r="K3325" s="411">
        <v>2044.69193</v>
      </c>
      <c r="L3325" s="526" t="s">
        <v>554</v>
      </c>
    </row>
    <row r="3326" spans="1:12" ht="15" x14ac:dyDescent="0.25">
      <c r="A3326">
        <v>349858</v>
      </c>
      <c r="B3326" t="str">
        <f t="shared" si="136"/>
        <v>SEVROLL 04477 Blue-C spodné vedenie 1,5m oliva</v>
      </c>
      <c r="C3326" s="198">
        <f t="shared" si="137"/>
        <v>6.1669200000000002</v>
      </c>
      <c r="D3326" s="526" t="s">
        <v>3439</v>
      </c>
      <c r="E3326" s="526" t="s">
        <v>3741</v>
      </c>
      <c r="F3326" s="526" t="s">
        <v>3742</v>
      </c>
      <c r="G3326" s="526" t="s">
        <v>3743</v>
      </c>
      <c r="H3326" s="412">
        <v>168.91325000000001</v>
      </c>
      <c r="I3326" s="411">
        <v>6.1669200000000002</v>
      </c>
      <c r="J3326" s="411">
        <v>23.991430000000001</v>
      </c>
      <c r="K3326" s="411">
        <v>2395.4969299999998</v>
      </c>
      <c r="L3326" s="526" t="s">
        <v>554</v>
      </c>
    </row>
    <row r="3327" spans="1:12" ht="15" x14ac:dyDescent="0.25">
      <c r="A3327">
        <v>349859</v>
      </c>
      <c r="B3327" t="str">
        <f t="shared" si="136"/>
        <v>SEVROLL 04478 Blue-C spodné vedenie 2m oliva</v>
      </c>
      <c r="C3327" s="198">
        <f t="shared" si="137"/>
        <v>8.1021400000000003</v>
      </c>
      <c r="D3327" s="526" t="s">
        <v>3440</v>
      </c>
      <c r="E3327" s="526" t="s">
        <v>3843</v>
      </c>
      <c r="F3327" s="526" t="s">
        <v>3844</v>
      </c>
      <c r="G3327" s="526" t="s">
        <v>3845</v>
      </c>
      <c r="H3327" s="412">
        <v>221.9195</v>
      </c>
      <c r="I3327" s="411">
        <v>8.1021400000000003</v>
      </c>
      <c r="J3327" s="411">
        <v>31.33832</v>
      </c>
      <c r="K3327" s="411">
        <v>3147.2219300000002</v>
      </c>
      <c r="L3327" s="526" t="s">
        <v>554</v>
      </c>
    </row>
    <row r="3328" spans="1:12" ht="15" x14ac:dyDescent="0.25">
      <c r="A3328">
        <v>349862</v>
      </c>
      <c r="B3328" t="str">
        <f t="shared" si="136"/>
        <v>SEVROLL 04485 Blue-C spodné vedenie 2,5m strieborná</v>
      </c>
      <c r="C3328" s="198">
        <f t="shared" si="137"/>
        <v>8.4891900000000007</v>
      </c>
      <c r="D3328" s="526" t="s">
        <v>3441</v>
      </c>
      <c r="E3328" s="526" t="s">
        <v>3898</v>
      </c>
      <c r="F3328" s="526" t="s">
        <v>3899</v>
      </c>
      <c r="G3328" s="526" t="s">
        <v>3900</v>
      </c>
      <c r="H3328" s="412">
        <v>232.52074999999999</v>
      </c>
      <c r="I3328" s="411">
        <v>8.4891900000000007</v>
      </c>
      <c r="J3328" s="411">
        <v>34.783639999999998</v>
      </c>
      <c r="K3328" s="411">
        <v>3297.56693</v>
      </c>
      <c r="L3328" s="526" t="s">
        <v>554</v>
      </c>
    </row>
    <row r="3329" spans="1:12" ht="15" x14ac:dyDescent="0.25">
      <c r="A3329">
        <v>349863</v>
      </c>
      <c r="B3329" t="str">
        <f t="shared" si="136"/>
        <v>SEVROLL 04479 Blue-C spodné vedenie 2,5m oliva</v>
      </c>
      <c r="C3329" s="198">
        <f t="shared" si="137"/>
        <v>9.9599600000000006</v>
      </c>
      <c r="D3329" s="526" t="s">
        <v>3442</v>
      </c>
      <c r="E3329" s="526" t="s">
        <v>3958</v>
      </c>
      <c r="F3329" s="526" t="s">
        <v>3959</v>
      </c>
      <c r="G3329" s="526" t="s">
        <v>3960</v>
      </c>
      <c r="H3329" s="412">
        <v>272.80549999999999</v>
      </c>
      <c r="I3329" s="411">
        <v>9.9599600000000006</v>
      </c>
      <c r="J3329" s="411">
        <v>38.62227</v>
      </c>
      <c r="K3329" s="411">
        <v>3868.87808</v>
      </c>
      <c r="L3329" s="526" t="s">
        <v>554</v>
      </c>
    </row>
    <row r="3330" spans="1:12" ht="15" x14ac:dyDescent="0.25">
      <c r="A3330">
        <v>349864</v>
      </c>
      <c r="B3330" t="str">
        <f t="shared" si="136"/>
        <v>SEVROLL 04486 Blue-C spodné vedenie 3m strieborná</v>
      </c>
      <c r="C3330" s="198">
        <f t="shared" si="137"/>
        <v>9.9599600000000006</v>
      </c>
      <c r="D3330" s="526" t="s">
        <v>3443</v>
      </c>
      <c r="E3330" s="526" t="s">
        <v>4013</v>
      </c>
      <c r="F3330" s="526" t="s">
        <v>4014</v>
      </c>
      <c r="G3330" s="526" t="s">
        <v>4015</v>
      </c>
      <c r="H3330" s="412">
        <v>272.80549999999999</v>
      </c>
      <c r="I3330" s="411">
        <v>9.9599600000000006</v>
      </c>
      <c r="J3330" s="411">
        <v>40.997819999999997</v>
      </c>
      <c r="K3330" s="411">
        <v>3868.87808</v>
      </c>
      <c r="L3330" s="526" t="s">
        <v>554</v>
      </c>
    </row>
    <row r="3331" spans="1:12" ht="15" x14ac:dyDescent="0.25">
      <c r="A3331">
        <v>349865</v>
      </c>
      <c r="B3331" t="str">
        <f t="shared" si="136"/>
        <v>SEVROLL 04480 Blue-C spodné vedenie 3m oliva</v>
      </c>
      <c r="C3331" s="198">
        <f t="shared" si="137"/>
        <v>11.86938</v>
      </c>
      <c r="D3331" s="526" t="s">
        <v>3444</v>
      </c>
      <c r="E3331" s="526" t="s">
        <v>4066</v>
      </c>
      <c r="F3331" s="526" t="s">
        <v>4067</v>
      </c>
      <c r="G3331" s="526" t="s">
        <v>4068</v>
      </c>
      <c r="H3331" s="412">
        <v>325.10500000000002</v>
      </c>
      <c r="I3331" s="411">
        <v>11.86938</v>
      </c>
      <c r="J3331" s="411">
        <v>45.780369999999998</v>
      </c>
      <c r="K3331" s="411">
        <v>4610.58</v>
      </c>
      <c r="L3331" s="526" t="s">
        <v>554</v>
      </c>
    </row>
    <row r="3332" spans="1:12" ht="15" x14ac:dyDescent="0.25">
      <c r="A3332">
        <v>349866</v>
      </c>
      <c r="B3332" t="str">
        <f t="shared" si="136"/>
        <v>SEVROLL 04487 Blue-C spodné vedenie 4m strieborná</v>
      </c>
      <c r="C3332" s="198">
        <f t="shared" si="137"/>
        <v>13.34015</v>
      </c>
      <c r="D3332" s="526" t="s">
        <v>3445</v>
      </c>
      <c r="E3332" s="526" t="s">
        <v>4183</v>
      </c>
      <c r="F3332" s="526" t="s">
        <v>4184</v>
      </c>
      <c r="G3332" s="526" t="s">
        <v>4185</v>
      </c>
      <c r="H3332" s="412">
        <v>365.38974999999999</v>
      </c>
      <c r="I3332" s="411">
        <v>13.34015</v>
      </c>
      <c r="J3332" s="411">
        <v>54.590339999999998</v>
      </c>
      <c r="K3332" s="411">
        <v>5181.8911500000004</v>
      </c>
      <c r="L3332" s="526" t="s">
        <v>554</v>
      </c>
    </row>
    <row r="3333" spans="1:12" ht="15" x14ac:dyDescent="0.25">
      <c r="A3333">
        <v>349867</v>
      </c>
      <c r="B3333" t="str">
        <f t="shared" si="136"/>
        <v>SEVROLL 04481 Blue-C spodné vedenie 4m oliva</v>
      </c>
      <c r="C3333" s="198">
        <f t="shared" si="137"/>
        <v>15.76563</v>
      </c>
      <c r="D3333" s="526" t="s">
        <v>3446</v>
      </c>
      <c r="E3333" s="526" t="s">
        <v>4254</v>
      </c>
      <c r="F3333" s="526" t="s">
        <v>4255</v>
      </c>
      <c r="G3333" s="526" t="s">
        <v>4256</v>
      </c>
      <c r="H3333" s="412">
        <v>431.82425000000001</v>
      </c>
      <c r="I3333" s="411">
        <v>15.76563</v>
      </c>
      <c r="J3333" s="411">
        <v>60.97757</v>
      </c>
      <c r="K3333" s="411">
        <v>6124.0530799999997</v>
      </c>
      <c r="L3333" s="526" t="s">
        <v>554</v>
      </c>
    </row>
    <row r="3334" spans="1:12" ht="15" x14ac:dyDescent="0.25">
      <c r="A3334">
        <v>349868</v>
      </c>
      <c r="B3334" t="str">
        <f t="shared" si="136"/>
        <v>SEVROLL 04488 Blue-C spodné vedenie 6m strieborná</v>
      </c>
      <c r="C3334" s="198">
        <f t="shared" si="137"/>
        <v>20.177949999999999</v>
      </c>
      <c r="D3334" s="526" t="s">
        <v>3447</v>
      </c>
      <c r="E3334" s="526" t="s">
        <v>4475</v>
      </c>
      <c r="F3334" s="526" t="s">
        <v>4476</v>
      </c>
      <c r="G3334" s="526" t="s">
        <v>4477</v>
      </c>
      <c r="H3334" s="412">
        <v>552.67849999999999</v>
      </c>
      <c r="I3334" s="411">
        <v>20.177949999999999</v>
      </c>
      <c r="J3334" s="411">
        <v>82.766509999999997</v>
      </c>
      <c r="K3334" s="411">
        <v>7837.9861499999997</v>
      </c>
      <c r="L3334" s="526" t="s">
        <v>554</v>
      </c>
    </row>
    <row r="3335" spans="1:12" ht="15" x14ac:dyDescent="0.25">
      <c r="A3335">
        <v>349869</v>
      </c>
      <c r="B3335" t="str">
        <f t="shared" si="136"/>
        <v>SEVROLL 04482 Blue-C spodné vedenie 6m oliva</v>
      </c>
      <c r="C3335" s="198">
        <f t="shared" si="137"/>
        <v>23.738759999999999</v>
      </c>
      <c r="D3335" s="526" t="s">
        <v>3448</v>
      </c>
      <c r="E3335" s="526" t="s">
        <v>4527</v>
      </c>
      <c r="F3335" s="526" t="s">
        <v>4528</v>
      </c>
      <c r="G3335" s="526" t="s">
        <v>4529</v>
      </c>
      <c r="H3335" s="412">
        <v>650.21</v>
      </c>
      <c r="I3335" s="411">
        <v>23.738759999999999</v>
      </c>
      <c r="J3335" s="411">
        <v>92.095640000000003</v>
      </c>
      <c r="K3335" s="411">
        <v>9221.16</v>
      </c>
      <c r="L3335" s="526" t="s">
        <v>554</v>
      </c>
    </row>
    <row r="3336" spans="1:12" ht="15" x14ac:dyDescent="0.25">
      <c r="A3336">
        <v>349942</v>
      </c>
      <c r="B3336" t="str">
        <f t="shared" si="136"/>
        <v>SEVROLL 10239 horný vozík Blue 10mm asymetrický L+P</v>
      </c>
      <c r="C3336" s="198">
        <f t="shared" si="137"/>
        <v>3.6124200000000002</v>
      </c>
      <c r="D3336" s="526" t="s">
        <v>3449</v>
      </c>
      <c r="E3336" s="526" t="s">
        <v>3623</v>
      </c>
      <c r="F3336" s="526" t="s">
        <v>3624</v>
      </c>
      <c r="G3336" s="526" t="s">
        <v>3625</v>
      </c>
      <c r="H3336" s="412">
        <v>106.14100000000001</v>
      </c>
      <c r="I3336" s="411">
        <v>3.6124200000000002</v>
      </c>
      <c r="J3336" s="411">
        <v>15.244389999999999</v>
      </c>
      <c r="K3336" s="411">
        <v>1403.22</v>
      </c>
      <c r="L3336" s="526" t="s">
        <v>553</v>
      </c>
    </row>
    <row r="3337" spans="1:12" ht="15" x14ac:dyDescent="0.25">
      <c r="A3337">
        <v>349943</v>
      </c>
      <c r="B3337" t="str">
        <f t="shared" si="136"/>
        <v>SEVROLL 10240 horný vozík Blue 10mm symetrický L+P</v>
      </c>
      <c r="C3337" s="198">
        <f t="shared" si="137"/>
        <v>3.6124200000000002</v>
      </c>
      <c r="D3337" s="526" t="s">
        <v>3450</v>
      </c>
      <c r="E3337" s="526" t="s">
        <v>5423</v>
      </c>
      <c r="F3337" s="526" t="s">
        <v>5424</v>
      </c>
      <c r="G3337" s="526" t="s">
        <v>5425</v>
      </c>
      <c r="H3337" s="412">
        <v>106.14100000000001</v>
      </c>
      <c r="I3337" s="411">
        <v>3.6124200000000002</v>
      </c>
      <c r="J3337" s="411">
        <v>15.244389999999999</v>
      </c>
      <c r="K3337" s="411">
        <v>1403.22</v>
      </c>
      <c r="L3337" s="526" t="s">
        <v>553</v>
      </c>
    </row>
    <row r="3338" spans="1:12" ht="15" x14ac:dyDescent="0.25">
      <c r="A3338">
        <v>350024</v>
      </c>
      <c r="B3338" t="str">
        <f t="shared" si="136"/>
        <v>SEVROLL 20375-BL tlmič dorazu Simple/Blue 10/18 25kg L+P</v>
      </c>
      <c r="C3338" s="198">
        <f t="shared" si="137"/>
        <v>24.48705</v>
      </c>
      <c r="D3338" s="526" t="s">
        <v>3451</v>
      </c>
      <c r="E3338" s="526" t="s">
        <v>4678</v>
      </c>
      <c r="F3338" s="526" t="s">
        <v>4679</v>
      </c>
      <c r="G3338" s="526" t="s">
        <v>4680</v>
      </c>
      <c r="H3338" s="412">
        <v>719.48434999999995</v>
      </c>
      <c r="I3338" s="411">
        <v>24.48705</v>
      </c>
      <c r="J3338" s="411">
        <v>109.51739999999999</v>
      </c>
      <c r="K3338" s="411">
        <v>9511.8269299999993</v>
      </c>
      <c r="L3338" s="526" t="s">
        <v>554</v>
      </c>
    </row>
    <row r="3339" spans="1:12" ht="15" x14ac:dyDescent="0.25">
      <c r="A3339">
        <v>350687</v>
      </c>
      <c r="B3339" t="str">
        <f t="shared" si="136"/>
        <v>SEVROLL 04284 Elegant II spodné vedenie 6m strieborná</v>
      </c>
      <c r="C3339" s="198">
        <f t="shared" si="137"/>
        <v>28.91226</v>
      </c>
      <c r="D3339" s="526" t="s">
        <v>3452</v>
      </c>
      <c r="E3339" s="526" t="s">
        <v>5251</v>
      </c>
      <c r="F3339" s="526" t="s">
        <v>5252</v>
      </c>
      <c r="G3339" s="526" t="s">
        <v>5253</v>
      </c>
      <c r="H3339" s="412">
        <v>800.90966000000003</v>
      </c>
      <c r="I3339" s="411">
        <v>28.91226</v>
      </c>
      <c r="J3339" s="411">
        <v>110.4456</v>
      </c>
      <c r="K3339" s="411">
        <v>11006.15612</v>
      </c>
      <c r="L3339" s="526" t="s">
        <v>553</v>
      </c>
    </row>
    <row r="3340" spans="1:12" ht="15" x14ac:dyDescent="0.25">
      <c r="A3340">
        <v>350688</v>
      </c>
      <c r="B3340" t="str">
        <f t="shared" si="136"/>
        <v>SEVROLL 04278 Elegant II spodné vedenie 6m oliva</v>
      </c>
      <c r="C3340" s="198">
        <f t="shared" si="137"/>
        <v>36.38223</v>
      </c>
      <c r="D3340" s="526" t="s">
        <v>3453</v>
      </c>
      <c r="E3340" s="526" t="s">
        <v>4879</v>
      </c>
      <c r="F3340" s="526" t="s">
        <v>4880</v>
      </c>
      <c r="G3340" s="526" t="s">
        <v>4881</v>
      </c>
      <c r="H3340" s="412">
        <v>1007.3886</v>
      </c>
      <c r="I3340" s="411">
        <v>36.38223</v>
      </c>
      <c r="J3340" s="411">
        <v>137.86320000000001</v>
      </c>
      <c r="K3340" s="411">
        <v>13849.7814</v>
      </c>
      <c r="L3340" s="526" t="s">
        <v>553</v>
      </c>
    </row>
    <row r="3341" spans="1:12" ht="15" x14ac:dyDescent="0.25">
      <c r="A3341">
        <v>350696</v>
      </c>
      <c r="B3341" t="str">
        <f t="shared" si="136"/>
        <v>SEVROLL U profil oceľový 6m strieborný</v>
      </c>
      <c r="C3341" s="198">
        <f t="shared" si="137"/>
        <v>51.37377</v>
      </c>
      <c r="D3341" s="526" t="s">
        <v>1719</v>
      </c>
      <c r="E3341" s="526" t="s">
        <v>2146</v>
      </c>
      <c r="F3341" s="526" t="s">
        <v>2322</v>
      </c>
      <c r="G3341" s="526" t="s">
        <v>6151</v>
      </c>
      <c r="H3341" s="412">
        <v>1355.97055</v>
      </c>
      <c r="I3341" s="411">
        <v>51.37377</v>
      </c>
      <c r="J3341" s="411">
        <v>176.7646</v>
      </c>
      <c r="K3341" s="411">
        <v>18918.328839999998</v>
      </c>
      <c r="L3341" s="526" t="s">
        <v>554</v>
      </c>
    </row>
    <row r="3342" spans="1:12" ht="15" x14ac:dyDescent="0.25">
      <c r="A3342">
        <v>351387</v>
      </c>
      <c r="B3342" t="str">
        <f t="shared" si="136"/>
        <v>SEVROLL zámok na posuvné dvere 18 mm (rovnaký kľúč)</v>
      </c>
      <c r="C3342" s="198">
        <f t="shared" si="137"/>
        <v>15.72176</v>
      </c>
      <c r="D3342" s="526" t="s">
        <v>3454</v>
      </c>
      <c r="E3342" s="526" t="s">
        <v>4398</v>
      </c>
      <c r="F3342" s="526" t="s">
        <v>4399</v>
      </c>
      <c r="G3342" s="526" t="s">
        <v>4400</v>
      </c>
      <c r="H3342" s="412">
        <v>461.71334999999999</v>
      </c>
      <c r="I3342" s="411">
        <v>15.72176</v>
      </c>
      <c r="J3342" s="411">
        <v>66.84</v>
      </c>
      <c r="K3342" s="411">
        <v>6107.0138500000003</v>
      </c>
      <c r="L3342" s="526" t="s">
        <v>554</v>
      </c>
    </row>
    <row r="3343" spans="1:12" ht="15" x14ac:dyDescent="0.25">
      <c r="A3343">
        <v>351475</v>
      </c>
      <c r="B3343" t="str">
        <f t="shared" si="136"/>
        <v>SEVROLL 04760 Gemini II spodné vedenie 1,7m biela lesk</v>
      </c>
      <c r="C3343" s="198">
        <f t="shared" si="137"/>
        <v>10.41539</v>
      </c>
      <c r="D3343" s="526" t="s">
        <v>3455</v>
      </c>
      <c r="E3343" s="526" t="s">
        <v>4171</v>
      </c>
      <c r="F3343" s="526" t="s">
        <v>4172</v>
      </c>
      <c r="G3343" s="526" t="s">
        <v>4173</v>
      </c>
      <c r="H3343" s="412">
        <v>288.64184</v>
      </c>
      <c r="I3343" s="411">
        <v>10.41539</v>
      </c>
      <c r="J3343" s="411">
        <v>41.921999999999997</v>
      </c>
      <c r="K3343" s="411">
        <v>3964.8685399999999</v>
      </c>
      <c r="L3343" s="526" t="s">
        <v>554</v>
      </c>
    </row>
    <row r="3344" spans="1:12" ht="15" x14ac:dyDescent="0.25">
      <c r="A3344">
        <v>351476</v>
      </c>
      <c r="B3344" t="str">
        <f t="shared" si="136"/>
        <v>SEVROLL 04761 Gemini II spodné vedenie 2,35m biela lesk</v>
      </c>
      <c r="C3344" s="198">
        <f t="shared" si="137"/>
        <v>14.430569999999999</v>
      </c>
      <c r="D3344" s="526" t="s">
        <v>3456</v>
      </c>
      <c r="E3344" s="526" t="s">
        <v>4405</v>
      </c>
      <c r="F3344" s="526" t="s">
        <v>4406</v>
      </c>
      <c r="G3344" s="526" t="s">
        <v>4407</v>
      </c>
      <c r="H3344" s="412">
        <v>400.0976</v>
      </c>
      <c r="I3344" s="411">
        <v>14.430569999999999</v>
      </c>
      <c r="J3344" s="411">
        <v>57.9054</v>
      </c>
      <c r="K3344" s="411">
        <v>5493.3538099999996</v>
      </c>
      <c r="L3344" s="526" t="s">
        <v>554</v>
      </c>
    </row>
    <row r="3345" spans="1:12" ht="15" x14ac:dyDescent="0.25">
      <c r="A3345">
        <v>351517</v>
      </c>
      <c r="B3345" t="str">
        <f t="shared" si="136"/>
        <v>SEVROLL 04762 Gemini II spodné vedenie 3m biela lesk</v>
      </c>
      <c r="C3345" s="198">
        <f t="shared" si="137"/>
        <v>18.415610000000001</v>
      </c>
      <c r="D3345" s="526" t="s">
        <v>3457</v>
      </c>
      <c r="E3345" s="526" t="s">
        <v>4569</v>
      </c>
      <c r="F3345" s="526" t="s">
        <v>4570</v>
      </c>
      <c r="G3345" s="526" t="s">
        <v>4571</v>
      </c>
      <c r="H3345" s="412">
        <v>510.12443999999999</v>
      </c>
      <c r="I3345" s="411">
        <v>18.415610000000001</v>
      </c>
      <c r="J3345" s="411">
        <v>73.929599999999994</v>
      </c>
      <c r="K3345" s="411">
        <v>7010.3467000000001</v>
      </c>
      <c r="L3345" s="526" t="s">
        <v>554</v>
      </c>
    </row>
    <row r="3346" spans="1:12" ht="15" x14ac:dyDescent="0.25">
      <c r="A3346">
        <v>351541</v>
      </c>
      <c r="B3346" t="str">
        <f t="shared" si="136"/>
        <v>SEVROLL 04763 Gemini II spodné vedenie 4,05m biela lesk</v>
      </c>
      <c r="C3346" s="198">
        <f t="shared" si="137"/>
        <v>24.845960000000002</v>
      </c>
      <c r="D3346" s="526" t="s">
        <v>3458</v>
      </c>
      <c r="E3346" s="526" t="s">
        <v>4765</v>
      </c>
      <c r="F3346" s="526" t="s">
        <v>4766</v>
      </c>
      <c r="G3346" s="526" t="s">
        <v>4767</v>
      </c>
      <c r="H3346" s="412">
        <v>688.02498000000003</v>
      </c>
      <c r="I3346" s="411">
        <v>24.845960000000002</v>
      </c>
      <c r="J3346" s="411">
        <v>99.8172</v>
      </c>
      <c r="K3346" s="411">
        <v>9458.22235</v>
      </c>
      <c r="L3346" s="526" t="s">
        <v>554</v>
      </c>
    </row>
    <row r="3347" spans="1:12" ht="15" x14ac:dyDescent="0.25">
      <c r="A3347">
        <v>351578</v>
      </c>
      <c r="B3347" t="str">
        <f t="shared" si="136"/>
        <v>SEVROLL 04764 Gemini II spodné vedenie 6m biela lesk</v>
      </c>
      <c r="C3347" s="198">
        <f t="shared" si="137"/>
        <v>36.861400000000003</v>
      </c>
      <c r="D3347" s="526" t="s">
        <v>3459</v>
      </c>
      <c r="E3347" s="526" t="s">
        <v>4951</v>
      </c>
      <c r="F3347" s="526" t="s">
        <v>4952</v>
      </c>
      <c r="G3347" s="526" t="s">
        <v>4953</v>
      </c>
      <c r="H3347" s="412">
        <v>1020.96334</v>
      </c>
      <c r="I3347" s="411">
        <v>36.861400000000003</v>
      </c>
      <c r="J3347" s="411">
        <v>147.88980000000001</v>
      </c>
      <c r="K3347" s="411">
        <v>14032.18615</v>
      </c>
      <c r="L3347" s="526" t="s">
        <v>554</v>
      </c>
    </row>
    <row r="3348" spans="1:12" ht="15" x14ac:dyDescent="0.25">
      <c r="A3348">
        <v>351743</v>
      </c>
      <c r="B3348" t="str">
        <f t="shared" si="136"/>
        <v>SEVROLL 20339-SV tlmič dorazu Mini SV60 (40 - 60kg)</v>
      </c>
      <c r="C3348" s="198">
        <f t="shared" si="137"/>
        <v>22.75825</v>
      </c>
      <c r="D3348" s="526" t="s">
        <v>4627</v>
      </c>
      <c r="E3348" s="526" t="s">
        <v>4628</v>
      </c>
      <c r="F3348" s="526" t="s">
        <v>4629</v>
      </c>
      <c r="G3348" s="526" t="s">
        <v>4630</v>
      </c>
      <c r="H3348" s="412">
        <v>668.68830000000003</v>
      </c>
      <c r="I3348" s="411">
        <v>22.75825</v>
      </c>
      <c r="J3348" s="411">
        <v>96.889799999999994</v>
      </c>
      <c r="K3348" s="411">
        <v>8840.2861499999999</v>
      </c>
      <c r="L3348" s="526" t="s">
        <v>553</v>
      </c>
    </row>
    <row r="3349" spans="1:12" ht="15" x14ac:dyDescent="0.25">
      <c r="A3349">
        <v>351824</v>
      </c>
      <c r="B3349" t="str">
        <f t="shared" si="136"/>
        <v>SEVROLL 20384 Micra šablóna pre vozíky - 1 pár = 1 ks</v>
      </c>
      <c r="C3349" s="198">
        <f t="shared" si="137"/>
        <v>5.3261599999999998</v>
      </c>
      <c r="D3349" s="526" t="s">
        <v>3460</v>
      </c>
      <c r="E3349" s="526" t="s">
        <v>5763</v>
      </c>
      <c r="F3349" s="526" t="s">
        <v>5764</v>
      </c>
      <c r="G3349" s="526" t="s">
        <v>5765</v>
      </c>
      <c r="H3349" s="412">
        <v>133.63460000000001</v>
      </c>
      <c r="I3349" s="411">
        <v>5.3261599999999998</v>
      </c>
      <c r="J3349" s="411">
        <v>23.25816</v>
      </c>
      <c r="K3349" s="411">
        <v>2169.2782900000002</v>
      </c>
      <c r="L3349" s="526" t="s">
        <v>553</v>
      </c>
    </row>
    <row r="3350" spans="1:12" ht="15" x14ac:dyDescent="0.25">
      <c r="A3350">
        <v>353410</v>
      </c>
      <c r="B3350" t="str">
        <f t="shared" si="136"/>
        <v>SEVROLL 50246 Ursus horné vedenie 3,6m surová</v>
      </c>
      <c r="C3350" s="198">
        <f t="shared" si="137"/>
        <v>46.084159999999997</v>
      </c>
      <c r="D3350" s="526" t="s">
        <v>3461</v>
      </c>
      <c r="E3350" s="526" t="s">
        <v>4908</v>
      </c>
      <c r="F3350" s="526" t="s">
        <v>4909</v>
      </c>
      <c r="G3350" s="526" t="s">
        <v>4910</v>
      </c>
      <c r="H3350" s="412">
        <v>1216.3552999999999</v>
      </c>
      <c r="I3350" s="411">
        <v>46.084159999999997</v>
      </c>
      <c r="J3350" s="411">
        <v>158.56433000000001</v>
      </c>
      <c r="K3350" s="411">
        <v>16970.43463</v>
      </c>
      <c r="L3350" s="526" t="s">
        <v>554</v>
      </c>
    </row>
    <row r="3351" spans="1:12" ht="15" x14ac:dyDescent="0.25">
      <c r="A3351">
        <v>358263</v>
      </c>
      <c r="B3351" t="str">
        <f t="shared" si="136"/>
        <v>SEVROLL Prosper II úchytová lišta 2,8m oliva</v>
      </c>
      <c r="C3351" s="198">
        <f t="shared" si="137"/>
        <v>23.563970000000001</v>
      </c>
      <c r="D3351" s="526" t="s">
        <v>1431</v>
      </c>
      <c r="E3351" s="526" t="s">
        <v>1875</v>
      </c>
      <c r="F3351" s="526" t="s">
        <v>1431</v>
      </c>
      <c r="G3351" s="526" t="s">
        <v>2429</v>
      </c>
      <c r="H3351" s="412" t="e">
        <v>#N/A</v>
      </c>
      <c r="I3351" s="411">
        <v>23.563970000000001</v>
      </c>
      <c r="J3351" s="411">
        <v>0</v>
      </c>
      <c r="K3351" s="411">
        <v>0</v>
      </c>
      <c r="L3351" s="526" t="e">
        <v>#N/A</v>
      </c>
    </row>
    <row r="3352" spans="1:12" ht="15" x14ac:dyDescent="0.25">
      <c r="A3352">
        <v>360719</v>
      </c>
      <c r="B3352" t="str">
        <f t="shared" si="136"/>
        <v>SEVROLL 20327 Pax nalepovacia úchytka transparentná</v>
      </c>
      <c r="C3352" s="198">
        <f t="shared" si="137"/>
        <v>6.9151999999999996</v>
      </c>
      <c r="D3352" s="526" t="s">
        <v>3462</v>
      </c>
      <c r="E3352" s="526" t="s">
        <v>3972</v>
      </c>
      <c r="F3352" s="526" t="s">
        <v>3973</v>
      </c>
      <c r="G3352" s="526" t="s">
        <v>3974</v>
      </c>
      <c r="H3352" s="412">
        <v>191.47528</v>
      </c>
      <c r="I3352" s="411">
        <v>6.9151999999999996</v>
      </c>
      <c r="J3352" s="411">
        <v>24.255600000000001</v>
      </c>
      <c r="K3352" s="411">
        <v>2632.4405700000002</v>
      </c>
      <c r="L3352" s="526" t="s">
        <v>554</v>
      </c>
    </row>
    <row r="3353" spans="1:12" ht="15" x14ac:dyDescent="0.25">
      <c r="A3353">
        <v>360760</v>
      </c>
      <c r="B3353" t="str">
        <f t="shared" si="136"/>
        <v>SEVROLL 04153 profil "U" pre lamino 18mm 3m biela lesk</v>
      </c>
      <c r="C3353" s="198">
        <f t="shared" si="137"/>
        <v>6.1411100000000003</v>
      </c>
      <c r="D3353" s="526" t="s">
        <v>3463</v>
      </c>
      <c r="E3353" s="526" t="s">
        <v>3825</v>
      </c>
      <c r="F3353" s="526" t="s">
        <v>3826</v>
      </c>
      <c r="G3353" s="526" t="s">
        <v>3827</v>
      </c>
      <c r="H3353" s="412">
        <v>170.04148000000001</v>
      </c>
      <c r="I3353" s="411">
        <v>6.1411100000000003</v>
      </c>
      <c r="J3353" s="411">
        <v>27.009599999999999</v>
      </c>
      <c r="K3353" s="411">
        <v>2337.7643699999999</v>
      </c>
      <c r="L3353" s="526" t="s">
        <v>554</v>
      </c>
    </row>
    <row r="3354" spans="1:12" ht="15" x14ac:dyDescent="0.25">
      <c r="A3354">
        <v>361759</v>
      </c>
      <c r="B3354" t="str">
        <f t="shared" si="136"/>
        <v>SEVROLL 20143-SV dorazový (protiprachový) kartáč samolepiaci 6,7x9mm šedý</v>
      </c>
      <c r="C3354" s="198">
        <f t="shared" si="137"/>
        <v>0.38705000000000001</v>
      </c>
      <c r="D3354" s="526" t="s">
        <v>5150</v>
      </c>
      <c r="E3354" s="526" t="s">
        <v>5151</v>
      </c>
      <c r="F3354" s="526" t="s">
        <v>5152</v>
      </c>
      <c r="G3354" s="526" t="s">
        <v>5153</v>
      </c>
      <c r="H3354" s="412">
        <v>11.372249999999999</v>
      </c>
      <c r="I3354" s="411">
        <v>0.38705000000000001</v>
      </c>
      <c r="J3354" s="411">
        <v>1.581</v>
      </c>
      <c r="K3354" s="411">
        <v>150.345</v>
      </c>
      <c r="L3354" s="526" t="s">
        <v>710</v>
      </c>
    </row>
    <row r="3355" spans="1:12" ht="15" x14ac:dyDescent="0.25">
      <c r="A3355">
        <v>362252</v>
      </c>
      <c r="B3355" t="str">
        <f t="shared" si="136"/>
        <v>SEVROLL 10236 2x spodný vozík WD18V bez pozicionéru s pružinou</v>
      </c>
      <c r="C3355" s="198">
        <f t="shared" si="137"/>
        <v>5.1863999999999999</v>
      </c>
      <c r="D3355" s="526" t="s">
        <v>3464</v>
      </c>
      <c r="E3355" s="526" t="s">
        <v>5126</v>
      </c>
      <c r="F3355" s="526" t="s">
        <v>5127</v>
      </c>
      <c r="G3355" s="526" t="s">
        <v>5128</v>
      </c>
      <c r="H3355" s="412">
        <v>152.38815</v>
      </c>
      <c r="I3355" s="411">
        <v>5.1863999999999999</v>
      </c>
      <c r="J3355" s="411">
        <v>24.316800000000001</v>
      </c>
      <c r="K3355" s="411">
        <v>2014.6230800000001</v>
      </c>
      <c r="L3355" s="526" t="s">
        <v>710</v>
      </c>
    </row>
    <row r="3356" spans="1:12" ht="15" x14ac:dyDescent="0.25">
      <c r="A3356">
        <v>362316</v>
      </c>
      <c r="B3356" t="str">
        <f t="shared" si="136"/>
        <v>SEVROLL 10237 2x spodný vozík pre lamino 18mm bez pozicionéru bez pružiny</v>
      </c>
      <c r="C3356" s="198">
        <f t="shared" si="137"/>
        <v>4.8767699999999996</v>
      </c>
      <c r="D3356" s="526" t="s">
        <v>3465</v>
      </c>
      <c r="E3356" s="526" t="s">
        <v>3721</v>
      </c>
      <c r="F3356" s="526" t="s">
        <v>3722</v>
      </c>
      <c r="G3356" s="526" t="s">
        <v>3723</v>
      </c>
      <c r="H3356" s="412">
        <v>143.29034999999999</v>
      </c>
      <c r="I3356" s="411">
        <v>4.8767699999999996</v>
      </c>
      <c r="J3356" s="411">
        <v>18.35596</v>
      </c>
      <c r="K3356" s="411">
        <v>1894.3469299999999</v>
      </c>
      <c r="L3356" s="526" t="s">
        <v>710</v>
      </c>
    </row>
    <row r="3357" spans="1:12" ht="15" x14ac:dyDescent="0.25">
      <c r="A3357">
        <v>362913</v>
      </c>
      <c r="B3357" t="str">
        <f t="shared" si="136"/>
        <v>SEVROLL 04416 Pax XL úchytová lišta 2,7m biela lesk</v>
      </c>
      <c r="C3357" s="198">
        <f t="shared" si="137"/>
        <v>30.223040000000001</v>
      </c>
      <c r="D3357" s="526" t="s">
        <v>1349</v>
      </c>
      <c r="E3357" s="526" t="s">
        <v>1800</v>
      </c>
      <c r="F3357" s="526" t="s">
        <v>5812</v>
      </c>
      <c r="G3357" s="526" t="s">
        <v>2379</v>
      </c>
      <c r="H3357" s="412">
        <v>836.63265999999999</v>
      </c>
      <c r="I3357" s="411">
        <v>30.223040000000001</v>
      </c>
      <c r="J3357" s="411">
        <v>116.8716</v>
      </c>
      <c r="K3357" s="411">
        <v>11505.1412</v>
      </c>
      <c r="L3357" s="526" t="s">
        <v>554</v>
      </c>
    </row>
    <row r="3358" spans="1:12" ht="15" x14ac:dyDescent="0.25">
      <c r="A3358">
        <v>363019</v>
      </c>
      <c r="B3358" t="str">
        <f t="shared" si="136"/>
        <v>SEVROLL 20369 zámok na posuvné dvere pre madlo Karat a Prosper</v>
      </c>
      <c r="C3358" s="198">
        <f t="shared" si="137"/>
        <v>36.204189999999997</v>
      </c>
      <c r="D3358" s="526" t="s">
        <v>3466</v>
      </c>
      <c r="E3358" s="526" t="s">
        <v>4835</v>
      </c>
      <c r="F3358" s="526" t="s">
        <v>4836</v>
      </c>
      <c r="G3358" s="526" t="s">
        <v>4837</v>
      </c>
      <c r="H3358" s="412">
        <v>1063.76027</v>
      </c>
      <c r="I3358" s="411">
        <v>36.204189999999997</v>
      </c>
      <c r="J3358" s="411">
        <v>134.51759999999999</v>
      </c>
      <c r="K3358" s="411">
        <v>14063.27115</v>
      </c>
      <c r="L3358" s="526" t="s">
        <v>554</v>
      </c>
    </row>
    <row r="3359" spans="1:12" ht="15" x14ac:dyDescent="0.25">
      <c r="A3359">
        <v>364016</v>
      </c>
      <c r="B3359" t="str">
        <f t="shared" si="136"/>
        <v>SEVROLL 04184 okrasná lišta S18 s lepidlom 3m biela lesk</v>
      </c>
      <c r="C3359" s="198">
        <f t="shared" si="137"/>
        <v>14.826409999999999</v>
      </c>
      <c r="D3359" s="526" t="s">
        <v>3467</v>
      </c>
      <c r="E3359" s="526" t="s">
        <v>4217</v>
      </c>
      <c r="F3359" s="526" t="s">
        <v>4218</v>
      </c>
      <c r="G3359" s="526" t="s">
        <v>4219</v>
      </c>
      <c r="H3359" s="412">
        <v>410.81450000000001</v>
      </c>
      <c r="I3359" s="411">
        <v>14.826409999999999</v>
      </c>
      <c r="J3359" s="411">
        <v>50.182299999999998</v>
      </c>
      <c r="K3359" s="411">
        <v>5644.0314600000002</v>
      </c>
      <c r="L3359" s="526" t="s">
        <v>554</v>
      </c>
    </row>
    <row r="3360" spans="1:12" ht="15" x14ac:dyDescent="0.25">
      <c r="A3360">
        <v>364633</v>
      </c>
      <c r="B3360" t="str">
        <f t="shared" si="136"/>
        <v>SEVROLL 01508 Single horné vedenie 6m oliva</v>
      </c>
      <c r="C3360" s="198">
        <f t="shared" si="137"/>
        <v>63.785020000000003</v>
      </c>
      <c r="D3360" s="526" t="s">
        <v>1497</v>
      </c>
      <c r="E3360" s="526" t="s">
        <v>1927</v>
      </c>
      <c r="F3360" s="526" t="s">
        <v>6002</v>
      </c>
      <c r="G3360" s="526" t="s">
        <v>2456</v>
      </c>
      <c r="H3360" s="412">
        <v>1766.1451199999999</v>
      </c>
      <c r="I3360" s="411">
        <v>63.785020000000003</v>
      </c>
      <c r="J3360" s="411">
        <v>216.48490000000001</v>
      </c>
      <c r="K3360" s="411">
        <v>24281.319029999999</v>
      </c>
      <c r="L3360" s="526" t="s">
        <v>554</v>
      </c>
    </row>
    <row r="3361" spans="1:12" ht="15" x14ac:dyDescent="0.25">
      <c r="A3361">
        <v>365378</v>
      </c>
      <c r="B3361" t="str">
        <f t="shared" si="136"/>
        <v>SEVROLL 10230 spodný vozík WD10 V Duo 60kg (2 ks)</v>
      </c>
      <c r="C3361" s="198">
        <f t="shared" si="137"/>
        <v>18.462050000000001</v>
      </c>
      <c r="D3361" s="526" t="s">
        <v>1498</v>
      </c>
      <c r="E3361" s="526" t="s">
        <v>1928</v>
      </c>
      <c r="F3361" s="526" t="s">
        <v>6003</v>
      </c>
      <c r="G3361" s="526" t="s">
        <v>2457</v>
      </c>
      <c r="H3361" s="412">
        <v>542.83540000000005</v>
      </c>
      <c r="I3361" s="411">
        <v>18.462050000000001</v>
      </c>
      <c r="J3361" s="411">
        <v>65.147400000000005</v>
      </c>
      <c r="K3361" s="411">
        <v>7171.4565499999999</v>
      </c>
      <c r="L3361" s="526" t="s">
        <v>554</v>
      </c>
    </row>
    <row r="3362" spans="1:12" ht="15" x14ac:dyDescent="0.25">
      <c r="A3362">
        <v>367537</v>
      </c>
      <c r="B3362" t="str">
        <f t="shared" si="136"/>
        <v>SEVROLL 02385 Oxford úchytová lišta 2,7m strieborná</v>
      </c>
      <c r="C3362" s="198">
        <f t="shared" si="137"/>
        <v>24.590260000000001</v>
      </c>
      <c r="D3362" s="526" t="s">
        <v>1320</v>
      </c>
      <c r="E3362" s="526" t="s">
        <v>1773</v>
      </c>
      <c r="F3362" s="526" t="s">
        <v>5788</v>
      </c>
      <c r="G3362" s="526" t="s">
        <v>2353</v>
      </c>
      <c r="H3362" s="412">
        <v>680.88037999999995</v>
      </c>
      <c r="I3362" s="411">
        <v>24.590260000000001</v>
      </c>
      <c r="J3362" s="411">
        <v>94.757999999999996</v>
      </c>
      <c r="K3362" s="411">
        <v>9360.8804700000001</v>
      </c>
      <c r="L3362" s="526" t="s">
        <v>554</v>
      </c>
    </row>
    <row r="3363" spans="1:12" ht="15" x14ac:dyDescent="0.25">
      <c r="A3363">
        <v>368066</v>
      </c>
      <c r="B3363" t="str">
        <f t="shared" si="136"/>
        <v>SEVROLL 02552 Ekonomik úchytová lišta 2,7m strieborná</v>
      </c>
      <c r="C3363" s="198">
        <f t="shared" si="137"/>
        <v>12.30803</v>
      </c>
      <c r="D3363" s="526" t="s">
        <v>1321</v>
      </c>
      <c r="E3363" s="526" t="s">
        <v>1774</v>
      </c>
      <c r="F3363" s="526" t="s">
        <v>5789</v>
      </c>
      <c r="G3363" s="526" t="s">
        <v>2354</v>
      </c>
      <c r="H3363" s="412">
        <v>340.79741999999999</v>
      </c>
      <c r="I3363" s="411">
        <v>12.30803</v>
      </c>
      <c r="J3363" s="411">
        <v>41.581099999999999</v>
      </c>
      <c r="K3363" s="411">
        <v>4685.3517300000003</v>
      </c>
      <c r="L3363" s="526" t="s">
        <v>554</v>
      </c>
    </row>
    <row r="3364" spans="1:12" ht="15" x14ac:dyDescent="0.25">
      <c r="A3364">
        <v>368068</v>
      </c>
      <c r="B3364" t="str">
        <f t="shared" si="136"/>
        <v>SEVROLL 02553 Ekonomik horné vedenie 2m strieborná</v>
      </c>
      <c r="C3364" s="198">
        <f t="shared" si="137"/>
        <v>16.900970000000001</v>
      </c>
      <c r="D3364" s="526" t="s">
        <v>1322</v>
      </c>
      <c r="E3364" s="526" t="s">
        <v>1775</v>
      </c>
      <c r="F3364" s="526" t="s">
        <v>5790</v>
      </c>
      <c r="G3364" s="526" t="s">
        <v>2355</v>
      </c>
      <c r="H3364" s="412">
        <v>467.97129999999999</v>
      </c>
      <c r="I3364" s="411">
        <v>16.900970000000001</v>
      </c>
      <c r="J3364" s="411">
        <v>59.374200000000002</v>
      </c>
      <c r="K3364" s="411">
        <v>6433.7637000000004</v>
      </c>
      <c r="L3364" s="526" t="s">
        <v>554</v>
      </c>
    </row>
    <row r="3365" spans="1:12" ht="15" x14ac:dyDescent="0.25">
      <c r="A3365">
        <v>368069</v>
      </c>
      <c r="B3365" t="str">
        <f t="shared" si="136"/>
        <v>SEVROLL 02554 Ekonomik horné vedenie 3m strieborná</v>
      </c>
      <c r="C3365" s="198">
        <f t="shared" si="137"/>
        <v>25.312740000000002</v>
      </c>
      <c r="D3365" s="526" t="s">
        <v>1323</v>
      </c>
      <c r="E3365" s="526" t="s">
        <v>1776</v>
      </c>
      <c r="F3365" s="526" t="s">
        <v>5791</v>
      </c>
      <c r="G3365" s="526" t="s">
        <v>2356</v>
      </c>
      <c r="H3365" s="412">
        <v>700.88526000000002</v>
      </c>
      <c r="I3365" s="411">
        <v>25.312740000000002</v>
      </c>
      <c r="J3365" s="411">
        <v>89.086799999999997</v>
      </c>
      <c r="K3365" s="411">
        <v>9635.9118099999996</v>
      </c>
      <c r="L3365" s="526" t="s">
        <v>554</v>
      </c>
    </row>
    <row r="3366" spans="1:12" ht="15" x14ac:dyDescent="0.25">
      <c r="A3366">
        <v>368070</v>
      </c>
      <c r="B3366" t="str">
        <f t="shared" si="136"/>
        <v>SEVROLL 02894 Ekonomik horné vedenie 6m strieborná</v>
      </c>
      <c r="C3366" s="198">
        <f t="shared" si="137"/>
        <v>50.625489999999999</v>
      </c>
      <c r="D3366" s="526" t="s">
        <v>1324</v>
      </c>
      <c r="E3366" s="526" t="s">
        <v>1777</v>
      </c>
      <c r="F3366" s="526" t="s">
        <v>5792</v>
      </c>
      <c r="G3366" s="526" t="s">
        <v>2357</v>
      </c>
      <c r="H3366" s="412">
        <v>1401.77052</v>
      </c>
      <c r="I3366" s="411">
        <v>50.625489999999999</v>
      </c>
      <c r="J3366" s="411">
        <v>178.143</v>
      </c>
      <c r="K3366" s="411">
        <v>19271.823629999999</v>
      </c>
      <c r="L3366" s="526" t="s">
        <v>554</v>
      </c>
    </row>
    <row r="3367" spans="1:12" ht="15" x14ac:dyDescent="0.25">
      <c r="A3367">
        <v>368071</v>
      </c>
      <c r="B3367" t="str">
        <f t="shared" si="136"/>
        <v>SEVROLL 02555 Ekonomik spodné vedenie 2m strieborná</v>
      </c>
      <c r="C3367" s="198">
        <f t="shared" si="137"/>
        <v>9.26328</v>
      </c>
      <c r="D3367" s="526" t="s">
        <v>1325</v>
      </c>
      <c r="E3367" s="526" t="s">
        <v>1778</v>
      </c>
      <c r="F3367" s="526" t="s">
        <v>5793</v>
      </c>
      <c r="G3367" s="526" t="s">
        <v>2358</v>
      </c>
      <c r="H3367" s="412">
        <v>256.49113999999997</v>
      </c>
      <c r="I3367" s="411">
        <v>9.26328</v>
      </c>
      <c r="J3367" s="411">
        <v>32.823599999999999</v>
      </c>
      <c r="K3367" s="411">
        <v>3526.2917900000002</v>
      </c>
      <c r="L3367" s="526" t="s">
        <v>554</v>
      </c>
    </row>
    <row r="3368" spans="1:12" ht="15" x14ac:dyDescent="0.25">
      <c r="A3368">
        <v>368072</v>
      </c>
      <c r="B3368" t="str">
        <f t="shared" si="136"/>
        <v>SEVROLL 02556 Ekonomik spodné vedenie 3m strieborná</v>
      </c>
      <c r="C3368" s="198">
        <f t="shared" si="137"/>
        <v>13.98523</v>
      </c>
      <c r="D3368" s="526" t="s">
        <v>1326</v>
      </c>
      <c r="E3368" s="526" t="s">
        <v>1779</v>
      </c>
      <c r="F3368" s="526" t="s">
        <v>5794</v>
      </c>
      <c r="G3368" s="526" t="s">
        <v>2359</v>
      </c>
      <c r="H3368" s="412">
        <v>387.23732000000001</v>
      </c>
      <c r="I3368" s="411">
        <v>13.98523</v>
      </c>
      <c r="J3368" s="411">
        <v>49.225200000000001</v>
      </c>
      <c r="K3368" s="411">
        <v>5323.8168299999998</v>
      </c>
      <c r="L3368" s="526" t="s">
        <v>554</v>
      </c>
    </row>
    <row r="3369" spans="1:12" ht="15" x14ac:dyDescent="0.25">
      <c r="A3369">
        <v>368073</v>
      </c>
      <c r="B3369" t="str">
        <f t="shared" si="136"/>
        <v>SEVROLL 02895 Ekonomik spodné vedenie 6m strieborná</v>
      </c>
      <c r="C3369" s="198">
        <f t="shared" si="137"/>
        <v>27.893039999999999</v>
      </c>
      <c r="D3369" s="526" t="s">
        <v>1327</v>
      </c>
      <c r="E3369" s="526" t="s">
        <v>1780</v>
      </c>
      <c r="F3369" s="526" t="s">
        <v>5795</v>
      </c>
      <c r="G3369" s="526" t="s">
        <v>2360</v>
      </c>
      <c r="H3369" s="412" t="e">
        <v>#N/A</v>
      </c>
      <c r="I3369" s="411">
        <v>27.893039999999999</v>
      </c>
      <c r="J3369" s="411">
        <v>98.470799999999997</v>
      </c>
      <c r="K3369" s="411">
        <v>10618.16581</v>
      </c>
      <c r="L3369" s="526" t="e">
        <v>#N/A</v>
      </c>
    </row>
    <row r="3370" spans="1:12" ht="15" x14ac:dyDescent="0.25">
      <c r="A3370">
        <v>368077</v>
      </c>
      <c r="B3370" t="str">
        <f t="shared" si="136"/>
        <v>SEVROLL 10101-SV horný vozík Ekonomik Duo</v>
      </c>
      <c r="C3370" s="198">
        <f t="shared" si="137"/>
        <v>2.0100500000000001</v>
      </c>
      <c r="D3370" s="526" t="s">
        <v>1328</v>
      </c>
      <c r="E3370" s="526" t="s">
        <v>1781</v>
      </c>
      <c r="F3370" s="526" t="s">
        <v>5796</v>
      </c>
      <c r="G3370" s="526" t="s">
        <v>2361</v>
      </c>
      <c r="H3370" s="412">
        <v>59.1357</v>
      </c>
      <c r="I3370" s="411">
        <v>2.0100500000000001</v>
      </c>
      <c r="J3370" s="411">
        <v>6.8120000000000003</v>
      </c>
      <c r="K3370" s="411">
        <v>780.79155000000003</v>
      </c>
      <c r="L3370" s="526" t="s">
        <v>554</v>
      </c>
    </row>
    <row r="3371" spans="1:12" ht="15" x14ac:dyDescent="0.25">
      <c r="A3371">
        <v>368078</v>
      </c>
      <c r="B3371" t="str">
        <f t="shared" si="136"/>
        <v>SEVROLL 10099-SV spodný vozík Ekonomik WD10V</v>
      </c>
      <c r="C3371" s="198">
        <f t="shared" si="137"/>
        <v>3.4060000000000001</v>
      </c>
      <c r="D3371" s="526" t="s">
        <v>1329</v>
      </c>
      <c r="E3371" s="526" t="s">
        <v>1782</v>
      </c>
      <c r="F3371" s="526" t="s">
        <v>5797</v>
      </c>
      <c r="G3371" s="526" t="s">
        <v>2362</v>
      </c>
      <c r="H3371" s="412">
        <v>100.0758</v>
      </c>
      <c r="I3371" s="411">
        <v>3.4060000000000001</v>
      </c>
      <c r="J3371" s="411">
        <v>11.543100000000001</v>
      </c>
      <c r="K3371" s="411">
        <v>1323.0361499999999</v>
      </c>
      <c r="L3371" s="526" t="s">
        <v>554</v>
      </c>
    </row>
    <row r="3372" spans="1:12" ht="15" x14ac:dyDescent="0.25">
      <c r="A3372">
        <v>368089</v>
      </c>
      <c r="B3372" t="str">
        <f t="shared" si="136"/>
        <v>SEVROLL 20160 skrutka 2,9x6,5 Ekonomik (100 ks)</v>
      </c>
      <c r="C3372" s="198">
        <f t="shared" si="137"/>
        <v>2.2190599999999998</v>
      </c>
      <c r="D3372" s="526" t="s">
        <v>1330</v>
      </c>
      <c r="E3372" s="526" t="s">
        <v>1783</v>
      </c>
      <c r="F3372" s="526" t="s">
        <v>5798</v>
      </c>
      <c r="G3372" s="526" t="s">
        <v>2363</v>
      </c>
      <c r="H3372" s="412">
        <v>65.200900000000004</v>
      </c>
      <c r="I3372" s="411">
        <v>2.2190599999999998</v>
      </c>
      <c r="J3372" s="411">
        <v>8.67</v>
      </c>
      <c r="K3372" s="411">
        <v>861.97807999999998</v>
      </c>
      <c r="L3372" s="526" t="s">
        <v>554</v>
      </c>
    </row>
    <row r="3373" spans="1:12" ht="15" x14ac:dyDescent="0.25">
      <c r="A3373">
        <v>368096</v>
      </c>
      <c r="B3373" t="str">
        <f t="shared" si="136"/>
        <v>SEVROLL 10105 Ekonomik sada kovania pre 2 dvere</v>
      </c>
      <c r="C3373" s="198">
        <f t="shared" si="137"/>
        <v>0</v>
      </c>
      <c r="D3373" s="526" t="s">
        <v>1331</v>
      </c>
      <c r="E3373" s="526" t="s">
        <v>1784</v>
      </c>
      <c r="F3373" s="526" t="s">
        <v>5799</v>
      </c>
      <c r="G3373" s="526" t="s">
        <v>2364</v>
      </c>
      <c r="H3373" s="412">
        <v>0</v>
      </c>
      <c r="I3373" s="411">
        <v>0</v>
      </c>
      <c r="J3373" s="411">
        <v>0</v>
      </c>
      <c r="K3373" s="411">
        <v>0</v>
      </c>
      <c r="L3373" s="526" t="s">
        <v>555</v>
      </c>
    </row>
    <row r="3374" spans="1:12" ht="15" x14ac:dyDescent="0.25">
      <c r="A3374">
        <v>368090</v>
      </c>
      <c r="B3374" t="str">
        <f t="shared" si="136"/>
        <v>SEVROLL 20153 vrut Unix 3x10 zápustná hlava (1000 ks)</v>
      </c>
      <c r="C3374" s="198">
        <f t="shared" si="137"/>
        <v>12.978910000000001</v>
      </c>
      <c r="D3374" s="526" t="s">
        <v>1332</v>
      </c>
      <c r="E3374" s="526" t="s">
        <v>1785</v>
      </c>
      <c r="F3374" s="526" t="s">
        <v>1332</v>
      </c>
      <c r="G3374" s="526" t="s">
        <v>2365</v>
      </c>
      <c r="H3374" s="412">
        <v>381.34944999999999</v>
      </c>
      <c r="I3374" s="411">
        <v>12.978910000000001</v>
      </c>
      <c r="J3374" s="411">
        <v>43.774999999999999</v>
      </c>
      <c r="K3374" s="411">
        <v>5041.5688499999997</v>
      </c>
      <c r="L3374" s="526" t="s">
        <v>554</v>
      </c>
    </row>
    <row r="3375" spans="1:12" ht="15" x14ac:dyDescent="0.25">
      <c r="A3375">
        <v>368091</v>
      </c>
      <c r="B3375" t="str">
        <f t="shared" si="136"/>
        <v>SEVROLL 20165 vrut Unix 3x16mm zápustná hlava (100 ks)</v>
      </c>
      <c r="C3375" s="198">
        <f t="shared" si="137"/>
        <v>1.2643500000000001</v>
      </c>
      <c r="D3375" s="526" t="s">
        <v>1333</v>
      </c>
      <c r="E3375" s="526" t="s">
        <v>1786</v>
      </c>
      <c r="F3375" s="526" t="s">
        <v>1333</v>
      </c>
      <c r="G3375" s="526" t="s">
        <v>2366</v>
      </c>
      <c r="H3375" s="412">
        <v>37.149349999999998</v>
      </c>
      <c r="I3375" s="411">
        <v>1.2643500000000001</v>
      </c>
      <c r="J3375" s="411">
        <v>4.3362999999999996</v>
      </c>
      <c r="K3375" s="411">
        <v>491.12693000000002</v>
      </c>
      <c r="L3375" s="526" t="s">
        <v>554</v>
      </c>
    </row>
    <row r="3376" spans="1:12" ht="15" x14ac:dyDescent="0.25">
      <c r="A3376">
        <v>368092</v>
      </c>
      <c r="B3376" t="str">
        <f t="shared" si="136"/>
        <v>SEVROLL 20166 podložka Vejárová 3x6mm (100 ks)</v>
      </c>
      <c r="C3376" s="198">
        <f t="shared" si="137"/>
        <v>5.1089900000000004</v>
      </c>
      <c r="D3376" s="526" t="s">
        <v>1334</v>
      </c>
      <c r="E3376" s="526" t="s">
        <v>1787</v>
      </c>
      <c r="F3376" s="526" t="s">
        <v>5800</v>
      </c>
      <c r="G3376" s="526" t="s">
        <v>2367</v>
      </c>
      <c r="H3376" s="412">
        <v>141.46307999999999</v>
      </c>
      <c r="I3376" s="411">
        <v>5.1089900000000004</v>
      </c>
      <c r="J3376" s="411">
        <v>17.352799999999998</v>
      </c>
      <c r="K3376" s="411">
        <v>1944.86277</v>
      </c>
      <c r="L3376" s="526" t="s">
        <v>554</v>
      </c>
    </row>
    <row r="3377" spans="1:12" ht="15" x14ac:dyDescent="0.25">
      <c r="A3377">
        <v>368097</v>
      </c>
      <c r="B3377" t="str">
        <f t="shared" si="136"/>
        <v>SEVROLL 10106 Ekonomik sada kovania pre 3 dvere</v>
      </c>
      <c r="C3377" s="198" t="e">
        <f t="shared" si="137"/>
        <v>#N/A</v>
      </c>
      <c r="D3377" s="526" t="s">
        <v>1335</v>
      </c>
      <c r="E3377" s="526" t="s">
        <v>1788</v>
      </c>
      <c r="F3377" s="526" t="s">
        <v>5801</v>
      </c>
      <c r="G3377" s="526" t="s">
        <v>2368</v>
      </c>
      <c r="H3377" s="412" t="e">
        <v>#N/A</v>
      </c>
      <c r="I3377" s="411" t="e">
        <v>#N/A</v>
      </c>
      <c r="J3377" s="411" t="e">
        <v>#N/A</v>
      </c>
      <c r="K3377" s="411" t="e">
        <v>#N/A</v>
      </c>
      <c r="L3377" s="526" t="e">
        <v>#N/A</v>
      </c>
    </row>
    <row r="3378" spans="1:12" ht="15" x14ac:dyDescent="0.25">
      <c r="A3378">
        <v>368443</v>
      </c>
      <c r="B3378" t="str">
        <f t="shared" si="136"/>
        <v>SEVROLL 214-377 Herkules plus horné vedenie 3m alu</v>
      </c>
      <c r="C3378" s="198" t="e">
        <f t="shared" si="137"/>
        <v>#N/A</v>
      </c>
      <c r="D3378" s="526" t="s">
        <v>1336</v>
      </c>
      <c r="E3378" s="526" t="s">
        <v>1789</v>
      </c>
      <c r="F3378" s="526" t="s">
        <v>5802</v>
      </c>
      <c r="G3378" s="526" t="s">
        <v>2369</v>
      </c>
      <c r="H3378" s="412" t="e">
        <v>#N/A</v>
      </c>
      <c r="I3378" s="411" t="e">
        <v>#N/A</v>
      </c>
      <c r="J3378" s="411" t="e">
        <v>#N/A</v>
      </c>
      <c r="K3378" s="411" t="e">
        <v>#N/A</v>
      </c>
      <c r="L3378" s="526" t="e">
        <v>#N/A</v>
      </c>
    </row>
    <row r="3379" spans="1:12" ht="15" x14ac:dyDescent="0.25">
      <c r="A3379">
        <v>369847</v>
      </c>
      <c r="B3379" t="str">
        <f t="shared" si="136"/>
        <v>SEVROLL profil "U" Mini 36 na DTD 2x18mm strieborná 3m</v>
      </c>
      <c r="C3379" s="198" t="e">
        <f t="shared" si="137"/>
        <v>#N/A</v>
      </c>
      <c r="D3379" s="526" t="s">
        <v>1455</v>
      </c>
      <c r="E3379" s="526" t="s">
        <v>1895</v>
      </c>
      <c r="F3379" s="526" t="s">
        <v>2201</v>
      </c>
      <c r="G3379" s="526" t="s">
        <v>2435</v>
      </c>
      <c r="H3379" s="412" t="e">
        <v>#N/A</v>
      </c>
      <c r="I3379" s="411" t="e">
        <v>#N/A</v>
      </c>
      <c r="J3379" s="411" t="e">
        <v>#N/A</v>
      </c>
      <c r="K3379" s="411" t="e">
        <v>#N/A</v>
      </c>
      <c r="L3379" s="526" t="e">
        <v>#N/A</v>
      </c>
    </row>
    <row r="3380" spans="1:12" ht="15" x14ac:dyDescent="0.25">
      <c r="A3380">
        <v>372424</v>
      </c>
      <c r="B3380" t="str">
        <f t="shared" si="136"/>
        <v>SEVROLL imbusový kľúč SEVROLL</v>
      </c>
      <c r="C3380" s="198">
        <f t="shared" si="137"/>
        <v>3.9994700000000001</v>
      </c>
      <c r="D3380" s="526" t="s">
        <v>1301</v>
      </c>
      <c r="E3380" s="526" t="s">
        <v>1753</v>
      </c>
      <c r="F3380" s="526" t="s">
        <v>2172</v>
      </c>
      <c r="G3380" s="526" t="s">
        <v>2337</v>
      </c>
      <c r="H3380" s="412">
        <v>110.7413</v>
      </c>
      <c r="I3380" s="411">
        <v>3.9994700000000001</v>
      </c>
      <c r="J3380" s="411">
        <v>13.542299999999999</v>
      </c>
      <c r="K3380" s="411">
        <v>1522.4937</v>
      </c>
      <c r="L3380" s="526" t="s">
        <v>554</v>
      </c>
    </row>
    <row r="3381" spans="1:12" ht="15" x14ac:dyDescent="0.25">
      <c r="A3381">
        <v>372603</v>
      </c>
      <c r="B3381" t="str">
        <f t="shared" si="136"/>
        <v>SEVROLL 04933 Era úchytová lišta 18mm 2,70m biely lesk</v>
      </c>
      <c r="C3381" s="198">
        <f t="shared" si="137"/>
        <v>15.76563</v>
      </c>
      <c r="D3381" s="526" t="s">
        <v>1302</v>
      </c>
      <c r="E3381" s="526" t="s">
        <v>1754</v>
      </c>
      <c r="F3381" s="526" t="s">
        <v>5767</v>
      </c>
      <c r="G3381" s="526" t="s">
        <v>5768</v>
      </c>
      <c r="H3381" s="412">
        <v>431.82425000000001</v>
      </c>
      <c r="I3381" s="411">
        <v>15.76563</v>
      </c>
      <c r="J3381" s="411">
        <v>55.817450000000001</v>
      </c>
      <c r="K3381" s="411">
        <v>6124.0530799999997</v>
      </c>
      <c r="L3381" s="526" t="s">
        <v>553</v>
      </c>
    </row>
    <row r="3382" spans="1:12" ht="15" x14ac:dyDescent="0.25">
      <c r="A3382">
        <v>372604</v>
      </c>
      <c r="B3382" t="str">
        <f t="shared" si="136"/>
        <v>SEVROLL 04906 Vitara úchytová lišta 2,7m strieborná</v>
      </c>
      <c r="C3382" s="198">
        <f t="shared" si="137"/>
        <v>14.417439999999999</v>
      </c>
      <c r="D3382" s="526" t="s">
        <v>1303</v>
      </c>
      <c r="E3382" s="526" t="s">
        <v>1755</v>
      </c>
      <c r="F3382" s="526" t="s">
        <v>5769</v>
      </c>
      <c r="G3382" s="526" t="s">
        <v>2338</v>
      </c>
      <c r="H3382" s="412">
        <v>399.38314000000003</v>
      </c>
      <c r="I3382" s="411">
        <v>14.417439999999999</v>
      </c>
      <c r="J3382" s="411">
        <v>57.018000000000001</v>
      </c>
      <c r="K3382" s="411">
        <v>5488.3445199999996</v>
      </c>
      <c r="L3382" s="526" t="s">
        <v>553</v>
      </c>
    </row>
    <row r="3383" spans="1:12" ht="15" x14ac:dyDescent="0.25">
      <c r="A3383">
        <v>372605</v>
      </c>
      <c r="B3383" t="str">
        <f t="shared" si="136"/>
        <v>SEVROLL 04905 Vitara úchytová lišta 2,7m oliva</v>
      </c>
      <c r="C3383" s="198">
        <f t="shared" si="137"/>
        <v>18.087900000000001</v>
      </c>
      <c r="D3383" s="526" t="s">
        <v>1304</v>
      </c>
      <c r="E3383" s="526" t="s">
        <v>1756</v>
      </c>
      <c r="F3383" s="526" t="s">
        <v>1304</v>
      </c>
      <c r="G3383" s="526" t="s">
        <v>2339</v>
      </c>
      <c r="H3383" s="412">
        <v>500.83645999999999</v>
      </c>
      <c r="I3383" s="411">
        <v>18.087900000000001</v>
      </c>
      <c r="J3383" s="411">
        <v>63.872399999999999</v>
      </c>
      <c r="K3383" s="411">
        <v>6885.6006100000004</v>
      </c>
      <c r="L3383" s="526" t="s">
        <v>553</v>
      </c>
    </row>
    <row r="3384" spans="1:12" ht="15" x14ac:dyDescent="0.25">
      <c r="A3384">
        <v>372606</v>
      </c>
      <c r="B3384" t="str">
        <f t="shared" ref="B3384:B3447" si="138">IF($A$2=1,D3384,IF($A$2=2,F3384,IF($A$2=3,G3384,IF($A$2=4,E3384,"zadat jazyk"))))</f>
        <v>SEVROLL 04909 Vitara úchytová lišta 2,7m biela lesk</v>
      </c>
      <c r="C3384" s="198">
        <f t="shared" ref="C3384:C3447" si="139">IF($A$2=1,H3384,IF($A$2=2,I3384,IF($A$2=3,J3384,IF($A$2=4,K3384,"zadat jazyk"))))</f>
        <v>18.742660000000001</v>
      </c>
      <c r="D3384" s="526" t="s">
        <v>1305</v>
      </c>
      <c r="E3384" s="526" t="s">
        <v>1757</v>
      </c>
      <c r="F3384" s="526" t="s">
        <v>5770</v>
      </c>
      <c r="G3384" s="526" t="s">
        <v>2340</v>
      </c>
      <c r="H3384" s="412">
        <v>518.69795999999997</v>
      </c>
      <c r="I3384" s="411">
        <v>18.742660000000001</v>
      </c>
      <c r="J3384" s="411">
        <v>74.143799999999999</v>
      </c>
      <c r="K3384" s="411">
        <v>7134.8474200000001</v>
      </c>
      <c r="L3384" s="526" t="s">
        <v>553</v>
      </c>
    </row>
    <row r="3385" spans="1:12" ht="15" x14ac:dyDescent="0.25">
      <c r="A3385">
        <v>375328</v>
      </c>
      <c r="B3385" t="str">
        <f t="shared" si="138"/>
        <v>SEVROLL 219-047 držiak horného vedenia pre lamino 16 - 25mm</v>
      </c>
      <c r="C3385" s="198">
        <f t="shared" si="139"/>
        <v>2.3222700000000001</v>
      </c>
      <c r="D3385" s="526" t="s">
        <v>1428</v>
      </c>
      <c r="E3385" s="526" t="s">
        <v>1873</v>
      </c>
      <c r="F3385" s="526" t="s">
        <v>5888</v>
      </c>
      <c r="G3385" s="526" t="s">
        <v>5889</v>
      </c>
      <c r="H3385" s="412">
        <v>61.294499999999999</v>
      </c>
      <c r="I3385" s="411">
        <v>2.3222700000000001</v>
      </c>
      <c r="J3385" s="411">
        <v>7.9903700000000004</v>
      </c>
      <c r="K3385" s="411">
        <v>855.17307000000005</v>
      </c>
      <c r="L3385" s="526" t="s">
        <v>554</v>
      </c>
    </row>
    <row r="3386" spans="1:12" ht="15" x14ac:dyDescent="0.25">
      <c r="A3386">
        <v>375331</v>
      </c>
      <c r="B3386" t="str">
        <f t="shared" si="138"/>
        <v>SEVROLL 214-694 krycia lišta Herkules II 1,8m strieborná</v>
      </c>
      <c r="C3386" s="198" t="e">
        <f t="shared" si="139"/>
        <v>#N/A</v>
      </c>
      <c r="D3386" s="526" t="s">
        <v>1429</v>
      </c>
      <c r="E3386" s="526" t="s">
        <v>1874</v>
      </c>
      <c r="F3386" s="526" t="s">
        <v>5890</v>
      </c>
      <c r="G3386" s="526" t="s">
        <v>5891</v>
      </c>
      <c r="H3386" s="412" t="e">
        <v>#N/A</v>
      </c>
      <c r="I3386" s="411" t="e">
        <v>#N/A</v>
      </c>
      <c r="J3386" s="411" t="e">
        <v>#N/A</v>
      </c>
      <c r="K3386" s="411" t="e">
        <v>#N/A</v>
      </c>
      <c r="L3386" s="526" t="e">
        <v>#N/A</v>
      </c>
    </row>
    <row r="3387" spans="1:12" ht="15" x14ac:dyDescent="0.25">
      <c r="A3387">
        <v>376054</v>
      </c>
      <c r="B3387" t="str">
        <f t="shared" si="138"/>
        <v>SEVROLL 04709 krycí profil Herakles 3m</v>
      </c>
      <c r="C3387" s="198">
        <f t="shared" si="139"/>
        <v>22.474409999999999</v>
      </c>
      <c r="D3387" s="526" t="s">
        <v>1557</v>
      </c>
      <c r="E3387" s="526" t="s">
        <v>1986</v>
      </c>
      <c r="F3387" s="526" t="s">
        <v>1557</v>
      </c>
      <c r="G3387" s="526" t="s">
        <v>6063</v>
      </c>
      <c r="H3387" s="412">
        <v>593.19455000000005</v>
      </c>
      <c r="I3387" s="411">
        <v>22.474409999999999</v>
      </c>
      <c r="J3387" s="411">
        <v>77.328959999999995</v>
      </c>
      <c r="K3387" s="411">
        <v>8276.1749999999993</v>
      </c>
      <c r="L3387" s="526" t="s">
        <v>554</v>
      </c>
    </row>
    <row r="3388" spans="1:12" ht="15" x14ac:dyDescent="0.25">
      <c r="A3388">
        <v>376055</v>
      </c>
      <c r="B3388" t="str">
        <f t="shared" si="138"/>
        <v>SEVROLL 50513 Herakles horné vedenie 3m surový</v>
      </c>
      <c r="C3388" s="198">
        <f t="shared" si="139"/>
        <v>24.151610000000002</v>
      </c>
      <c r="D3388" s="526" t="s">
        <v>1558</v>
      </c>
      <c r="E3388" s="526" t="s">
        <v>1987</v>
      </c>
      <c r="F3388" s="526" t="s">
        <v>6064</v>
      </c>
      <c r="G3388" s="526" t="s">
        <v>71</v>
      </c>
      <c r="H3388" s="412">
        <v>637.46280000000002</v>
      </c>
      <c r="I3388" s="411">
        <v>24.151610000000002</v>
      </c>
      <c r="J3388" s="411">
        <v>83.099779999999996</v>
      </c>
      <c r="K3388" s="411">
        <v>8893.7999999999993</v>
      </c>
      <c r="L3388" s="526" t="s">
        <v>554</v>
      </c>
    </row>
    <row r="3389" spans="1:12" ht="15" x14ac:dyDescent="0.25">
      <c r="A3389">
        <v>376056</v>
      </c>
      <c r="B3389" t="str">
        <f t="shared" si="138"/>
        <v>SEVROLL 20392 Herakles tlmič 40kg</v>
      </c>
      <c r="C3389" s="198" t="e">
        <f t="shared" si="139"/>
        <v>#N/A</v>
      </c>
      <c r="D3389" s="526" t="s">
        <v>1559</v>
      </c>
      <c r="E3389" s="526" t="s">
        <v>1988</v>
      </c>
      <c r="F3389" s="526" t="s">
        <v>6065</v>
      </c>
      <c r="G3389" s="526" t="s">
        <v>6066</v>
      </c>
      <c r="H3389" s="412" t="e">
        <v>#N/A</v>
      </c>
      <c r="I3389" s="411" t="e">
        <v>#N/A</v>
      </c>
      <c r="J3389" s="411" t="e">
        <v>#N/A</v>
      </c>
      <c r="K3389" s="411" t="e">
        <v>#N/A</v>
      </c>
      <c r="L3389" s="526" t="e">
        <v>#N/A</v>
      </c>
    </row>
    <row r="3390" spans="1:12" ht="15" x14ac:dyDescent="0.25">
      <c r="A3390">
        <v>376057</v>
      </c>
      <c r="B3390" t="str">
        <f t="shared" si="138"/>
        <v>SEVROLL 20393 Herakles tlmič 40 - 80kg</v>
      </c>
      <c r="C3390" s="198" t="e">
        <f t="shared" si="139"/>
        <v>#N/A</v>
      </c>
      <c r="D3390" s="526" t="s">
        <v>1560</v>
      </c>
      <c r="E3390" s="526" t="s">
        <v>1989</v>
      </c>
      <c r="F3390" s="526" t="s">
        <v>6067</v>
      </c>
      <c r="G3390" s="526" t="s">
        <v>6068</v>
      </c>
      <c r="H3390" s="412" t="e">
        <v>#N/A</v>
      </c>
      <c r="I3390" s="411" t="e">
        <v>#N/A</v>
      </c>
      <c r="J3390" s="411" t="e">
        <v>#N/A</v>
      </c>
      <c r="K3390" s="411" t="e">
        <v>#N/A</v>
      </c>
      <c r="L3390" s="526" t="e">
        <v>#N/A</v>
      </c>
    </row>
    <row r="3391" spans="1:12" ht="15" x14ac:dyDescent="0.25">
      <c r="A3391">
        <v>376058</v>
      </c>
      <c r="B3391" t="str">
        <f t="shared" si="138"/>
        <v>SEVROLL 10216 Herakles sada kovania ZPH-18 pre 1 krídlo</v>
      </c>
      <c r="C3391" s="198">
        <f t="shared" si="139"/>
        <v>19.04261</v>
      </c>
      <c r="D3391" s="526" t="s">
        <v>1561</v>
      </c>
      <c r="E3391" s="526" t="s">
        <v>1990</v>
      </c>
      <c r="F3391" s="526" t="s">
        <v>6069</v>
      </c>
      <c r="G3391" s="526" t="s">
        <v>6070</v>
      </c>
      <c r="H3391" s="412">
        <v>502.61489999999998</v>
      </c>
      <c r="I3391" s="411">
        <v>19.04261</v>
      </c>
      <c r="J3391" s="411">
        <v>65.520989999999998</v>
      </c>
      <c r="K3391" s="411">
        <v>7012.4192300000004</v>
      </c>
      <c r="L3391" s="526" t="s">
        <v>554</v>
      </c>
    </row>
    <row r="3392" spans="1:12" ht="15" x14ac:dyDescent="0.25">
      <c r="A3392">
        <v>376059</v>
      </c>
      <c r="B3392" t="str">
        <f t="shared" si="138"/>
        <v>SEVROLL 10228 držiak horného vedenia Herakles</v>
      </c>
      <c r="C3392" s="198">
        <f t="shared" si="139"/>
        <v>1.85782</v>
      </c>
      <c r="D3392" s="526" t="s">
        <v>1562</v>
      </c>
      <c r="E3392" s="526" t="s">
        <v>1991</v>
      </c>
      <c r="F3392" s="526" t="s">
        <v>6071</v>
      </c>
      <c r="G3392" s="526" t="s">
        <v>71</v>
      </c>
      <c r="H3392" s="412">
        <v>49.035600000000002</v>
      </c>
      <c r="I3392" s="411">
        <v>1.85782</v>
      </c>
      <c r="J3392" s="411">
        <v>6.39229</v>
      </c>
      <c r="K3392" s="411">
        <v>684.13846999999998</v>
      </c>
      <c r="L3392" s="526" t="s">
        <v>554</v>
      </c>
    </row>
    <row r="3393" spans="1:12" ht="15" x14ac:dyDescent="0.25">
      <c r="A3393">
        <v>377230</v>
      </c>
      <c r="B3393" t="str">
        <f t="shared" si="138"/>
        <v>V-SEVROLL okrasná lišta S10 3m strieborná</v>
      </c>
      <c r="C3393" s="198">
        <f t="shared" si="139"/>
        <v>3.1450499999999999</v>
      </c>
      <c r="D3393" s="526" t="s">
        <v>1552</v>
      </c>
      <c r="E3393" s="526" t="s">
        <v>1982</v>
      </c>
      <c r="F3393" s="526" t="s">
        <v>2205</v>
      </c>
      <c r="G3393" s="526" t="s">
        <v>2499</v>
      </c>
      <c r="H3393" s="412">
        <v>0</v>
      </c>
      <c r="I3393" s="411">
        <v>3.1450499999999999</v>
      </c>
      <c r="J3393" s="411">
        <v>0</v>
      </c>
      <c r="K3393" s="411">
        <v>0</v>
      </c>
      <c r="L3393" s="526" t="s">
        <v>555</v>
      </c>
    </row>
    <row r="3394" spans="1:12" ht="15" x14ac:dyDescent="0.25">
      <c r="A3394">
        <v>377236</v>
      </c>
      <c r="B3394" t="str">
        <f t="shared" si="138"/>
        <v>V-SEVROLL okrasná lišta S20 3m strieborná</v>
      </c>
      <c r="C3394" s="198">
        <f t="shared" si="139"/>
        <v>5.6752799999999999</v>
      </c>
      <c r="D3394" s="526" t="s">
        <v>1553</v>
      </c>
      <c r="E3394" s="526" t="s">
        <v>1983</v>
      </c>
      <c r="F3394" s="526" t="s">
        <v>2206</v>
      </c>
      <c r="G3394" s="526" t="s">
        <v>2500</v>
      </c>
      <c r="H3394" s="412">
        <v>0</v>
      </c>
      <c r="I3394" s="411">
        <v>5.6752799999999999</v>
      </c>
      <c r="J3394" s="411">
        <v>0</v>
      </c>
      <c r="K3394" s="411">
        <v>0</v>
      </c>
      <c r="L3394" s="526" t="s">
        <v>555</v>
      </c>
    </row>
    <row r="3395" spans="1:12" ht="15" x14ac:dyDescent="0.25">
      <c r="A3395">
        <v>378570</v>
      </c>
      <c r="B3395" t="str">
        <f t="shared" si="138"/>
        <v>SEVROLL 40265 Simple šablóna pre vozíky pre lamino 18mm</v>
      </c>
      <c r="C3395" s="198">
        <f t="shared" si="139"/>
        <v>4.6192500000000001</v>
      </c>
      <c r="D3395" s="526" t="s">
        <v>1526</v>
      </c>
      <c r="E3395" s="526" t="s">
        <v>1956</v>
      </c>
      <c r="F3395" s="526" t="s">
        <v>6034</v>
      </c>
      <c r="G3395" s="526" t="s">
        <v>6035</v>
      </c>
      <c r="H3395" s="412">
        <v>115.8982</v>
      </c>
      <c r="I3395" s="411">
        <v>4.6192500000000001</v>
      </c>
      <c r="J3395" s="411">
        <v>20.175750000000001</v>
      </c>
      <c r="K3395" s="411">
        <v>1881.7835700000001</v>
      </c>
      <c r="L3395" s="526" t="s">
        <v>554</v>
      </c>
    </row>
    <row r="3396" spans="1:12" ht="15" x14ac:dyDescent="0.25">
      <c r="A3396">
        <v>378693</v>
      </c>
      <c r="B3396" t="str">
        <f t="shared" si="138"/>
        <v/>
      </c>
      <c r="C3396" s="198">
        <f t="shared" si="139"/>
        <v>0</v>
      </c>
      <c r="D3396" s="526" t="s">
        <v>1527</v>
      </c>
      <c r="E3396" s="526" t="s">
        <v>71</v>
      </c>
      <c r="F3396" s="526" t="s">
        <v>71</v>
      </c>
      <c r="G3396" s="526" t="s">
        <v>71</v>
      </c>
      <c r="H3396" s="412">
        <v>0</v>
      </c>
      <c r="I3396" s="411">
        <v>0</v>
      </c>
      <c r="J3396" s="411">
        <v>0</v>
      </c>
      <c r="K3396" s="411">
        <v>0</v>
      </c>
      <c r="L3396" s="526" t="s">
        <v>555</v>
      </c>
    </row>
    <row r="3397" spans="1:12" ht="15" x14ac:dyDescent="0.25">
      <c r="A3397">
        <v>378694</v>
      </c>
      <c r="B3397" t="str">
        <f t="shared" si="138"/>
        <v/>
      </c>
      <c r="C3397" s="198">
        <f t="shared" si="139"/>
        <v>0</v>
      </c>
      <c r="D3397" s="526" t="s">
        <v>1528</v>
      </c>
      <c r="E3397" s="526" t="s">
        <v>71</v>
      </c>
      <c r="F3397" s="526" t="s">
        <v>71</v>
      </c>
      <c r="G3397" s="526" t="s">
        <v>71</v>
      </c>
      <c r="H3397" s="412">
        <v>0</v>
      </c>
      <c r="I3397" s="411">
        <v>0</v>
      </c>
      <c r="J3397" s="411">
        <v>0</v>
      </c>
      <c r="K3397" s="411">
        <v>0</v>
      </c>
      <c r="L3397" s="526" t="s">
        <v>555</v>
      </c>
    </row>
    <row r="3398" spans="1:12" ht="15" x14ac:dyDescent="0.25">
      <c r="A3398">
        <v>378696</v>
      </c>
      <c r="B3398" t="str">
        <f t="shared" si="138"/>
        <v/>
      </c>
      <c r="C3398" s="198">
        <f t="shared" si="139"/>
        <v>0</v>
      </c>
      <c r="D3398" s="526" t="s">
        <v>1529</v>
      </c>
      <c r="E3398" s="526" t="s">
        <v>71</v>
      </c>
      <c r="F3398" s="526" t="s">
        <v>71</v>
      </c>
      <c r="G3398" s="526" t="s">
        <v>71</v>
      </c>
      <c r="H3398" s="412" t="e">
        <v>#N/A</v>
      </c>
      <c r="I3398" s="411">
        <v>0</v>
      </c>
      <c r="J3398" s="411">
        <v>0</v>
      </c>
      <c r="K3398" s="411">
        <v>0</v>
      </c>
      <c r="L3398" s="526" t="e">
        <v>#N/A</v>
      </c>
    </row>
    <row r="3399" spans="1:12" ht="15" x14ac:dyDescent="0.25">
      <c r="A3399">
        <v>379934</v>
      </c>
      <c r="B3399" t="str">
        <f t="shared" si="138"/>
        <v>SEVROLL 04438 maska Elegant II 3m biela mat</v>
      </c>
      <c r="C3399" s="198">
        <f t="shared" si="139"/>
        <v>5.9599399999999996</v>
      </c>
      <c r="D3399" s="526" t="s">
        <v>1362</v>
      </c>
      <c r="E3399" s="526" t="s">
        <v>1822</v>
      </c>
      <c r="F3399" s="526" t="s">
        <v>5832</v>
      </c>
      <c r="G3399" s="526" t="s">
        <v>5839</v>
      </c>
      <c r="H3399" s="412" t="e">
        <v>#N/A</v>
      </c>
      <c r="I3399" s="411">
        <v>5.9599399999999996</v>
      </c>
      <c r="J3399" s="411">
        <v>25.445820000000001</v>
      </c>
      <c r="K3399" s="411">
        <v>2292.2861499999999</v>
      </c>
      <c r="L3399" s="526" t="e">
        <v>#N/A</v>
      </c>
    </row>
    <row r="3400" spans="1:12" ht="15" x14ac:dyDescent="0.25">
      <c r="A3400">
        <v>384363</v>
      </c>
      <c r="B3400" t="str">
        <f t="shared" si="138"/>
        <v>SEVROLL 219-043 držiak horného vedenia pre lamino 25 - 45mm</v>
      </c>
      <c r="C3400" s="198">
        <f t="shared" si="139"/>
        <v>2.3222700000000001</v>
      </c>
      <c r="D3400" s="526" t="s">
        <v>1474</v>
      </c>
      <c r="E3400" s="526" t="s">
        <v>1906</v>
      </c>
      <c r="F3400" s="526" t="s">
        <v>5959</v>
      </c>
      <c r="G3400" s="526" t="s">
        <v>5960</v>
      </c>
      <c r="H3400" s="412">
        <v>61.294499999999999</v>
      </c>
      <c r="I3400" s="411">
        <v>2.3222700000000001</v>
      </c>
      <c r="J3400" s="411">
        <v>7.9903700000000004</v>
      </c>
      <c r="K3400" s="411">
        <v>855.17307000000005</v>
      </c>
      <c r="L3400" s="526" t="s">
        <v>554</v>
      </c>
    </row>
    <row r="3401" spans="1:12" ht="15" x14ac:dyDescent="0.25">
      <c r="A3401">
        <v>385004</v>
      </c>
      <c r="B3401" t="str">
        <f t="shared" si="138"/>
        <v/>
      </c>
      <c r="C3401" s="198">
        <f t="shared" si="139"/>
        <v>0</v>
      </c>
      <c r="D3401" s="526" t="s">
        <v>1475</v>
      </c>
      <c r="E3401" s="526" t="s">
        <v>71</v>
      </c>
      <c r="F3401" s="526" t="s">
        <v>71</v>
      </c>
      <c r="G3401" s="526" t="s">
        <v>71</v>
      </c>
      <c r="H3401" s="412">
        <v>0</v>
      </c>
      <c r="I3401" s="411">
        <v>0</v>
      </c>
      <c r="J3401" s="411">
        <v>0</v>
      </c>
      <c r="K3401" s="411">
        <v>1</v>
      </c>
      <c r="L3401" s="526" t="s">
        <v>556</v>
      </c>
    </row>
    <row r="3402" spans="1:12" ht="15" x14ac:dyDescent="0.25">
      <c r="A3402">
        <v>385007</v>
      </c>
      <c r="B3402" t="str">
        <f t="shared" si="138"/>
        <v/>
      </c>
      <c r="C3402" s="198">
        <f t="shared" si="139"/>
        <v>4.8164800000000003</v>
      </c>
      <c r="D3402" s="526" t="s">
        <v>1476</v>
      </c>
      <c r="E3402" s="526" t="s">
        <v>71</v>
      </c>
      <c r="F3402" s="526" t="s">
        <v>71</v>
      </c>
      <c r="G3402" s="526" t="s">
        <v>71</v>
      </c>
      <c r="H3402" s="412">
        <v>135.50897000000001</v>
      </c>
      <c r="I3402" s="411">
        <v>4.8164800000000003</v>
      </c>
      <c r="J3402" s="411">
        <v>18.35596</v>
      </c>
      <c r="K3402" s="411">
        <v>1886.0604800000001</v>
      </c>
      <c r="L3402" s="526" t="s">
        <v>556</v>
      </c>
    </row>
    <row r="3403" spans="1:12" ht="15" x14ac:dyDescent="0.25">
      <c r="A3403">
        <v>385008</v>
      </c>
      <c r="B3403" t="str">
        <f t="shared" si="138"/>
        <v/>
      </c>
      <c r="C3403" s="198">
        <f t="shared" si="139"/>
        <v>0</v>
      </c>
      <c r="D3403" s="526" t="s">
        <v>1319</v>
      </c>
      <c r="E3403" s="526" t="s">
        <v>1772</v>
      </c>
      <c r="F3403" s="526" t="s">
        <v>71</v>
      </c>
      <c r="G3403" s="526" t="s">
        <v>71</v>
      </c>
      <c r="H3403" s="412">
        <v>0</v>
      </c>
      <c r="I3403" s="411">
        <v>0</v>
      </c>
      <c r="J3403" s="411">
        <v>0</v>
      </c>
      <c r="K3403" s="411">
        <v>0</v>
      </c>
      <c r="L3403" s="526" t="s">
        <v>555</v>
      </c>
    </row>
    <row r="3404" spans="1:12" ht="15" x14ac:dyDescent="0.25">
      <c r="A3404">
        <v>387397</v>
      </c>
      <c r="B3404" t="str">
        <f t="shared" si="138"/>
        <v/>
      </c>
      <c r="C3404" s="198">
        <f t="shared" si="139"/>
        <v>0</v>
      </c>
      <c r="D3404" s="526" t="s">
        <v>1319</v>
      </c>
      <c r="E3404" s="526" t="s">
        <v>1772</v>
      </c>
      <c r="F3404" s="526" t="s">
        <v>71</v>
      </c>
      <c r="G3404" s="526" t="s">
        <v>71</v>
      </c>
      <c r="H3404" s="412">
        <v>0</v>
      </c>
      <c r="I3404" s="411">
        <v>0</v>
      </c>
      <c r="J3404" s="411">
        <v>0</v>
      </c>
      <c r="K3404" s="411">
        <v>0</v>
      </c>
      <c r="L3404" s="526" t="s">
        <v>555</v>
      </c>
    </row>
    <row r="3405" spans="1:12" ht="15" x14ac:dyDescent="0.25">
      <c r="A3405">
        <v>387402</v>
      </c>
      <c r="B3405" t="str">
        <f t="shared" si="138"/>
        <v/>
      </c>
      <c r="C3405" s="198">
        <f t="shared" si="139"/>
        <v>0</v>
      </c>
      <c r="D3405" s="526" t="s">
        <v>1443</v>
      </c>
      <c r="E3405" s="526" t="s">
        <v>1888</v>
      </c>
      <c r="F3405" s="526" t="s">
        <v>71</v>
      </c>
      <c r="G3405" s="526" t="s">
        <v>71</v>
      </c>
      <c r="H3405" s="412">
        <v>0</v>
      </c>
      <c r="I3405" s="411">
        <v>0</v>
      </c>
      <c r="J3405" s="411">
        <v>0</v>
      </c>
      <c r="K3405" s="411">
        <v>0</v>
      </c>
      <c r="L3405" s="526" t="s">
        <v>555</v>
      </c>
    </row>
    <row r="3406" spans="1:12" ht="15" x14ac:dyDescent="0.25">
      <c r="A3406">
        <v>387424</v>
      </c>
      <c r="B3406" t="str">
        <f t="shared" si="138"/>
        <v>SEVROLL 20385 držiak spodného vedenia Gemini</v>
      </c>
      <c r="C3406" s="198">
        <f t="shared" si="139"/>
        <v>0.23222999999999999</v>
      </c>
      <c r="D3406" s="526" t="s">
        <v>1289</v>
      </c>
      <c r="E3406" s="526" t="s">
        <v>1290</v>
      </c>
      <c r="F3406" s="526" t="s">
        <v>5766</v>
      </c>
      <c r="G3406" s="526" t="s">
        <v>1291</v>
      </c>
      <c r="H3406" s="412">
        <v>6.4301399999999997</v>
      </c>
      <c r="I3406" s="411">
        <v>0.23222999999999999</v>
      </c>
      <c r="J3406" s="411">
        <v>0.78280000000000005</v>
      </c>
      <c r="K3406" s="411">
        <v>88.402789999999996</v>
      </c>
      <c r="L3406" s="526" t="s">
        <v>553</v>
      </c>
    </row>
    <row r="3407" spans="1:12" ht="15" x14ac:dyDescent="0.25">
      <c r="A3407">
        <v>388128</v>
      </c>
      <c r="B3407" t="str">
        <f t="shared" si="138"/>
        <v>SEVROLL 00884 Comfort spodné vedenie 2,35m strieborná</v>
      </c>
      <c r="C3407" s="198">
        <f t="shared" si="139"/>
        <v>20.90043</v>
      </c>
      <c r="D3407" s="526" t="s">
        <v>1444</v>
      </c>
      <c r="E3407" s="526" t="s">
        <v>1889</v>
      </c>
      <c r="F3407" s="526" t="s">
        <v>5914</v>
      </c>
      <c r="G3407" s="526" t="s">
        <v>5915</v>
      </c>
      <c r="H3407" s="412">
        <v>578.71259999999995</v>
      </c>
      <c r="I3407" s="411">
        <v>20.90043</v>
      </c>
      <c r="J3407" s="411">
        <v>79.029600000000002</v>
      </c>
      <c r="K3407" s="411">
        <v>7956.2574000000004</v>
      </c>
      <c r="L3407" s="526" t="s">
        <v>554</v>
      </c>
    </row>
    <row r="3408" spans="1:12" ht="15" x14ac:dyDescent="0.25">
      <c r="A3408">
        <v>388130</v>
      </c>
      <c r="B3408" t="str">
        <f t="shared" si="138"/>
        <v>SEVROLL 00885 Comfort spodné vedenie 3m strieborná</v>
      </c>
      <c r="C3408" s="198">
        <f t="shared" si="139"/>
        <v>26.706109999999999</v>
      </c>
      <c r="D3408" s="526" t="s">
        <v>1445</v>
      </c>
      <c r="E3408" s="526" t="s">
        <v>1890</v>
      </c>
      <c r="F3408" s="526" t="s">
        <v>5916</v>
      </c>
      <c r="G3408" s="526" t="s">
        <v>5917</v>
      </c>
      <c r="H3408" s="412">
        <v>739.46609999999998</v>
      </c>
      <c r="I3408" s="411">
        <v>26.706109999999999</v>
      </c>
      <c r="J3408" s="411">
        <v>100.9392</v>
      </c>
      <c r="K3408" s="411">
        <v>10166.3289</v>
      </c>
      <c r="L3408" s="526" t="s">
        <v>554</v>
      </c>
    </row>
    <row r="3409" spans="1:12" ht="15" x14ac:dyDescent="0.25">
      <c r="A3409">
        <v>388131</v>
      </c>
      <c r="B3409" t="str">
        <f t="shared" si="138"/>
        <v>SEVROLL 01495 Comfort spodné vedenie 4,05m strieborná</v>
      </c>
      <c r="C3409" s="198">
        <f t="shared" si="139"/>
        <v>36.072589999999998</v>
      </c>
      <c r="D3409" s="526" t="s">
        <v>1446</v>
      </c>
      <c r="E3409" s="526" t="s">
        <v>1891</v>
      </c>
      <c r="F3409" s="526" t="s">
        <v>5918</v>
      </c>
      <c r="G3409" s="526" t="s">
        <v>5919</v>
      </c>
      <c r="H3409" s="412">
        <v>998.81507999999997</v>
      </c>
      <c r="I3409" s="411">
        <v>36.072589999999998</v>
      </c>
      <c r="J3409" s="411">
        <v>147.62827999999999</v>
      </c>
      <c r="K3409" s="411">
        <v>13731.91077</v>
      </c>
      <c r="L3409" s="526" t="s">
        <v>554</v>
      </c>
    </row>
    <row r="3410" spans="1:12" ht="15" x14ac:dyDescent="0.25">
      <c r="A3410">
        <v>388133</v>
      </c>
      <c r="B3410" t="str">
        <f t="shared" si="138"/>
        <v/>
      </c>
      <c r="C3410" s="198">
        <f t="shared" si="139"/>
        <v>0</v>
      </c>
      <c r="D3410" s="526" t="s">
        <v>1447</v>
      </c>
      <c r="E3410" s="526" t="s">
        <v>1892</v>
      </c>
      <c r="F3410" s="526" t="s">
        <v>71</v>
      </c>
      <c r="G3410" s="526" t="s">
        <v>71</v>
      </c>
      <c r="H3410" s="412">
        <v>0</v>
      </c>
      <c r="I3410" s="411">
        <v>0</v>
      </c>
      <c r="J3410" s="411">
        <v>0</v>
      </c>
      <c r="K3410" s="411">
        <v>0</v>
      </c>
      <c r="L3410" s="526" t="s">
        <v>555</v>
      </c>
    </row>
    <row r="3411" spans="1:12" ht="15" x14ac:dyDescent="0.25">
      <c r="A3411">
        <v>388134</v>
      </c>
      <c r="B3411" t="str">
        <f t="shared" si="138"/>
        <v/>
      </c>
      <c r="C3411" s="198">
        <f t="shared" si="139"/>
        <v>0</v>
      </c>
      <c r="D3411" s="526" t="s">
        <v>1448</v>
      </c>
      <c r="E3411" s="526" t="s">
        <v>1893</v>
      </c>
      <c r="F3411" s="526" t="s">
        <v>71</v>
      </c>
      <c r="G3411" s="526" t="s">
        <v>71</v>
      </c>
      <c r="H3411" s="412">
        <v>0</v>
      </c>
      <c r="I3411" s="411">
        <v>0</v>
      </c>
      <c r="J3411" s="411">
        <v>0</v>
      </c>
      <c r="K3411" s="411">
        <v>0</v>
      </c>
      <c r="L3411" s="526" t="s">
        <v>555</v>
      </c>
    </row>
    <row r="3412" spans="1:12" ht="15" x14ac:dyDescent="0.25">
      <c r="A3412">
        <v>388462</v>
      </c>
      <c r="B3412" t="str">
        <f t="shared" si="138"/>
        <v/>
      </c>
      <c r="C3412" s="198">
        <f t="shared" si="139"/>
        <v>9.7535299999999996</v>
      </c>
      <c r="D3412" s="526" t="s">
        <v>1432</v>
      </c>
      <c r="E3412" s="526" t="s">
        <v>1876</v>
      </c>
      <c r="F3412" s="526" t="s">
        <v>71</v>
      </c>
      <c r="G3412" s="526" t="s">
        <v>5892</v>
      </c>
      <c r="H3412" s="412">
        <v>270.06587999999999</v>
      </c>
      <c r="I3412" s="411">
        <v>9.7535299999999996</v>
      </c>
      <c r="J3412" s="411">
        <v>32.980600000000003</v>
      </c>
      <c r="K3412" s="411">
        <v>3712.9199699999999</v>
      </c>
      <c r="L3412" s="526" t="s">
        <v>554</v>
      </c>
    </row>
    <row r="3413" spans="1:12" ht="15" x14ac:dyDescent="0.25">
      <c r="A3413">
        <v>391700</v>
      </c>
      <c r="B3413" t="str">
        <f t="shared" si="138"/>
        <v>SEVROLL 10224 Micra V sada kovanie pre 1 krídlo</v>
      </c>
      <c r="C3413" s="198">
        <f t="shared" si="139"/>
        <v>6.2998099999999999</v>
      </c>
      <c r="D3413" s="526" t="s">
        <v>1388</v>
      </c>
      <c r="E3413" s="526" t="s">
        <v>1838</v>
      </c>
      <c r="F3413" s="526" t="s">
        <v>5861</v>
      </c>
      <c r="G3413" s="526" t="s">
        <v>5862</v>
      </c>
      <c r="H3413" s="412">
        <v>174.32823999999999</v>
      </c>
      <c r="I3413" s="411">
        <v>6.2998099999999999</v>
      </c>
      <c r="J3413" s="411">
        <v>25.214400000000001</v>
      </c>
      <c r="K3413" s="411">
        <v>2398.17346</v>
      </c>
      <c r="L3413" s="526" t="s">
        <v>553</v>
      </c>
    </row>
    <row r="3414" spans="1:12" ht="15" x14ac:dyDescent="0.25">
      <c r="A3414">
        <v>393278</v>
      </c>
      <c r="B3414" t="str">
        <f t="shared" si="138"/>
        <v>SEVROLL Maxim horné vedenie 1,8m oliva</v>
      </c>
      <c r="C3414" s="198">
        <f t="shared" si="139"/>
        <v>17.77251</v>
      </c>
      <c r="D3414" s="526" t="s">
        <v>1383</v>
      </c>
      <c r="E3414" s="526" t="s">
        <v>1835</v>
      </c>
      <c r="F3414" s="526" t="s">
        <v>2177</v>
      </c>
      <c r="G3414" s="526" t="s">
        <v>2400</v>
      </c>
      <c r="H3414" s="412">
        <v>469.70317</v>
      </c>
      <c r="I3414" s="411">
        <v>17.77251</v>
      </c>
      <c r="J3414" s="411">
        <v>61.087800000000001</v>
      </c>
      <c r="K3414" s="411">
        <v>6835.5823099999998</v>
      </c>
      <c r="L3414" s="526" t="s">
        <v>555</v>
      </c>
    </row>
    <row r="3415" spans="1:12" ht="15" x14ac:dyDescent="0.25">
      <c r="A3415">
        <v>393279</v>
      </c>
      <c r="B3415" t="str">
        <f t="shared" si="138"/>
        <v>SEVROLL Maxim spodná krycia lišta 1,8m 18mm oliva</v>
      </c>
      <c r="C3415" s="198">
        <f t="shared" si="139"/>
        <v>25.790659999999999</v>
      </c>
      <c r="D3415" s="526" t="s">
        <v>1384</v>
      </c>
      <c r="E3415" s="526" t="s">
        <v>1836</v>
      </c>
      <c r="F3415" s="526" t="s">
        <v>2184</v>
      </c>
      <c r="G3415" s="526" t="s">
        <v>2401</v>
      </c>
      <c r="H3415" s="412">
        <v>681.61188000000004</v>
      </c>
      <c r="I3415" s="411">
        <v>25.790659999999999</v>
      </c>
      <c r="J3415" s="411">
        <v>88.647800000000004</v>
      </c>
      <c r="K3415" s="411">
        <v>9919.48423</v>
      </c>
      <c r="L3415" s="526" t="s">
        <v>555</v>
      </c>
    </row>
    <row r="3416" spans="1:12" ht="15" x14ac:dyDescent="0.25">
      <c r="A3416">
        <v>394231</v>
      </c>
      <c r="B3416" t="str">
        <f t="shared" si="138"/>
        <v>SEVROLL 04940 spodná krycia lišta Simple/Blue 2m (pre lamino 18mm) biely lesk</v>
      </c>
      <c r="C3416" s="198">
        <f t="shared" si="139"/>
        <v>17.184799999999999</v>
      </c>
      <c r="D3416" s="526" t="s">
        <v>1506</v>
      </c>
      <c r="E3416" s="526" t="s">
        <v>1936</v>
      </c>
      <c r="F3416" s="526" t="s">
        <v>6012</v>
      </c>
      <c r="G3416" s="526" t="s">
        <v>2462</v>
      </c>
      <c r="H3416" s="412">
        <v>470.69549999999998</v>
      </c>
      <c r="I3416" s="411">
        <v>17.184799999999999</v>
      </c>
      <c r="J3416" s="411">
        <v>85.189250000000001</v>
      </c>
      <c r="K3416" s="411">
        <v>6675.31808</v>
      </c>
      <c r="L3416" s="526" t="s">
        <v>553</v>
      </c>
    </row>
    <row r="3417" spans="1:12" ht="15" x14ac:dyDescent="0.25">
      <c r="A3417">
        <v>394265</v>
      </c>
      <c r="B3417" t="str">
        <f t="shared" si="138"/>
        <v>SEVROLL 04941 spodná krycia lišta Simple/Blue 3m (pre lamino 18mm) biely lesk</v>
      </c>
      <c r="C3417" s="198">
        <f t="shared" si="139"/>
        <v>25.751390000000001</v>
      </c>
      <c r="D3417" s="526" t="s">
        <v>1507</v>
      </c>
      <c r="E3417" s="526" t="s">
        <v>1937</v>
      </c>
      <c r="F3417" s="526" t="s">
        <v>6013</v>
      </c>
      <c r="G3417" s="526" t="s">
        <v>2463</v>
      </c>
      <c r="H3417" s="412">
        <v>705.3365</v>
      </c>
      <c r="I3417" s="411">
        <v>25.751390000000001</v>
      </c>
      <c r="J3417" s="411">
        <v>127.83893999999999</v>
      </c>
      <c r="K3417" s="411">
        <v>10002.95385</v>
      </c>
      <c r="L3417" s="526" t="s">
        <v>554</v>
      </c>
    </row>
    <row r="3418" spans="1:12" ht="15" x14ac:dyDescent="0.25">
      <c r="A3418">
        <v>394267</v>
      </c>
      <c r="B3418" t="str">
        <f t="shared" si="138"/>
        <v>SEVROLL 04942 horná vodiaca lišta Simple/Blue 2m (pre lamino 18mm) biely lesk</v>
      </c>
      <c r="C3418" s="198">
        <f t="shared" si="139"/>
        <v>8.7730200000000007</v>
      </c>
      <c r="D3418" s="526" t="s">
        <v>1508</v>
      </c>
      <c r="E3418" s="526" t="s">
        <v>1938</v>
      </c>
      <c r="F3418" s="526" t="s">
        <v>6014</v>
      </c>
      <c r="G3418" s="526" t="s">
        <v>2464</v>
      </c>
      <c r="H3418" s="412">
        <v>240.29499999999999</v>
      </c>
      <c r="I3418" s="411">
        <v>8.7730200000000007</v>
      </c>
      <c r="J3418" s="411">
        <v>44.207169999999998</v>
      </c>
      <c r="K3418" s="411">
        <v>3407.82</v>
      </c>
      <c r="L3418" s="526" t="s">
        <v>553</v>
      </c>
    </row>
    <row r="3419" spans="1:12" ht="15" x14ac:dyDescent="0.25">
      <c r="A3419">
        <v>394270</v>
      </c>
      <c r="B3419" t="str">
        <f t="shared" si="138"/>
        <v>SEVROLL 04943 horná vodiaca lišta Simple/Blue 3m (pre lamino 18mm) biely lesk</v>
      </c>
      <c r="C3419" s="198">
        <f t="shared" si="139"/>
        <v>13.15953</v>
      </c>
      <c r="D3419" s="526" t="s">
        <v>1509</v>
      </c>
      <c r="E3419" s="526" t="s">
        <v>1939</v>
      </c>
      <c r="F3419" s="526" t="s">
        <v>6015</v>
      </c>
      <c r="G3419" s="526" t="s">
        <v>2406</v>
      </c>
      <c r="H3419" s="412">
        <v>360.4425</v>
      </c>
      <c r="I3419" s="411">
        <v>13.15953</v>
      </c>
      <c r="J3419" s="411">
        <v>66.326480000000004</v>
      </c>
      <c r="K3419" s="411">
        <v>5111.7299999999996</v>
      </c>
      <c r="L3419" s="526" t="s">
        <v>553</v>
      </c>
    </row>
    <row r="3420" spans="1:12" ht="15" x14ac:dyDescent="0.25">
      <c r="A3420">
        <v>394273</v>
      </c>
      <c r="B3420" t="str">
        <f t="shared" si="138"/>
        <v>SEVROLL 04929 spojovacia lišta Simple/Blue H21 3m (pre lamino 18mm) biely lesk</v>
      </c>
      <c r="C3420" s="198">
        <f t="shared" si="139"/>
        <v>14.72578</v>
      </c>
      <c r="D3420" s="526" t="s">
        <v>1510</v>
      </c>
      <c r="E3420" s="526" t="s">
        <v>1940</v>
      </c>
      <c r="F3420" s="526" t="s">
        <v>6016</v>
      </c>
      <c r="G3420" s="526" t="s">
        <v>2465</v>
      </c>
      <c r="H3420" s="412">
        <v>403.55425000000002</v>
      </c>
      <c r="I3420" s="411">
        <v>14.72578</v>
      </c>
      <c r="J3420" s="411">
        <v>61.339410000000001</v>
      </c>
      <c r="K3420" s="411">
        <v>5720.1261500000001</v>
      </c>
      <c r="L3420" s="526" t="s">
        <v>553</v>
      </c>
    </row>
    <row r="3421" spans="1:12" ht="15" x14ac:dyDescent="0.25">
      <c r="A3421">
        <v>394281</v>
      </c>
      <c r="B3421" t="str">
        <f t="shared" si="138"/>
        <v>SEVROLL 04932 spojovacia lišta Simple/Blue H28 3m (pre lamino 18mm) biely lesk</v>
      </c>
      <c r="C3421" s="198">
        <f t="shared" si="139"/>
        <v>25.519169999999999</v>
      </c>
      <c r="D3421" s="526" t="s">
        <v>1511</v>
      </c>
      <c r="E3421" s="526" t="s">
        <v>1941</v>
      </c>
      <c r="F3421" s="526" t="s">
        <v>6017</v>
      </c>
      <c r="G3421" s="526" t="s">
        <v>2466</v>
      </c>
      <c r="H3421" s="412">
        <v>698.97574999999995</v>
      </c>
      <c r="I3421" s="411">
        <v>25.519169999999999</v>
      </c>
      <c r="J3421" s="411">
        <v>93.29128</v>
      </c>
      <c r="K3421" s="411">
        <v>9912.7469299999993</v>
      </c>
      <c r="L3421" s="526" t="s">
        <v>553</v>
      </c>
    </row>
    <row r="3422" spans="1:12" ht="15" x14ac:dyDescent="0.25">
      <c r="A3422">
        <v>394283</v>
      </c>
      <c r="B3422" t="str">
        <f t="shared" si="138"/>
        <v>SEVROLL 04934 Blue-V spodné vedenie 2m biela lesk</v>
      </c>
      <c r="C3422" s="198">
        <f t="shared" si="139"/>
        <v>10.39861</v>
      </c>
      <c r="D3422" s="526" t="s">
        <v>1512</v>
      </c>
      <c r="E3422" s="526" t="s">
        <v>1942</v>
      </c>
      <c r="F3422" s="526" t="s">
        <v>6018</v>
      </c>
      <c r="G3422" s="526" t="s">
        <v>2467</v>
      </c>
      <c r="H3422" s="412">
        <v>284.82024999999999</v>
      </c>
      <c r="I3422" s="411">
        <v>10.39861</v>
      </c>
      <c r="J3422" s="411">
        <v>44.993769999999998</v>
      </c>
      <c r="K3422" s="411">
        <v>4039.2688499999999</v>
      </c>
      <c r="L3422" s="526" t="s">
        <v>553</v>
      </c>
    </row>
    <row r="3423" spans="1:12" ht="15" x14ac:dyDescent="0.25">
      <c r="A3423">
        <v>394284</v>
      </c>
      <c r="B3423" t="str">
        <f t="shared" si="138"/>
        <v>SEVROLL 04935 Blue-V spodné vedenie 3m biela lesk</v>
      </c>
      <c r="C3423" s="198">
        <f t="shared" si="139"/>
        <v>15.597910000000001</v>
      </c>
      <c r="D3423" s="526" t="s">
        <v>1513</v>
      </c>
      <c r="E3423" s="526" t="s">
        <v>1943</v>
      </c>
      <c r="F3423" s="526" t="s">
        <v>6019</v>
      </c>
      <c r="G3423" s="526" t="s">
        <v>2468</v>
      </c>
      <c r="H3423" s="412">
        <v>427.58375000000001</v>
      </c>
      <c r="I3423" s="411">
        <v>15.597910000000001</v>
      </c>
      <c r="J3423" s="411">
        <v>67.490650000000002</v>
      </c>
      <c r="K3423" s="411">
        <v>6058.9034799999999</v>
      </c>
      <c r="L3423" s="526" t="s">
        <v>554</v>
      </c>
    </row>
    <row r="3424" spans="1:12" ht="15" x14ac:dyDescent="0.25">
      <c r="A3424">
        <v>394285</v>
      </c>
      <c r="B3424" t="str">
        <f t="shared" si="138"/>
        <v>SEVROLL 04936 Blue-V spodné vedenie 6m biela lesk</v>
      </c>
      <c r="C3424" s="198">
        <f t="shared" si="139"/>
        <v>31.195830000000001</v>
      </c>
      <c r="D3424" s="526" t="s">
        <v>1514</v>
      </c>
      <c r="E3424" s="526" t="s">
        <v>1944</v>
      </c>
      <c r="F3424" s="526" t="s">
        <v>6020</v>
      </c>
      <c r="G3424" s="526" t="s">
        <v>2469</v>
      </c>
      <c r="H3424" s="412">
        <v>854.46074999999996</v>
      </c>
      <c r="I3424" s="411">
        <v>31.195830000000001</v>
      </c>
      <c r="J3424" s="411">
        <v>134.91838000000001</v>
      </c>
      <c r="K3424" s="411">
        <v>12117.806930000001</v>
      </c>
      <c r="L3424" s="526" t="s">
        <v>554</v>
      </c>
    </row>
    <row r="3425" spans="1:12" ht="15" x14ac:dyDescent="0.25">
      <c r="A3425">
        <v>394287</v>
      </c>
      <c r="B3425" t="str">
        <f t="shared" si="138"/>
        <v>SEVROLL 04937 Blue horné vedenie 2m biela lesk</v>
      </c>
      <c r="C3425" s="198">
        <f t="shared" si="139"/>
        <v>19.455459999999999</v>
      </c>
      <c r="D3425" s="526" t="s">
        <v>1515</v>
      </c>
      <c r="E3425" s="526" t="s">
        <v>1945</v>
      </c>
      <c r="F3425" s="526" t="s">
        <v>6021</v>
      </c>
      <c r="G3425" s="526" t="s">
        <v>2470</v>
      </c>
      <c r="H3425" s="412">
        <v>532.8895</v>
      </c>
      <c r="I3425" s="411">
        <v>19.455459999999999</v>
      </c>
      <c r="J3425" s="411">
        <v>66.342209999999994</v>
      </c>
      <c r="K3425" s="411">
        <v>7557.3419299999996</v>
      </c>
      <c r="L3425" s="526" t="s">
        <v>553</v>
      </c>
    </row>
    <row r="3426" spans="1:12" ht="15" x14ac:dyDescent="0.25">
      <c r="A3426">
        <v>394289</v>
      </c>
      <c r="B3426" t="str">
        <f t="shared" si="138"/>
        <v>SEVROLL 04938 Blue horné vedenie 3m biela lesk</v>
      </c>
      <c r="C3426" s="198">
        <f t="shared" si="139"/>
        <v>29.18319</v>
      </c>
      <c r="D3426" s="526" t="s">
        <v>1516</v>
      </c>
      <c r="E3426" s="526" t="s">
        <v>1946</v>
      </c>
      <c r="F3426" s="526" t="s">
        <v>6022</v>
      </c>
      <c r="G3426" s="526" t="s">
        <v>2471</v>
      </c>
      <c r="H3426" s="412">
        <v>799.33425</v>
      </c>
      <c r="I3426" s="411">
        <v>29.18319</v>
      </c>
      <c r="J3426" s="411">
        <v>99.55265</v>
      </c>
      <c r="K3426" s="411">
        <v>11336.013080000001</v>
      </c>
      <c r="L3426" s="526" t="s">
        <v>553</v>
      </c>
    </row>
    <row r="3427" spans="1:12" ht="15" x14ac:dyDescent="0.25">
      <c r="A3427">
        <v>394290</v>
      </c>
      <c r="B3427" t="str">
        <f t="shared" si="138"/>
        <v>SEVROLL 04939 Blue horné vedenie 6m biela lesk</v>
      </c>
      <c r="C3427" s="198">
        <f t="shared" si="139"/>
        <v>58.366390000000003</v>
      </c>
      <c r="D3427" s="526" t="s">
        <v>1517</v>
      </c>
      <c r="E3427" s="526" t="s">
        <v>1947</v>
      </c>
      <c r="F3427" s="526" t="s">
        <v>6023</v>
      </c>
      <c r="G3427" s="526" t="s">
        <v>2472</v>
      </c>
      <c r="H3427" s="412">
        <v>1598.6685</v>
      </c>
      <c r="I3427" s="411">
        <v>58.366390000000003</v>
      </c>
      <c r="J3427" s="411">
        <v>199.01089999999999</v>
      </c>
      <c r="K3427" s="411">
        <v>22672.026150000002</v>
      </c>
      <c r="L3427" s="526" t="s">
        <v>554</v>
      </c>
    </row>
    <row r="3428" spans="1:12" ht="15" x14ac:dyDescent="0.25">
      <c r="A3428">
        <v>394690</v>
      </c>
      <c r="B3428" t="str">
        <f t="shared" si="138"/>
        <v>SEVROLL 04920-A Lynx úchytová lišta 2,7m strieborná</v>
      </c>
      <c r="C3428" s="198">
        <f t="shared" si="139"/>
        <v>22.355709999999998</v>
      </c>
      <c r="D3428" s="526" t="s">
        <v>1518</v>
      </c>
      <c r="E3428" s="526" t="s">
        <v>1948</v>
      </c>
      <c r="F3428" s="526" t="s">
        <v>6024</v>
      </c>
      <c r="G3428" s="526" t="s">
        <v>6025</v>
      </c>
      <c r="H3428" s="412">
        <v>619.43682000000001</v>
      </c>
      <c r="I3428" s="411">
        <v>22.355709999999998</v>
      </c>
      <c r="J3428" s="411">
        <v>80.671800000000005</v>
      </c>
      <c r="K3428" s="411">
        <v>8510.2487500000007</v>
      </c>
      <c r="L3428" s="526" t="s">
        <v>553</v>
      </c>
    </row>
    <row r="3429" spans="1:12" ht="15" x14ac:dyDescent="0.25">
      <c r="A3429">
        <v>394691</v>
      </c>
      <c r="B3429" t="str">
        <f t="shared" si="138"/>
        <v>SEVROLL 04920 Lynx úchytová lišta 2,7m oliva</v>
      </c>
      <c r="C3429" s="198">
        <f t="shared" si="139"/>
        <v>27.944649999999999</v>
      </c>
      <c r="D3429" s="526" t="s">
        <v>1519</v>
      </c>
      <c r="E3429" s="526" t="s">
        <v>1949</v>
      </c>
      <c r="F3429" s="526" t="s">
        <v>1519</v>
      </c>
      <c r="G3429" s="526" t="s">
        <v>2473</v>
      </c>
      <c r="H3429" s="412">
        <v>773.76017999999999</v>
      </c>
      <c r="I3429" s="411">
        <v>27.944649999999999</v>
      </c>
      <c r="J3429" s="411">
        <v>94.840900000000005</v>
      </c>
      <c r="K3429" s="411">
        <v>10637.810670000001</v>
      </c>
      <c r="L3429" s="526" t="s">
        <v>553</v>
      </c>
    </row>
    <row r="3430" spans="1:12" ht="15" x14ac:dyDescent="0.25">
      <c r="A3430">
        <v>394791</v>
      </c>
      <c r="B3430" t="str">
        <f t="shared" si="138"/>
        <v>SEVROLL 05153 Alfa II úchytová lišta 18mm 2,7m biela mat</v>
      </c>
      <c r="C3430" s="198">
        <f t="shared" si="139"/>
        <v>16.302330000000001</v>
      </c>
      <c r="D3430" s="526" t="s">
        <v>1520</v>
      </c>
      <c r="E3430" s="526" t="s">
        <v>1950</v>
      </c>
      <c r="F3430" s="526" t="s">
        <v>6026</v>
      </c>
      <c r="G3430" s="526" t="s">
        <v>2474</v>
      </c>
      <c r="H3430" s="412">
        <v>451.53872000000001</v>
      </c>
      <c r="I3430" s="411">
        <v>16.302330000000001</v>
      </c>
      <c r="J3430" s="411">
        <v>66.463200000000001</v>
      </c>
      <c r="K3430" s="411">
        <v>6205.8809199999996</v>
      </c>
      <c r="L3430" s="526" t="s">
        <v>553</v>
      </c>
    </row>
    <row r="3431" spans="1:12" ht="15" x14ac:dyDescent="0.25">
      <c r="A3431">
        <v>394792</v>
      </c>
      <c r="B3431" t="str">
        <f t="shared" si="138"/>
        <v>SEVROLL 05081 Elegant II spodné vedenie 1,7m biela mat</v>
      </c>
      <c r="C3431" s="198">
        <f t="shared" si="139"/>
        <v>10.74747</v>
      </c>
      <c r="D3431" s="526" t="s">
        <v>1521</v>
      </c>
      <c r="E3431" s="526" t="s">
        <v>1951</v>
      </c>
      <c r="F3431" s="526" t="s">
        <v>6027</v>
      </c>
      <c r="G3431" s="526" t="s">
        <v>6028</v>
      </c>
      <c r="H3431" s="412">
        <v>297.92982000000001</v>
      </c>
      <c r="I3431" s="411">
        <v>10.74747</v>
      </c>
      <c r="J3431" s="411">
        <v>40.698</v>
      </c>
      <c r="K3431" s="411">
        <v>4091.2844</v>
      </c>
      <c r="L3431" s="526" t="s">
        <v>553</v>
      </c>
    </row>
    <row r="3432" spans="1:12" ht="15" x14ac:dyDescent="0.25">
      <c r="A3432">
        <v>394795</v>
      </c>
      <c r="B3432" t="str">
        <f t="shared" si="138"/>
        <v>SEVROLL 05160 Elegant II spodné vedenie 2,35m biely mat</v>
      </c>
      <c r="C3432" s="198">
        <f t="shared" si="139"/>
        <v>14.79285</v>
      </c>
      <c r="D3432" s="526" t="s">
        <v>1522</v>
      </c>
      <c r="E3432" s="526" t="s">
        <v>1952</v>
      </c>
      <c r="F3432" s="526" t="s">
        <v>6029</v>
      </c>
      <c r="G3432" s="526" t="s">
        <v>6030</v>
      </c>
      <c r="H3432" s="412">
        <v>409.38558</v>
      </c>
      <c r="I3432" s="411">
        <v>14.79285</v>
      </c>
      <c r="J3432" s="411">
        <v>56.253</v>
      </c>
      <c r="K3432" s="411">
        <v>5631.26206</v>
      </c>
      <c r="L3432" s="526" t="s">
        <v>553</v>
      </c>
    </row>
    <row r="3433" spans="1:12" ht="15" x14ac:dyDescent="0.25">
      <c r="A3433">
        <v>394796</v>
      </c>
      <c r="B3433" t="str">
        <f t="shared" si="138"/>
        <v>SEVROLL 05161 Elegant II spodné vedenie 4,05m biela mat</v>
      </c>
      <c r="C3433" s="198">
        <f t="shared" si="139"/>
        <v>25.449750000000002</v>
      </c>
      <c r="D3433" s="526" t="s">
        <v>1523</v>
      </c>
      <c r="E3433" s="526" t="s">
        <v>1953</v>
      </c>
      <c r="F3433" s="526" t="s">
        <v>6031</v>
      </c>
      <c r="G3433" s="526" t="s">
        <v>6032</v>
      </c>
      <c r="H3433" s="412">
        <v>704.45755999999994</v>
      </c>
      <c r="I3433" s="411">
        <v>25.449750000000002</v>
      </c>
      <c r="J3433" s="411">
        <v>96.930599999999998</v>
      </c>
      <c r="K3433" s="411">
        <v>9688.0696700000008</v>
      </c>
      <c r="L3433" s="526" t="s">
        <v>553</v>
      </c>
    </row>
    <row r="3434" spans="1:12" ht="15" x14ac:dyDescent="0.25">
      <c r="A3434">
        <v>394800</v>
      </c>
      <c r="B3434" t="str">
        <f t="shared" si="138"/>
        <v>SEVROLL 05162 Elegant II spodné vedenie 6m biela mat</v>
      </c>
      <c r="C3434" s="198">
        <f t="shared" si="139"/>
        <v>37.585949999999997</v>
      </c>
      <c r="D3434" s="526" t="s">
        <v>1524</v>
      </c>
      <c r="E3434" s="526" t="s">
        <v>1954</v>
      </c>
      <c r="F3434" s="526" t="s">
        <v>6033</v>
      </c>
      <c r="G3434" s="526" t="s">
        <v>2475</v>
      </c>
      <c r="H3434" s="412">
        <v>1040.96822</v>
      </c>
      <c r="I3434" s="411">
        <v>37.585949999999997</v>
      </c>
      <c r="J3434" s="411">
        <v>143.60579999999999</v>
      </c>
      <c r="K3434" s="411">
        <v>14308.00301</v>
      </c>
      <c r="L3434" s="526" t="s">
        <v>554</v>
      </c>
    </row>
    <row r="3435" spans="1:12" ht="15" x14ac:dyDescent="0.25">
      <c r="A3435">
        <v>394802</v>
      </c>
      <c r="B3435" t="str">
        <f t="shared" si="138"/>
        <v>SEVROLL 05082 Gemini horné vedenie 1,7m biely mat</v>
      </c>
      <c r="C3435" s="198">
        <f t="shared" si="139"/>
        <v>18.247890000000002</v>
      </c>
      <c r="D3435" s="526" t="s">
        <v>1350</v>
      </c>
      <c r="E3435" s="526" t="s">
        <v>1801</v>
      </c>
      <c r="F3435" s="526" t="s">
        <v>5813</v>
      </c>
      <c r="G3435" s="526" t="s">
        <v>5814</v>
      </c>
      <c r="H3435" s="412">
        <v>505.12322</v>
      </c>
      <c r="I3435" s="411">
        <v>18.247890000000002</v>
      </c>
      <c r="J3435" s="411">
        <v>74.653800000000004</v>
      </c>
      <c r="K3435" s="411">
        <v>6946.5004600000002</v>
      </c>
      <c r="L3435" s="526" t="s">
        <v>553</v>
      </c>
    </row>
    <row r="3436" spans="1:12" ht="15" x14ac:dyDescent="0.25">
      <c r="A3436">
        <v>394813</v>
      </c>
      <c r="B3436" t="str">
        <f t="shared" si="138"/>
        <v>SEVROLL 05172 Gemini horné vedenie 2,35m biela mat</v>
      </c>
      <c r="C3436" s="198">
        <f t="shared" si="139"/>
        <v>25.225020000000001</v>
      </c>
      <c r="D3436" s="526" t="s">
        <v>1351</v>
      </c>
      <c r="E3436" s="526" t="s">
        <v>1802</v>
      </c>
      <c r="F3436" s="526" t="s">
        <v>5815</v>
      </c>
      <c r="G3436" s="526" t="s">
        <v>5816</v>
      </c>
      <c r="H3436" s="412">
        <v>698.74188000000004</v>
      </c>
      <c r="I3436" s="411">
        <v>25.225020000000001</v>
      </c>
      <c r="J3436" s="411">
        <v>103.20359999999999</v>
      </c>
      <c r="K3436" s="411">
        <v>9602.5149299999994</v>
      </c>
      <c r="L3436" s="526" t="s">
        <v>553</v>
      </c>
    </row>
    <row r="3437" spans="1:12" ht="15" x14ac:dyDescent="0.25">
      <c r="A3437">
        <v>394815</v>
      </c>
      <c r="B3437" t="str">
        <f t="shared" si="138"/>
        <v>SEVROLL 05173 Gemini horné vedenie 4,05m biela mat</v>
      </c>
      <c r="C3437" s="198">
        <f t="shared" si="139"/>
        <v>43.47289</v>
      </c>
      <c r="D3437" s="526" t="s">
        <v>1352</v>
      </c>
      <c r="E3437" s="526" t="s">
        <v>1803</v>
      </c>
      <c r="F3437" s="526" t="s">
        <v>5817</v>
      </c>
      <c r="G3437" s="526" t="s">
        <v>5818</v>
      </c>
      <c r="H3437" s="412">
        <v>1132.4191000000001</v>
      </c>
      <c r="I3437" s="411">
        <v>43.47289</v>
      </c>
      <c r="J3437" s="411">
        <v>177.9186</v>
      </c>
      <c r="K3437" s="411">
        <v>16549.015370000001</v>
      </c>
      <c r="L3437" s="526" t="s">
        <v>553</v>
      </c>
    </row>
    <row r="3438" spans="1:12" ht="15" x14ac:dyDescent="0.25">
      <c r="A3438">
        <v>394824</v>
      </c>
      <c r="B3438" t="str">
        <f t="shared" si="138"/>
        <v>SEVROLL 05174 Gemini horné vedenie 6m biela mat</v>
      </c>
      <c r="C3438" s="198">
        <f t="shared" si="139"/>
        <v>64.404290000000003</v>
      </c>
      <c r="D3438" s="526" t="s">
        <v>1353</v>
      </c>
      <c r="E3438" s="526" t="s">
        <v>1804</v>
      </c>
      <c r="F3438" s="526" t="s">
        <v>5819</v>
      </c>
      <c r="G3438" s="526" t="s">
        <v>2380</v>
      </c>
      <c r="H3438" s="412">
        <v>1783.29216</v>
      </c>
      <c r="I3438" s="411">
        <v>64.404290000000003</v>
      </c>
      <c r="J3438" s="411">
        <v>263.56799999999998</v>
      </c>
      <c r="K3438" s="411">
        <v>24517.05991</v>
      </c>
      <c r="L3438" s="526" t="s">
        <v>554</v>
      </c>
    </row>
    <row r="3439" spans="1:12" ht="15" x14ac:dyDescent="0.25">
      <c r="A3439">
        <v>394825</v>
      </c>
      <c r="B3439" t="str">
        <f t="shared" si="138"/>
        <v>SEVROLL 05136 uholník Mini 17x11mm 1,7m biely mat</v>
      </c>
      <c r="C3439" s="198">
        <f t="shared" si="139"/>
        <v>3.1479699999999999</v>
      </c>
      <c r="D3439" s="526" t="s">
        <v>5820</v>
      </c>
      <c r="E3439" s="526" t="s">
        <v>5821</v>
      </c>
      <c r="F3439" s="526" t="s">
        <v>5822</v>
      </c>
      <c r="G3439" s="526" t="s">
        <v>5823</v>
      </c>
      <c r="H3439" s="412">
        <v>87.164119999999997</v>
      </c>
      <c r="I3439" s="411">
        <v>3.1479699999999999</v>
      </c>
      <c r="J3439" s="411">
        <v>12.2094</v>
      </c>
      <c r="K3439" s="411">
        <v>1198.3500300000001</v>
      </c>
      <c r="L3439" s="526" t="s">
        <v>553</v>
      </c>
    </row>
    <row r="3440" spans="1:12" ht="15" x14ac:dyDescent="0.25">
      <c r="A3440">
        <v>394826</v>
      </c>
      <c r="B3440" t="str">
        <f t="shared" si="138"/>
        <v>SEVROLL 05137 uholník Mini 17x11mm 2,35m biely mat</v>
      </c>
      <c r="C3440" s="198">
        <f t="shared" si="139"/>
        <v>4.3607100000000001</v>
      </c>
      <c r="D3440" s="526" t="s">
        <v>5824</v>
      </c>
      <c r="E3440" s="526" t="s">
        <v>5825</v>
      </c>
      <c r="F3440" s="526" t="s">
        <v>5826</v>
      </c>
      <c r="G3440" s="526" t="s">
        <v>5827</v>
      </c>
      <c r="H3440" s="412">
        <v>120.74374</v>
      </c>
      <c r="I3440" s="411">
        <v>4.3607100000000001</v>
      </c>
      <c r="J3440" s="411">
        <v>16.901399999999999</v>
      </c>
      <c r="K3440" s="411">
        <v>1660.00919</v>
      </c>
      <c r="L3440" s="526" t="s">
        <v>553</v>
      </c>
    </row>
    <row r="3441" spans="1:12" ht="15" x14ac:dyDescent="0.25">
      <c r="A3441">
        <v>394831</v>
      </c>
      <c r="B3441" t="str">
        <f t="shared" si="138"/>
        <v>SEVROLL 05166 maska Elegant II 6m biela mat</v>
      </c>
      <c r="C3441" s="198">
        <f t="shared" si="139"/>
        <v>11.67327</v>
      </c>
      <c r="D3441" s="526" t="s">
        <v>1354</v>
      </c>
      <c r="E3441" s="526" t="s">
        <v>1805</v>
      </c>
      <c r="F3441" s="526" t="s">
        <v>5828</v>
      </c>
      <c r="G3441" s="526" t="s">
        <v>5829</v>
      </c>
      <c r="H3441" s="412">
        <v>322.93592000000001</v>
      </c>
      <c r="I3441" s="411">
        <v>11.67327</v>
      </c>
      <c r="J3441" s="411">
        <v>43.084800000000001</v>
      </c>
      <c r="K3441" s="411">
        <v>4443.7172700000001</v>
      </c>
      <c r="L3441" s="526" t="s">
        <v>554</v>
      </c>
    </row>
    <row r="3442" spans="1:12" ht="15" x14ac:dyDescent="0.25">
      <c r="A3442">
        <v>394848</v>
      </c>
      <c r="B3442" t="str">
        <f t="shared" si="138"/>
        <v>SEVROLL 05163 maska Elegant II 1,7m biely mat</v>
      </c>
      <c r="C3442" s="198">
        <f t="shared" si="139"/>
        <v>3.3074400000000002</v>
      </c>
      <c r="D3442" s="526" t="s">
        <v>1355</v>
      </c>
      <c r="E3442" s="526" t="s">
        <v>1806</v>
      </c>
      <c r="F3442" s="526" t="s">
        <v>5830</v>
      </c>
      <c r="G3442" s="526" t="s">
        <v>2381</v>
      </c>
      <c r="H3442" s="412">
        <v>91.450879999999998</v>
      </c>
      <c r="I3442" s="411">
        <v>3.3074400000000002</v>
      </c>
      <c r="J3442" s="411">
        <v>12.199199999999999</v>
      </c>
      <c r="K3442" s="411">
        <v>1259.0531100000001</v>
      </c>
      <c r="L3442" s="526" t="s">
        <v>553</v>
      </c>
    </row>
    <row r="3443" spans="1:12" ht="15" x14ac:dyDescent="0.25">
      <c r="A3443">
        <v>395025</v>
      </c>
      <c r="B3443" t="str">
        <f t="shared" si="138"/>
        <v>SEVROLL Eden hornej vedenie 2,35 m strieborná</v>
      </c>
      <c r="C3443" s="198">
        <f t="shared" si="139"/>
        <v>17.735250000000001</v>
      </c>
      <c r="D3443" s="526" t="s">
        <v>1356</v>
      </c>
      <c r="E3443" s="526" t="s">
        <v>1807</v>
      </c>
      <c r="F3443" s="526" t="s">
        <v>2180</v>
      </c>
      <c r="G3443" s="526" t="s">
        <v>2382</v>
      </c>
      <c r="H3443" s="412" t="e">
        <v>#N/A</v>
      </c>
      <c r="I3443" s="411">
        <v>17.735250000000001</v>
      </c>
      <c r="J3443" s="411">
        <v>67.738630000000001</v>
      </c>
      <c r="K3443" s="411">
        <v>0</v>
      </c>
      <c r="L3443" s="526" t="e">
        <v>#N/A</v>
      </c>
    </row>
    <row r="3444" spans="1:12" ht="15" x14ac:dyDescent="0.25">
      <c r="A3444">
        <v>395027</v>
      </c>
      <c r="B3444" t="str">
        <f t="shared" si="138"/>
        <v>SEVROLL Eden hornej vedenie 2,35 m strieborná</v>
      </c>
      <c r="C3444" s="198">
        <f t="shared" si="139"/>
        <v>28.512319999999999</v>
      </c>
      <c r="D3444" s="526" t="s">
        <v>1357</v>
      </c>
      <c r="E3444" s="526" t="s">
        <v>1808</v>
      </c>
      <c r="F3444" s="526" t="s">
        <v>2180</v>
      </c>
      <c r="G3444" s="526" t="s">
        <v>2382</v>
      </c>
      <c r="H3444" s="412">
        <v>789.47829999999999</v>
      </c>
      <c r="I3444" s="411">
        <v>28.512319999999999</v>
      </c>
      <c r="J3444" s="411">
        <v>120.1152</v>
      </c>
      <c r="K3444" s="411">
        <v>10853.9067</v>
      </c>
      <c r="L3444" s="526" t="s">
        <v>554</v>
      </c>
    </row>
    <row r="3445" spans="1:12" ht="15" x14ac:dyDescent="0.25">
      <c r="A3445">
        <v>395029</v>
      </c>
      <c r="B3445" t="str">
        <f t="shared" si="138"/>
        <v>SEVROLL Eden hornej vedenie 2,35 m strieborná</v>
      </c>
      <c r="C3445" s="198">
        <f t="shared" si="139"/>
        <v>23.30011</v>
      </c>
      <c r="D3445" s="526" t="s">
        <v>1358</v>
      </c>
      <c r="E3445" s="526" t="s">
        <v>1809</v>
      </c>
      <c r="F3445" s="526" t="s">
        <v>2180</v>
      </c>
      <c r="G3445" s="526" t="s">
        <v>2382</v>
      </c>
      <c r="H3445" s="412">
        <v>645.15737999999999</v>
      </c>
      <c r="I3445" s="411">
        <v>23.30011</v>
      </c>
      <c r="J3445" s="411">
        <v>98.032200000000003</v>
      </c>
      <c r="K3445" s="411">
        <v>8869.7534699999997</v>
      </c>
      <c r="L3445" s="526" t="s">
        <v>554</v>
      </c>
    </row>
    <row r="3446" spans="1:12" ht="15" x14ac:dyDescent="0.25">
      <c r="A3446">
        <v>395030</v>
      </c>
      <c r="B3446" t="str">
        <f t="shared" si="138"/>
        <v>SEVROLL Eden sada kovania pre dvoje dvere</v>
      </c>
      <c r="C3446" s="198">
        <f t="shared" si="139"/>
        <v>133.47891999999999</v>
      </c>
      <c r="D3446" s="526" t="s">
        <v>1359</v>
      </c>
      <c r="E3446" s="526" t="s">
        <v>1810</v>
      </c>
      <c r="F3446" s="526" t="s">
        <v>2181</v>
      </c>
      <c r="G3446" s="526" t="s">
        <v>2383</v>
      </c>
      <c r="H3446" s="412">
        <v>3695.9015800000002</v>
      </c>
      <c r="I3446" s="411">
        <v>133.47891999999999</v>
      </c>
      <c r="J3446" s="411">
        <v>558.78660000000002</v>
      </c>
      <c r="K3446" s="411">
        <v>50811.99927</v>
      </c>
      <c r="L3446" s="526" t="s">
        <v>554</v>
      </c>
    </row>
    <row r="3447" spans="1:12" ht="15" x14ac:dyDescent="0.25">
      <c r="A3447">
        <v>395031</v>
      </c>
      <c r="B3447" t="str">
        <f t="shared" si="138"/>
        <v>SEVROLL Eden sada kovania pre dvoje dvere</v>
      </c>
      <c r="C3447" s="198">
        <f t="shared" si="139"/>
        <v>58.237369999999999</v>
      </c>
      <c r="D3447" s="526" t="s">
        <v>1360</v>
      </c>
      <c r="E3447" s="526" t="s">
        <v>1811</v>
      </c>
      <c r="F3447" s="526" t="s">
        <v>2181</v>
      </c>
      <c r="G3447" s="526" t="s">
        <v>2383</v>
      </c>
      <c r="H3447" s="412">
        <v>1612.53622</v>
      </c>
      <c r="I3447" s="411">
        <v>58.237369999999999</v>
      </c>
      <c r="J3447" s="411">
        <v>284.68200000000002</v>
      </c>
      <c r="K3447" s="411">
        <v>22169.47293</v>
      </c>
      <c r="L3447" s="526" t="s">
        <v>554</v>
      </c>
    </row>
    <row r="3448" spans="1:12" ht="15" x14ac:dyDescent="0.25">
      <c r="A3448">
        <v>395039</v>
      </c>
      <c r="B3448" t="str">
        <f t="shared" ref="B3448:B3511" si="140">IF($A$2=1,D3448,IF($A$2=2,F3448,IF($A$2=3,G3448,IF($A$2=4,E3448,"zadat jazyk"))))</f>
        <v>SEVROLL 05164 maska Elegant II 2,35m biela mat</v>
      </c>
      <c r="C3448" s="198">
        <f t="shared" ref="C3448:C3511" si="141">IF($A$2=1,H3448,IF($A$2=2,I3448,IF($A$2=3,J3448,IF($A$2=4,K3448,"zadat jazyk"))))</f>
        <v>4.5720400000000003</v>
      </c>
      <c r="D3448" s="526" t="s">
        <v>1361</v>
      </c>
      <c r="E3448" s="526" t="s">
        <v>1812</v>
      </c>
      <c r="F3448" s="526" t="s">
        <v>5831</v>
      </c>
      <c r="G3448" s="526" t="s">
        <v>2384</v>
      </c>
      <c r="H3448" s="412">
        <v>126.45941999999999</v>
      </c>
      <c r="I3448" s="411">
        <v>4.5720400000000003</v>
      </c>
      <c r="J3448" s="411">
        <v>16.870799999999999</v>
      </c>
      <c r="K3448" s="411">
        <v>1740.45587</v>
      </c>
      <c r="L3448" s="526" t="s">
        <v>553</v>
      </c>
    </row>
    <row r="3449" spans="1:12" ht="15" x14ac:dyDescent="0.25">
      <c r="A3449">
        <v>395041</v>
      </c>
      <c r="B3449" t="str">
        <f t="shared" si="140"/>
        <v>SEVROLL 04438 maska Elegant II 3m biela mat</v>
      </c>
      <c r="C3449" s="198">
        <f t="shared" si="141"/>
        <v>5.8366499999999997</v>
      </c>
      <c r="D3449" s="526" t="s">
        <v>1362</v>
      </c>
      <c r="E3449" s="526" t="s">
        <v>1813</v>
      </c>
      <c r="F3449" s="526" t="s">
        <v>5832</v>
      </c>
      <c r="G3449" s="526" t="s">
        <v>2385</v>
      </c>
      <c r="H3449" s="412">
        <v>161.46796000000001</v>
      </c>
      <c r="I3449" s="411">
        <v>5.8366499999999997</v>
      </c>
      <c r="J3449" s="411">
        <v>21.542400000000001</v>
      </c>
      <c r="K3449" s="411">
        <v>2221.8586500000001</v>
      </c>
      <c r="L3449" s="526" t="s">
        <v>553</v>
      </c>
    </row>
    <row r="3450" spans="1:12" ht="15" x14ac:dyDescent="0.25">
      <c r="A3450">
        <v>395042</v>
      </c>
      <c r="B3450" t="str">
        <f t="shared" si="140"/>
        <v>SEVROLL 05165 maska Elegant II 4,05m biela mat</v>
      </c>
      <c r="C3450" s="198">
        <f t="shared" si="141"/>
        <v>7.8794599999999999</v>
      </c>
      <c r="D3450" s="526" t="s">
        <v>1363</v>
      </c>
      <c r="E3450" s="526" t="s">
        <v>1814</v>
      </c>
      <c r="F3450" s="526" t="s">
        <v>5833</v>
      </c>
      <c r="G3450" s="526" t="s">
        <v>2386</v>
      </c>
      <c r="H3450" s="412">
        <v>217.91030000000001</v>
      </c>
      <c r="I3450" s="411">
        <v>7.8794599999999999</v>
      </c>
      <c r="J3450" s="411">
        <v>29.07</v>
      </c>
      <c r="K3450" s="411">
        <v>2999.5093700000002</v>
      </c>
      <c r="L3450" s="526" t="s">
        <v>553</v>
      </c>
    </row>
    <row r="3451" spans="1:12" ht="15" x14ac:dyDescent="0.25">
      <c r="A3451">
        <v>395495</v>
      </c>
      <c r="B3451" t="str">
        <f t="shared" si="140"/>
        <v>SEVROLL 05152 Alfa II úchytová lišta 18mm 2,7m čierna lesk</v>
      </c>
      <c r="C3451" s="198">
        <f t="shared" si="141"/>
        <v>16.302330000000001</v>
      </c>
      <c r="D3451" s="526" t="s">
        <v>1364</v>
      </c>
      <c r="E3451" s="526" t="s">
        <v>1815</v>
      </c>
      <c r="F3451" s="526" t="s">
        <v>5834</v>
      </c>
      <c r="G3451" s="526" t="s">
        <v>2387</v>
      </c>
      <c r="H3451" s="412">
        <v>451.53872000000001</v>
      </c>
      <c r="I3451" s="411">
        <v>16.302330000000001</v>
      </c>
      <c r="J3451" s="411">
        <v>66.463200000000001</v>
      </c>
      <c r="K3451" s="411">
        <v>6205.8809199999996</v>
      </c>
      <c r="L3451" s="526" t="s">
        <v>553</v>
      </c>
    </row>
    <row r="3452" spans="1:12" ht="15" x14ac:dyDescent="0.25">
      <c r="A3452">
        <v>395506</v>
      </c>
      <c r="B3452" t="str">
        <f t="shared" si="140"/>
        <v>SEVROLL 05154 Fox II úchytová lišta 2,7m čierna lesk</v>
      </c>
      <c r="C3452" s="198">
        <f t="shared" si="141"/>
        <v>21.41649</v>
      </c>
      <c r="D3452" s="526" t="s">
        <v>1365</v>
      </c>
      <c r="E3452" s="526" t="s">
        <v>1816</v>
      </c>
      <c r="F3452" s="526" t="s">
        <v>5835</v>
      </c>
      <c r="G3452" s="526" t="s">
        <v>2388</v>
      </c>
      <c r="H3452" s="412">
        <v>593.0018</v>
      </c>
      <c r="I3452" s="411">
        <v>21.41649</v>
      </c>
      <c r="J3452" s="411">
        <v>80.416799999999995</v>
      </c>
      <c r="K3452" s="411">
        <v>8152.7082</v>
      </c>
      <c r="L3452" s="526" t="s">
        <v>553</v>
      </c>
    </row>
    <row r="3453" spans="1:12" ht="15" x14ac:dyDescent="0.25">
      <c r="A3453">
        <v>395508</v>
      </c>
      <c r="B3453" t="str">
        <f t="shared" si="140"/>
        <v>SEVROLL 05182 spojovacia lišta H10 3m čierna lesk</v>
      </c>
      <c r="C3453" s="198">
        <f t="shared" si="141"/>
        <v>15.688219999999999</v>
      </c>
      <c r="D3453" s="526" t="s">
        <v>1366</v>
      </c>
      <c r="E3453" s="526" t="s">
        <v>1817</v>
      </c>
      <c r="F3453" s="526" t="s">
        <v>5836</v>
      </c>
      <c r="G3453" s="526" t="s">
        <v>2389</v>
      </c>
      <c r="H3453" s="412">
        <v>434.39168000000001</v>
      </c>
      <c r="I3453" s="411">
        <v>15.688219999999999</v>
      </c>
      <c r="J3453" s="411">
        <v>67.289400000000001</v>
      </c>
      <c r="K3453" s="411">
        <v>5972.1041699999996</v>
      </c>
      <c r="L3453" s="526" t="s">
        <v>553</v>
      </c>
    </row>
    <row r="3454" spans="1:12" ht="15" x14ac:dyDescent="0.25">
      <c r="A3454">
        <v>398096</v>
      </c>
      <c r="B3454" t="str">
        <f t="shared" si="140"/>
        <v>SEVROLL 05176 Gemini horné vedenie 2,35m čierna lesk</v>
      </c>
      <c r="C3454" s="198">
        <f t="shared" si="141"/>
        <v>25.225020000000001</v>
      </c>
      <c r="D3454" s="526" t="s">
        <v>1456</v>
      </c>
      <c r="E3454" s="526" t="s">
        <v>1896</v>
      </c>
      <c r="F3454" s="526" t="s">
        <v>5923</v>
      </c>
      <c r="G3454" s="526" t="s">
        <v>5924</v>
      </c>
      <c r="H3454" s="412">
        <v>698.74188000000004</v>
      </c>
      <c r="I3454" s="411">
        <v>25.225020000000001</v>
      </c>
      <c r="J3454" s="411">
        <v>103.20359999999999</v>
      </c>
      <c r="K3454" s="411">
        <v>9602.5149299999994</v>
      </c>
      <c r="L3454" s="526" t="s">
        <v>553</v>
      </c>
    </row>
    <row r="3455" spans="1:12" ht="15" x14ac:dyDescent="0.25">
      <c r="A3455">
        <v>398188</v>
      </c>
      <c r="B3455" t="str">
        <f t="shared" si="140"/>
        <v>SEVROLL 05156 Elegant II spodné vedenie 2,35m čierna lesk</v>
      </c>
      <c r="C3455" s="198">
        <f t="shared" si="141"/>
        <v>14.79285</v>
      </c>
      <c r="D3455" s="526" t="s">
        <v>1457</v>
      </c>
      <c r="E3455" s="526" t="s">
        <v>1897</v>
      </c>
      <c r="F3455" s="526" t="s">
        <v>5925</v>
      </c>
      <c r="G3455" s="526" t="s">
        <v>5926</v>
      </c>
      <c r="H3455" s="412">
        <v>409.38558</v>
      </c>
      <c r="I3455" s="411">
        <v>14.79285</v>
      </c>
      <c r="J3455" s="411">
        <v>56.242800000000003</v>
      </c>
      <c r="K3455" s="411">
        <v>5631.26206</v>
      </c>
      <c r="L3455" s="526" t="s">
        <v>553</v>
      </c>
    </row>
    <row r="3456" spans="1:12" ht="15" x14ac:dyDescent="0.25">
      <c r="A3456">
        <v>398553</v>
      </c>
      <c r="B3456" t="str">
        <f t="shared" si="140"/>
        <v>SEVROLL 05168 maska Elegant II 2,35m čierna lesk</v>
      </c>
      <c r="C3456" s="198">
        <f t="shared" si="141"/>
        <v>4.5720400000000003</v>
      </c>
      <c r="D3456" s="526" t="s">
        <v>1458</v>
      </c>
      <c r="E3456" s="526" t="s">
        <v>1898</v>
      </c>
      <c r="F3456" s="526" t="s">
        <v>5927</v>
      </c>
      <c r="G3456" s="526" t="s">
        <v>2436</v>
      </c>
      <c r="H3456" s="412">
        <v>126.45941999999999</v>
      </c>
      <c r="I3456" s="411">
        <v>4.5720400000000003</v>
      </c>
      <c r="J3456" s="411">
        <v>16.870799999999999</v>
      </c>
      <c r="K3456" s="411">
        <v>1740.45587</v>
      </c>
      <c r="L3456" s="526" t="s">
        <v>553</v>
      </c>
    </row>
    <row r="3457" spans="1:12" ht="15" x14ac:dyDescent="0.25">
      <c r="A3457">
        <v>399106</v>
      </c>
      <c r="B3457" t="str">
        <f t="shared" si="140"/>
        <v>SEVROLL 10193-SV Optima II sada kovania pre vnútorné dvere</v>
      </c>
      <c r="C3457" s="198">
        <f t="shared" si="141"/>
        <v>13.212429999999999</v>
      </c>
      <c r="D3457" s="526" t="s">
        <v>1459</v>
      </c>
      <c r="E3457" s="526" t="s">
        <v>5928</v>
      </c>
      <c r="F3457" s="526" t="s">
        <v>5929</v>
      </c>
      <c r="G3457" s="526" t="s">
        <v>5930</v>
      </c>
      <c r="H3457" s="412">
        <v>365.80351999999999</v>
      </c>
      <c r="I3457" s="411">
        <v>13.212429999999999</v>
      </c>
      <c r="J3457" s="411">
        <v>46.430399999999999</v>
      </c>
      <c r="K3457" s="411">
        <v>5029.6317499999996</v>
      </c>
      <c r="L3457" s="526" t="s">
        <v>554</v>
      </c>
    </row>
    <row r="3458" spans="1:12" ht="15" x14ac:dyDescent="0.25">
      <c r="A3458">
        <v>399178</v>
      </c>
      <c r="B3458" t="str">
        <f t="shared" si="140"/>
        <v>SEVROLL 10212 vozík pre interiérové dvere Simple 18 Inter/Galaxy 35/50kg</v>
      </c>
      <c r="C3458" s="198">
        <f t="shared" si="141"/>
        <v>8.5665999999999993</v>
      </c>
      <c r="D3458" s="526" t="s">
        <v>1460</v>
      </c>
      <c r="E3458" s="526" t="s">
        <v>5931</v>
      </c>
      <c r="F3458" s="526" t="s">
        <v>5932</v>
      </c>
      <c r="G3458" s="526" t="s">
        <v>2437</v>
      </c>
      <c r="H3458" s="412">
        <v>226.1086</v>
      </c>
      <c r="I3458" s="411">
        <v>8.5665999999999993</v>
      </c>
      <c r="J3458" s="411">
        <v>29.475570000000001</v>
      </c>
      <c r="K3458" s="411">
        <v>3154.6384699999999</v>
      </c>
      <c r="L3458" s="526" t="s">
        <v>553</v>
      </c>
    </row>
    <row r="3459" spans="1:12" ht="15" x14ac:dyDescent="0.25">
      <c r="A3459">
        <v>399179</v>
      </c>
      <c r="B3459" t="str">
        <f t="shared" si="140"/>
        <v>SEVROLL 04999 tĺmič pre interiérové dvere Simple 18 Galaxy 50kg</v>
      </c>
      <c r="C3459" s="198">
        <f t="shared" si="141"/>
        <v>25.183730000000001</v>
      </c>
      <c r="D3459" s="526" t="s">
        <v>1461</v>
      </c>
      <c r="E3459" s="526" t="s">
        <v>5933</v>
      </c>
      <c r="F3459" s="526" t="s">
        <v>5934</v>
      </c>
      <c r="G3459" s="526" t="s">
        <v>2438</v>
      </c>
      <c r="H3459" s="412">
        <v>664.70479999999998</v>
      </c>
      <c r="I3459" s="411">
        <v>25.183730000000001</v>
      </c>
      <c r="J3459" s="411">
        <v>86.651060000000001</v>
      </c>
      <c r="K3459" s="411">
        <v>9273.8769300000004</v>
      </c>
      <c r="L3459" s="526" t="s">
        <v>553</v>
      </c>
    </row>
    <row r="3460" spans="1:12" ht="15" x14ac:dyDescent="0.25">
      <c r="A3460">
        <v>399180</v>
      </c>
      <c r="B3460" t="str">
        <f t="shared" si="140"/>
        <v/>
      </c>
      <c r="C3460" s="198">
        <f t="shared" si="141"/>
        <v>0</v>
      </c>
      <c r="D3460" s="526" t="s">
        <v>1462</v>
      </c>
      <c r="E3460" s="526" t="s">
        <v>5935</v>
      </c>
      <c r="F3460" s="526" t="s">
        <v>71</v>
      </c>
      <c r="G3460" s="526" t="s">
        <v>2439</v>
      </c>
      <c r="H3460" s="412">
        <v>0</v>
      </c>
      <c r="I3460" s="411">
        <v>0</v>
      </c>
      <c r="J3460" s="411">
        <v>0</v>
      </c>
      <c r="K3460" s="411">
        <v>0</v>
      </c>
      <c r="L3460" s="526" t="s">
        <v>553</v>
      </c>
    </row>
    <row r="3461" spans="1:12" ht="15" x14ac:dyDescent="0.25">
      <c r="A3461">
        <v>399695</v>
      </c>
      <c r="B3461" t="str">
        <f t="shared" si="140"/>
        <v>SEVROLL 214-695 krycia lišta Herkules II 2m strieborná</v>
      </c>
      <c r="C3461" s="198" t="e">
        <f t="shared" si="141"/>
        <v>#N/A</v>
      </c>
      <c r="D3461" s="526" t="s">
        <v>1463</v>
      </c>
      <c r="E3461" s="526" t="s">
        <v>1899</v>
      </c>
      <c r="F3461" s="526" t="s">
        <v>5936</v>
      </c>
      <c r="G3461" s="526" t="s">
        <v>5937</v>
      </c>
      <c r="H3461" s="412" t="e">
        <v>#N/A</v>
      </c>
      <c r="I3461" s="411" t="e">
        <v>#N/A</v>
      </c>
      <c r="J3461" s="411" t="e">
        <v>#N/A</v>
      </c>
      <c r="K3461" s="411" t="e">
        <v>#N/A</v>
      </c>
      <c r="L3461" s="526" t="e">
        <v>#N/A</v>
      </c>
    </row>
    <row r="3462" spans="1:12" ht="15" x14ac:dyDescent="0.25">
      <c r="A3462">
        <v>399696</v>
      </c>
      <c r="B3462" t="str">
        <f t="shared" si="140"/>
        <v>SEVROLL 214-615 krycia lišta Herkules Wood 2m strieborná</v>
      </c>
      <c r="C3462" s="198" t="e">
        <f t="shared" si="141"/>
        <v>#N/A</v>
      </c>
      <c r="D3462" s="526" t="s">
        <v>1464</v>
      </c>
      <c r="E3462" s="526" t="s">
        <v>1900</v>
      </c>
      <c r="F3462" s="526" t="s">
        <v>5938</v>
      </c>
      <c r="G3462" s="526" t="s">
        <v>5939</v>
      </c>
      <c r="H3462" s="412" t="e">
        <v>#N/A</v>
      </c>
      <c r="I3462" s="411" t="e">
        <v>#N/A</v>
      </c>
      <c r="J3462" s="411" t="e">
        <v>#N/A</v>
      </c>
      <c r="K3462" s="411" t="e">
        <v>#N/A</v>
      </c>
      <c r="L3462" s="526" t="e">
        <v>#N/A</v>
      </c>
    </row>
    <row r="3463" spans="1:12" ht="15" x14ac:dyDescent="0.25">
      <c r="A3463">
        <v>399705</v>
      </c>
      <c r="B3463" t="str">
        <f t="shared" si="140"/>
        <v>SEVROLL 219-036 Herkules Wood sada krycia lišta strieborná, 2x krytka a kefka</v>
      </c>
      <c r="C3463" s="198" t="e">
        <f t="shared" si="141"/>
        <v>#N/A</v>
      </c>
      <c r="D3463" s="526" t="s">
        <v>1465</v>
      </c>
      <c r="E3463" s="526" t="s">
        <v>1901</v>
      </c>
      <c r="F3463" s="526" t="s">
        <v>5940</v>
      </c>
      <c r="G3463" s="526" t="s">
        <v>5941</v>
      </c>
      <c r="H3463" s="412" t="e">
        <v>#N/A</v>
      </c>
      <c r="I3463" s="411" t="e">
        <v>#N/A</v>
      </c>
      <c r="J3463" s="411" t="e">
        <v>#N/A</v>
      </c>
      <c r="K3463" s="411" t="e">
        <v>#N/A</v>
      </c>
      <c r="L3463" s="526" t="e">
        <v>#N/A</v>
      </c>
    </row>
    <row r="3464" spans="1:12" ht="15" x14ac:dyDescent="0.25">
      <c r="A3464">
        <v>403727</v>
      </c>
      <c r="B3464" t="str">
        <f t="shared" si="140"/>
        <v>SEVROLL Top horné vedenie jednoduché 2,35m strieborná</v>
      </c>
      <c r="C3464" s="198">
        <f t="shared" si="141"/>
        <v>25.906210000000002</v>
      </c>
      <c r="D3464" s="526" t="s">
        <v>1499</v>
      </c>
      <c r="E3464" s="526" t="s">
        <v>1929</v>
      </c>
      <c r="F3464" s="526" t="s">
        <v>2202</v>
      </c>
      <c r="G3464" s="526" t="s">
        <v>2458</v>
      </c>
      <c r="H3464" s="412">
        <v>717.31784000000005</v>
      </c>
      <c r="I3464" s="411">
        <v>25.906210000000002</v>
      </c>
      <c r="J3464" s="411">
        <v>91.1982</v>
      </c>
      <c r="K3464" s="411">
        <v>9861.8300899999995</v>
      </c>
      <c r="L3464" s="526" t="s">
        <v>554</v>
      </c>
    </row>
    <row r="3465" spans="1:12" ht="15" x14ac:dyDescent="0.25">
      <c r="A3465">
        <v>404307</v>
      </c>
      <c r="B3465" t="str">
        <f t="shared" si="140"/>
        <v>K-SEVROLL sada kovania pro interiérové dvere Simple 18 Galaxy 50kg brzda + tlmič</v>
      </c>
      <c r="C3465" s="198">
        <f t="shared" si="141"/>
        <v>0</v>
      </c>
      <c r="D3465" s="526" t="s">
        <v>1500</v>
      </c>
      <c r="E3465" s="526" t="s">
        <v>1930</v>
      </c>
      <c r="F3465" s="526" t="s">
        <v>6004</v>
      </c>
      <c r="G3465" s="526" t="s">
        <v>6005</v>
      </c>
      <c r="H3465" s="412">
        <v>0</v>
      </c>
      <c r="I3465" s="411">
        <v>0</v>
      </c>
      <c r="J3465" s="411">
        <v>0</v>
      </c>
      <c r="K3465" s="411">
        <v>0</v>
      </c>
      <c r="L3465" s="526" t="s">
        <v>553</v>
      </c>
    </row>
    <row r="3466" spans="1:12" ht="15" x14ac:dyDescent="0.25">
      <c r="A3466">
        <v>404308</v>
      </c>
      <c r="B3466" t="str">
        <f t="shared" si="140"/>
        <v>K-SEVROLL sada kovania pro interiérové dvere Simple 18 Galaxy 50kg  2x tlmič</v>
      </c>
      <c r="C3466" s="198">
        <f t="shared" si="141"/>
        <v>0</v>
      </c>
      <c r="D3466" s="526" t="s">
        <v>1501</v>
      </c>
      <c r="E3466" s="526" t="s">
        <v>1931</v>
      </c>
      <c r="F3466" s="526" t="s">
        <v>6006</v>
      </c>
      <c r="G3466" s="526" t="s">
        <v>6007</v>
      </c>
      <c r="H3466" s="412">
        <v>0</v>
      </c>
      <c r="I3466" s="411">
        <v>0</v>
      </c>
      <c r="J3466" s="411">
        <v>0</v>
      </c>
      <c r="K3466" s="411">
        <v>0</v>
      </c>
      <c r="L3466" s="526" t="s">
        <v>553</v>
      </c>
    </row>
    <row r="3467" spans="1:12" ht="15" x14ac:dyDescent="0.25">
      <c r="A3467">
        <v>405364</v>
      </c>
      <c r="B3467" t="str">
        <f t="shared" si="140"/>
        <v>SEVROLL 05292 profil "U" pre lamino 18mm 3m čierna lesk</v>
      </c>
      <c r="C3467" s="198">
        <f t="shared" si="141"/>
        <v>6.1411100000000003</v>
      </c>
      <c r="D3467" s="526" t="s">
        <v>1477</v>
      </c>
      <c r="E3467" s="526" t="s">
        <v>1907</v>
      </c>
      <c r="F3467" s="526" t="s">
        <v>5961</v>
      </c>
      <c r="G3467" s="526" t="s">
        <v>2445</v>
      </c>
      <c r="H3467" s="412">
        <v>170.04148000000001</v>
      </c>
      <c r="I3467" s="411">
        <v>6.1411100000000003</v>
      </c>
      <c r="J3467" s="411">
        <v>27.009599999999999</v>
      </c>
      <c r="K3467" s="411">
        <v>2337.7643699999999</v>
      </c>
      <c r="L3467" s="526" t="s">
        <v>554</v>
      </c>
    </row>
    <row r="3468" spans="1:12" ht="15" x14ac:dyDescent="0.25">
      <c r="A3468">
        <v>405365</v>
      </c>
      <c r="B3468" t="str">
        <f t="shared" si="140"/>
        <v>SEVROLL 05138 uholník Mini 17x11mm 1,7m čiena lesk</v>
      </c>
      <c r="C3468" s="198">
        <f t="shared" si="141"/>
        <v>3.1479699999999999</v>
      </c>
      <c r="D3468" s="526" t="s">
        <v>5962</v>
      </c>
      <c r="E3468" s="526" t="s">
        <v>5963</v>
      </c>
      <c r="F3468" s="526" t="s">
        <v>5964</v>
      </c>
      <c r="G3468" s="526" t="s">
        <v>5965</v>
      </c>
      <c r="H3468" s="412">
        <v>87.164119999999997</v>
      </c>
      <c r="I3468" s="411">
        <v>3.1479699999999999</v>
      </c>
      <c r="J3468" s="411">
        <v>12.2094</v>
      </c>
      <c r="K3468" s="411">
        <v>1198.3500300000001</v>
      </c>
      <c r="L3468" s="526" t="s">
        <v>553</v>
      </c>
    </row>
    <row r="3469" spans="1:12" ht="15" x14ac:dyDescent="0.25">
      <c r="A3469">
        <v>405366</v>
      </c>
      <c r="B3469" t="str">
        <f t="shared" si="140"/>
        <v>SEVROLL 05139 uholník Mini 17x11mm 2,35m čierna lesk</v>
      </c>
      <c r="C3469" s="198">
        <f t="shared" si="141"/>
        <v>4.3607100000000001</v>
      </c>
      <c r="D3469" s="526" t="s">
        <v>5966</v>
      </c>
      <c r="E3469" s="526" t="s">
        <v>5967</v>
      </c>
      <c r="F3469" s="526" t="s">
        <v>5968</v>
      </c>
      <c r="G3469" s="526" t="s">
        <v>5969</v>
      </c>
      <c r="H3469" s="412">
        <v>120.74374</v>
      </c>
      <c r="I3469" s="411">
        <v>4.3607100000000001</v>
      </c>
      <c r="J3469" s="411">
        <v>16.901399999999999</v>
      </c>
      <c r="K3469" s="411">
        <v>1660.00919</v>
      </c>
      <c r="L3469" s="526" t="s">
        <v>553</v>
      </c>
    </row>
    <row r="3470" spans="1:12" ht="15" x14ac:dyDescent="0.25">
      <c r="A3470">
        <v>405367</v>
      </c>
      <c r="B3470" t="str">
        <f t="shared" si="140"/>
        <v>SEVROLL 05140 uholník Mini 17x11mm 3m čierna lesk</v>
      </c>
      <c r="C3470" s="198">
        <f t="shared" si="141"/>
        <v>5.5734500000000002</v>
      </c>
      <c r="D3470" s="526" t="s">
        <v>5970</v>
      </c>
      <c r="E3470" s="526" t="s">
        <v>5971</v>
      </c>
      <c r="F3470" s="526" t="s">
        <v>5972</v>
      </c>
      <c r="G3470" s="526" t="s">
        <v>5973</v>
      </c>
      <c r="H3470" s="412">
        <v>154.32336000000001</v>
      </c>
      <c r="I3470" s="411">
        <v>5.5734500000000002</v>
      </c>
      <c r="J3470" s="411">
        <v>21.583200000000001</v>
      </c>
      <c r="K3470" s="411">
        <v>2121.6687099999999</v>
      </c>
      <c r="L3470" s="526" t="s">
        <v>553</v>
      </c>
    </row>
    <row r="3471" spans="1:12" ht="15" x14ac:dyDescent="0.25">
      <c r="A3471">
        <v>405369</v>
      </c>
      <c r="B3471" t="str">
        <f t="shared" si="140"/>
        <v>SEVROLL 05144 Gemini 10 spodná krycia lišta 1,7m 10mm čierna lesk</v>
      </c>
      <c r="C3471" s="198">
        <f t="shared" si="141"/>
        <v>18.887799999999999</v>
      </c>
      <c r="D3471" s="526" t="s">
        <v>3468</v>
      </c>
      <c r="E3471" s="526" t="s">
        <v>1908</v>
      </c>
      <c r="F3471" s="526" t="s">
        <v>5974</v>
      </c>
      <c r="G3471" s="526" t="s">
        <v>5975</v>
      </c>
      <c r="H3471" s="412">
        <v>522.98472000000004</v>
      </c>
      <c r="I3471" s="411">
        <v>18.887799999999999</v>
      </c>
      <c r="J3471" s="411">
        <v>70.369799999999998</v>
      </c>
      <c r="K3471" s="411">
        <v>7190.0994300000002</v>
      </c>
      <c r="L3471" s="526" t="s">
        <v>553</v>
      </c>
    </row>
    <row r="3472" spans="1:12" ht="15" x14ac:dyDescent="0.25">
      <c r="A3472">
        <v>405375</v>
      </c>
      <c r="B3472" t="str">
        <f t="shared" si="140"/>
        <v>SEVROLL 05145 Gemini 10 spodná krycia lišta 2,35m 10mm čierna lesk</v>
      </c>
      <c r="C3472" s="198">
        <f t="shared" si="141"/>
        <v>26.086829999999999</v>
      </c>
      <c r="D3472" s="526" t="s">
        <v>3469</v>
      </c>
      <c r="E3472" s="526" t="s">
        <v>1909</v>
      </c>
      <c r="F3472" s="526" t="s">
        <v>5976</v>
      </c>
      <c r="G3472" s="526" t="s">
        <v>5977</v>
      </c>
      <c r="H3472" s="412">
        <v>722.31906000000004</v>
      </c>
      <c r="I3472" s="411">
        <v>26.086829999999999</v>
      </c>
      <c r="J3472" s="411">
        <v>97.287599999999998</v>
      </c>
      <c r="K3472" s="411">
        <v>9930.5880099999995</v>
      </c>
      <c r="L3472" s="526" t="s">
        <v>553</v>
      </c>
    </row>
    <row r="3473" spans="1:12" ht="15" x14ac:dyDescent="0.25">
      <c r="A3473">
        <v>405376</v>
      </c>
      <c r="B3473" t="str">
        <f t="shared" si="140"/>
        <v>SEVROLL 05183 Gemini 10 spodná krycia lišta 3m 10mm čierna lesk</v>
      </c>
      <c r="C3473" s="198">
        <f t="shared" si="141"/>
        <v>33.38908</v>
      </c>
      <c r="D3473" s="526" t="s">
        <v>3470</v>
      </c>
      <c r="E3473" s="526" t="s">
        <v>1910</v>
      </c>
      <c r="F3473" s="526" t="s">
        <v>5978</v>
      </c>
      <c r="G3473" s="526" t="s">
        <v>5979</v>
      </c>
      <c r="H3473" s="412">
        <v>924.51124000000004</v>
      </c>
      <c r="I3473" s="411">
        <v>33.38908</v>
      </c>
      <c r="J3473" s="411">
        <v>124.22580000000001</v>
      </c>
      <c r="K3473" s="411">
        <v>12710.366690000001</v>
      </c>
      <c r="L3473" s="526" t="s">
        <v>553</v>
      </c>
    </row>
    <row r="3474" spans="1:12" ht="15" x14ac:dyDescent="0.25">
      <c r="A3474">
        <v>405377</v>
      </c>
      <c r="B3474" t="str">
        <f t="shared" si="140"/>
        <v>SEVROLL 05149 horná vodiaca lišta 1,7m čierna lesk</v>
      </c>
      <c r="C3474" s="198">
        <f t="shared" si="141"/>
        <v>10.39861</v>
      </c>
      <c r="D3474" s="526" t="s">
        <v>1481</v>
      </c>
      <c r="E3474" s="526" t="s">
        <v>1911</v>
      </c>
      <c r="F3474" s="526" t="s">
        <v>5980</v>
      </c>
      <c r="G3474" s="526" t="s">
        <v>2446</v>
      </c>
      <c r="H3474" s="412">
        <v>287.92738000000003</v>
      </c>
      <c r="I3474" s="411">
        <v>10.39861</v>
      </c>
      <c r="J3474" s="411">
        <v>59.986199999999997</v>
      </c>
      <c r="K3474" s="411">
        <v>3958.4834700000001</v>
      </c>
      <c r="L3474" s="526" t="s">
        <v>553</v>
      </c>
    </row>
    <row r="3475" spans="1:12" ht="15" x14ac:dyDescent="0.25">
      <c r="A3475">
        <v>405379</v>
      </c>
      <c r="B3475" t="str">
        <f t="shared" si="140"/>
        <v>SEVROLL 05150 horná vodiaca lišta 2,35m černa lesk</v>
      </c>
      <c r="C3475" s="198">
        <f t="shared" si="141"/>
        <v>14.398070000000001</v>
      </c>
      <c r="D3475" s="526" t="s">
        <v>1482</v>
      </c>
      <c r="E3475" s="526" t="s">
        <v>1912</v>
      </c>
      <c r="F3475" s="526" t="s">
        <v>5981</v>
      </c>
      <c r="G3475" s="526" t="s">
        <v>2447</v>
      </c>
      <c r="H3475" s="412">
        <v>398.66867999999999</v>
      </c>
      <c r="I3475" s="411">
        <v>14.398070000000001</v>
      </c>
      <c r="J3475" s="411">
        <v>82.936199999999999</v>
      </c>
      <c r="K3475" s="411">
        <v>5480.9771700000001</v>
      </c>
      <c r="L3475" s="526" t="s">
        <v>553</v>
      </c>
    </row>
    <row r="3476" spans="1:12" ht="15" x14ac:dyDescent="0.25">
      <c r="A3476">
        <v>405382</v>
      </c>
      <c r="B3476" t="str">
        <f t="shared" si="140"/>
        <v>SEVROLL 05184 horná vodiaca lišta 3m čierna lesk</v>
      </c>
      <c r="C3476" s="198">
        <f t="shared" si="141"/>
        <v>18.371739999999999</v>
      </c>
      <c r="D3476" s="526" t="s">
        <v>1483</v>
      </c>
      <c r="E3476" s="526" t="s">
        <v>1913</v>
      </c>
      <c r="F3476" s="526" t="s">
        <v>5982</v>
      </c>
      <c r="G3476" s="526" t="s">
        <v>2448</v>
      </c>
      <c r="H3476" s="412">
        <v>508.69551999999999</v>
      </c>
      <c r="I3476" s="411">
        <v>18.371739999999999</v>
      </c>
      <c r="J3476" s="411">
        <v>105.8454</v>
      </c>
      <c r="K3476" s="411">
        <v>6993.6486299999997</v>
      </c>
      <c r="L3476" s="526" t="s">
        <v>553</v>
      </c>
    </row>
    <row r="3477" spans="1:12" ht="15" x14ac:dyDescent="0.25">
      <c r="A3477">
        <v>405392</v>
      </c>
      <c r="B3477" t="str">
        <f t="shared" si="140"/>
        <v>SEVROLL 05294 spojovacia lišta H18 3m čierna lesk</v>
      </c>
      <c r="C3477" s="198">
        <f t="shared" si="141"/>
        <v>15.456</v>
      </c>
      <c r="D3477" s="526" t="s">
        <v>1484</v>
      </c>
      <c r="E3477" s="526" t="s">
        <v>1914</v>
      </c>
      <c r="F3477" s="526" t="s">
        <v>5983</v>
      </c>
      <c r="G3477" s="526" t="s">
        <v>2449</v>
      </c>
      <c r="H3477" s="412">
        <v>427.96154000000001</v>
      </c>
      <c r="I3477" s="411">
        <v>15.456</v>
      </c>
      <c r="J3477" s="411">
        <v>62.464799999999997</v>
      </c>
      <c r="K3477" s="411">
        <v>5883.7013900000002</v>
      </c>
      <c r="L3477" s="526" t="s">
        <v>553</v>
      </c>
    </row>
    <row r="3478" spans="1:12" ht="15" x14ac:dyDescent="0.25">
      <c r="A3478">
        <v>405393</v>
      </c>
      <c r="B3478" t="str">
        <f t="shared" si="140"/>
        <v>SEVROLL 05155 Elegant II spodne vedenie 1,7m čierna lesk</v>
      </c>
      <c r="C3478" s="198">
        <f t="shared" si="141"/>
        <v>10.74747</v>
      </c>
      <c r="D3478" s="526" t="s">
        <v>1485</v>
      </c>
      <c r="E3478" s="526" t="s">
        <v>1915</v>
      </c>
      <c r="F3478" s="526" t="s">
        <v>5984</v>
      </c>
      <c r="G3478" s="526" t="s">
        <v>5985</v>
      </c>
      <c r="H3478" s="412">
        <v>297.92982000000001</v>
      </c>
      <c r="I3478" s="411">
        <v>10.74747</v>
      </c>
      <c r="J3478" s="411">
        <v>40.698</v>
      </c>
      <c r="K3478" s="411">
        <v>4091.2844</v>
      </c>
      <c r="L3478" s="526" t="s">
        <v>553</v>
      </c>
    </row>
    <row r="3479" spans="1:12" ht="15" x14ac:dyDescent="0.25">
      <c r="A3479">
        <v>405403</v>
      </c>
      <c r="B3479" t="str">
        <f t="shared" si="140"/>
        <v>SEVROLL 05157 Elegant II spodné vedenie 3m čierna lesk</v>
      </c>
      <c r="C3479" s="198">
        <f t="shared" si="141"/>
        <v>18.777889999999999</v>
      </c>
      <c r="D3479" s="526" t="s">
        <v>1486</v>
      </c>
      <c r="E3479" s="526" t="s">
        <v>1916</v>
      </c>
      <c r="F3479" s="526" t="s">
        <v>5986</v>
      </c>
      <c r="G3479" s="526" t="s">
        <v>5987</v>
      </c>
      <c r="H3479" s="412">
        <v>520.12688000000003</v>
      </c>
      <c r="I3479" s="411">
        <v>18.777889999999999</v>
      </c>
      <c r="J3479" s="411">
        <v>71.808000000000007</v>
      </c>
      <c r="K3479" s="411">
        <v>7148.2553099999996</v>
      </c>
      <c r="L3479" s="526" t="s">
        <v>553</v>
      </c>
    </row>
    <row r="3480" spans="1:12" ht="15" x14ac:dyDescent="0.25">
      <c r="A3480">
        <v>405404</v>
      </c>
      <c r="B3480" t="str">
        <f t="shared" si="140"/>
        <v>SEVROLL 05158 Elegant II spodné vedenie 4,05m čierna lesk</v>
      </c>
      <c r="C3480" s="198">
        <f t="shared" si="141"/>
        <v>25.449750000000002</v>
      </c>
      <c r="D3480" s="526" t="s">
        <v>1487</v>
      </c>
      <c r="E3480" s="526" t="s">
        <v>1917</v>
      </c>
      <c r="F3480" s="526" t="s">
        <v>5988</v>
      </c>
      <c r="G3480" s="526" t="s">
        <v>5989</v>
      </c>
      <c r="H3480" s="412">
        <v>704.45755999999994</v>
      </c>
      <c r="I3480" s="411">
        <v>25.449750000000002</v>
      </c>
      <c r="J3480" s="411">
        <v>96.930599999999998</v>
      </c>
      <c r="K3480" s="411">
        <v>9688.0696700000008</v>
      </c>
      <c r="L3480" s="526" t="s">
        <v>553</v>
      </c>
    </row>
    <row r="3481" spans="1:12" ht="15" x14ac:dyDescent="0.25">
      <c r="A3481">
        <v>405406</v>
      </c>
      <c r="B3481" t="str">
        <f t="shared" si="140"/>
        <v>SEVROLL 05159 Elegant II spodné vedenie 6m čierna lesk</v>
      </c>
      <c r="C3481" s="198">
        <f t="shared" si="141"/>
        <v>37.585949999999997</v>
      </c>
      <c r="D3481" s="526" t="s">
        <v>1488</v>
      </c>
      <c r="E3481" s="526" t="s">
        <v>1918</v>
      </c>
      <c r="F3481" s="526" t="s">
        <v>5990</v>
      </c>
      <c r="G3481" s="526" t="s">
        <v>2450</v>
      </c>
      <c r="H3481" s="412">
        <v>1040.96822</v>
      </c>
      <c r="I3481" s="411">
        <v>37.585949999999997</v>
      </c>
      <c r="J3481" s="411">
        <v>143.60579999999999</v>
      </c>
      <c r="K3481" s="411">
        <v>14308.00301</v>
      </c>
      <c r="L3481" s="526" t="s">
        <v>554</v>
      </c>
    </row>
    <row r="3482" spans="1:12" ht="15" x14ac:dyDescent="0.25">
      <c r="A3482">
        <v>405407</v>
      </c>
      <c r="B3482" t="str">
        <f t="shared" si="140"/>
        <v>SEVROLL 05175 Gemini horné vedenie 1,7m čierna lesk</v>
      </c>
      <c r="C3482" s="198">
        <f t="shared" si="141"/>
        <v>18.247890000000002</v>
      </c>
      <c r="D3482" s="526" t="s">
        <v>1489</v>
      </c>
      <c r="E3482" s="526" t="s">
        <v>1919</v>
      </c>
      <c r="F3482" s="526" t="s">
        <v>5991</v>
      </c>
      <c r="G3482" s="526" t="s">
        <v>5992</v>
      </c>
      <c r="H3482" s="412">
        <v>505.12322</v>
      </c>
      <c r="I3482" s="411">
        <v>18.247890000000002</v>
      </c>
      <c r="J3482" s="411">
        <v>74.653800000000004</v>
      </c>
      <c r="K3482" s="411">
        <v>6946.5004600000002</v>
      </c>
      <c r="L3482" s="526" t="s">
        <v>553</v>
      </c>
    </row>
    <row r="3483" spans="1:12" ht="15" x14ac:dyDescent="0.25">
      <c r="A3483">
        <v>405423</v>
      </c>
      <c r="B3483" t="str">
        <f t="shared" si="140"/>
        <v>SEVROLL 05177 Gemini horné vedenie 3m čierna lesk</v>
      </c>
      <c r="C3483" s="198">
        <f t="shared" si="141"/>
        <v>32.20214</v>
      </c>
      <c r="D3483" s="526" t="s">
        <v>1490</v>
      </c>
      <c r="E3483" s="526" t="s">
        <v>1920</v>
      </c>
      <c r="F3483" s="526" t="s">
        <v>5993</v>
      </c>
      <c r="G3483" s="526" t="s">
        <v>5994</v>
      </c>
      <c r="H3483" s="412">
        <v>891.64607999999998</v>
      </c>
      <c r="I3483" s="411">
        <v>32.20214</v>
      </c>
      <c r="J3483" s="411">
        <v>131.79419999999999</v>
      </c>
      <c r="K3483" s="411">
        <v>12258.529769999999</v>
      </c>
      <c r="L3483" s="526" t="s">
        <v>553</v>
      </c>
    </row>
    <row r="3484" spans="1:12" ht="15" x14ac:dyDescent="0.25">
      <c r="A3484">
        <v>405425</v>
      </c>
      <c r="B3484" t="str">
        <f t="shared" si="140"/>
        <v>SEVROLL 05178 Gemini horné vedenie 4,05m čierna lesk</v>
      </c>
      <c r="C3484" s="198">
        <f t="shared" si="141"/>
        <v>43.47289</v>
      </c>
      <c r="D3484" s="526" t="s">
        <v>1491</v>
      </c>
      <c r="E3484" s="526" t="s">
        <v>1921</v>
      </c>
      <c r="F3484" s="526" t="s">
        <v>5995</v>
      </c>
      <c r="G3484" s="526" t="s">
        <v>5996</v>
      </c>
      <c r="H3484" s="412">
        <v>1203.8651</v>
      </c>
      <c r="I3484" s="411">
        <v>43.47289</v>
      </c>
      <c r="J3484" s="411">
        <v>177.9186</v>
      </c>
      <c r="K3484" s="411">
        <v>16549.015370000001</v>
      </c>
      <c r="L3484" s="526" t="s">
        <v>553</v>
      </c>
    </row>
    <row r="3485" spans="1:12" ht="15" x14ac:dyDescent="0.25">
      <c r="A3485">
        <v>405426</v>
      </c>
      <c r="B3485" t="str">
        <f t="shared" si="140"/>
        <v>SEVROLL 05179 Gemini horné vedenie 6m čierna lesk</v>
      </c>
      <c r="C3485" s="198">
        <f t="shared" si="141"/>
        <v>64.404290000000003</v>
      </c>
      <c r="D3485" s="526" t="s">
        <v>1492</v>
      </c>
      <c r="E3485" s="526" t="s">
        <v>1922</v>
      </c>
      <c r="F3485" s="526" t="s">
        <v>5997</v>
      </c>
      <c r="G3485" s="526" t="s">
        <v>2451</v>
      </c>
      <c r="H3485" s="412">
        <v>1783.29216</v>
      </c>
      <c r="I3485" s="411">
        <v>64.404290000000003</v>
      </c>
      <c r="J3485" s="411">
        <v>263.56799999999998</v>
      </c>
      <c r="K3485" s="411">
        <v>24517.05991</v>
      </c>
      <c r="L3485" s="526" t="s">
        <v>554</v>
      </c>
    </row>
    <row r="3486" spans="1:12" ht="15" x14ac:dyDescent="0.25">
      <c r="A3486">
        <v>405427</v>
      </c>
      <c r="B3486" t="str">
        <f t="shared" si="140"/>
        <v>SEVROLL 05167 maska Elegant II 1,7m čierna lesk</v>
      </c>
      <c r="C3486" s="198">
        <f t="shared" si="141"/>
        <v>3.3074400000000002</v>
      </c>
      <c r="D3486" s="526" t="s">
        <v>1493</v>
      </c>
      <c r="E3486" s="526" t="s">
        <v>1923</v>
      </c>
      <c r="F3486" s="526" t="s">
        <v>5998</v>
      </c>
      <c r="G3486" s="526" t="s">
        <v>2452</v>
      </c>
      <c r="H3486" s="412">
        <v>91.450879999999998</v>
      </c>
      <c r="I3486" s="411">
        <v>3.3074400000000002</v>
      </c>
      <c r="J3486" s="411">
        <v>12.199199999999999</v>
      </c>
      <c r="K3486" s="411">
        <v>1259.0531100000001</v>
      </c>
      <c r="L3486" s="526" t="s">
        <v>553</v>
      </c>
    </row>
    <row r="3487" spans="1:12" ht="15" x14ac:dyDescent="0.25">
      <c r="A3487">
        <v>405428</v>
      </c>
      <c r="B3487" t="str">
        <f t="shared" si="140"/>
        <v>SEVROLL 05169 maska Elegant II 3m čierna lesk</v>
      </c>
      <c r="C3487" s="198">
        <f t="shared" si="141"/>
        <v>5.8366499999999997</v>
      </c>
      <c r="D3487" s="526" t="s">
        <v>1494</v>
      </c>
      <c r="E3487" s="526" t="s">
        <v>1924</v>
      </c>
      <c r="F3487" s="526" t="s">
        <v>5999</v>
      </c>
      <c r="G3487" s="526" t="s">
        <v>2453</v>
      </c>
      <c r="H3487" s="412">
        <v>161.46796000000001</v>
      </c>
      <c r="I3487" s="411">
        <v>5.8366499999999997</v>
      </c>
      <c r="J3487" s="411">
        <v>21.542400000000001</v>
      </c>
      <c r="K3487" s="411">
        <v>2221.8586500000001</v>
      </c>
      <c r="L3487" s="526" t="s">
        <v>553</v>
      </c>
    </row>
    <row r="3488" spans="1:12" ht="15" x14ac:dyDescent="0.25">
      <c r="A3488">
        <v>405429</v>
      </c>
      <c r="B3488" t="str">
        <f t="shared" si="140"/>
        <v>SEVROLL 05170 maska Elegant II 4,05m čierna lesk</v>
      </c>
      <c r="C3488" s="198">
        <f t="shared" si="141"/>
        <v>7.8794599999999999</v>
      </c>
      <c r="D3488" s="526" t="s">
        <v>1495</v>
      </c>
      <c r="E3488" s="526" t="s">
        <v>1925</v>
      </c>
      <c r="F3488" s="526" t="s">
        <v>6000</v>
      </c>
      <c r="G3488" s="526" t="s">
        <v>2454</v>
      </c>
      <c r="H3488" s="412">
        <v>217.91030000000001</v>
      </c>
      <c r="I3488" s="411">
        <v>7.8794599999999999</v>
      </c>
      <c r="J3488" s="411">
        <v>29.07</v>
      </c>
      <c r="K3488" s="411">
        <v>2999.5093700000002</v>
      </c>
      <c r="L3488" s="526" t="s">
        <v>553</v>
      </c>
    </row>
    <row r="3489" spans="1:12" ht="15" x14ac:dyDescent="0.25">
      <c r="A3489">
        <v>405430</v>
      </c>
      <c r="B3489" t="str">
        <f t="shared" si="140"/>
        <v>SEVROLL 05171 maska Elegant II 6m čierna lesk</v>
      </c>
      <c r="C3489" s="198">
        <f t="shared" si="141"/>
        <v>11.67327</v>
      </c>
      <c r="D3489" s="526" t="s">
        <v>1496</v>
      </c>
      <c r="E3489" s="526" t="s">
        <v>1926</v>
      </c>
      <c r="F3489" s="526" t="s">
        <v>6001</v>
      </c>
      <c r="G3489" s="526" t="s">
        <v>2455</v>
      </c>
      <c r="H3489" s="412">
        <v>322.93592000000001</v>
      </c>
      <c r="I3489" s="411">
        <v>11.67327</v>
      </c>
      <c r="J3489" s="411">
        <v>43.084800000000001</v>
      </c>
      <c r="K3489" s="411">
        <v>4443.7172700000001</v>
      </c>
      <c r="L3489" s="526" t="s">
        <v>554</v>
      </c>
    </row>
    <row r="3490" spans="1:12" ht="15" x14ac:dyDescent="0.25">
      <c r="A3490">
        <v>406342</v>
      </c>
      <c r="B3490" t="str">
        <f t="shared" si="140"/>
        <v>SEVROLL Porto úchytová lišta 3m strieborn</v>
      </c>
      <c r="C3490" s="198" t="e">
        <f t="shared" si="141"/>
        <v>#N/A</v>
      </c>
      <c r="D3490" s="526" t="s">
        <v>1339</v>
      </c>
      <c r="E3490" s="526" t="s">
        <v>1792</v>
      </c>
      <c r="F3490" s="526" t="s">
        <v>2175</v>
      </c>
      <c r="G3490" s="526" t="s">
        <v>2372</v>
      </c>
      <c r="H3490" s="412" t="e">
        <v>#N/A</v>
      </c>
      <c r="I3490" s="411" t="e">
        <v>#N/A</v>
      </c>
      <c r="J3490" s="411" t="e">
        <v>#N/A</v>
      </c>
      <c r="K3490" s="411" t="e">
        <v>#N/A</v>
      </c>
      <c r="L3490" s="526" t="e">
        <v>#N/A</v>
      </c>
    </row>
    <row r="3491" spans="1:12" ht="15" x14ac:dyDescent="0.25">
      <c r="A3491">
        <v>406343</v>
      </c>
      <c r="B3491" t="str">
        <f t="shared" si="140"/>
        <v>SEVROLL Porto úchytová lišta 3m oliva</v>
      </c>
      <c r="C3491" s="198" t="e">
        <f t="shared" si="141"/>
        <v>#N/A</v>
      </c>
      <c r="D3491" s="526" t="s">
        <v>1340</v>
      </c>
      <c r="E3491" s="526" t="s">
        <v>1793</v>
      </c>
      <c r="F3491" s="526" t="s">
        <v>2176</v>
      </c>
      <c r="G3491" s="526" t="s">
        <v>2373</v>
      </c>
      <c r="H3491" s="412" t="e">
        <v>#N/A</v>
      </c>
      <c r="I3491" s="411" t="e">
        <v>#N/A</v>
      </c>
      <c r="J3491" s="411" t="e">
        <v>#N/A</v>
      </c>
      <c r="K3491" s="411" t="e">
        <v>#N/A</v>
      </c>
      <c r="L3491" s="526" t="e">
        <v>#N/A</v>
      </c>
    </row>
    <row r="3492" spans="1:12" ht="15" x14ac:dyDescent="0.25">
      <c r="A3492">
        <v>406344</v>
      </c>
      <c r="B3492" t="str">
        <f t="shared" si="140"/>
        <v>SEVROLL Maxim horné vedenie 1,8m oliva</v>
      </c>
      <c r="C3492" s="198" t="e">
        <f t="shared" si="141"/>
        <v>#N/A</v>
      </c>
      <c r="D3492" s="526" t="s">
        <v>1341</v>
      </c>
      <c r="E3492" s="526" t="s">
        <v>1794</v>
      </c>
      <c r="F3492" s="526" t="s">
        <v>2177</v>
      </c>
      <c r="G3492" s="526" t="s">
        <v>2374</v>
      </c>
      <c r="H3492" s="412" t="e">
        <v>#N/A</v>
      </c>
      <c r="I3492" s="411" t="e">
        <v>#N/A</v>
      </c>
      <c r="J3492" s="411" t="e">
        <v>#N/A</v>
      </c>
      <c r="K3492" s="411" t="e">
        <v>#N/A</v>
      </c>
      <c r="L3492" s="526" t="e">
        <v>#N/A</v>
      </c>
    </row>
    <row r="3493" spans="1:12" ht="15" x14ac:dyDescent="0.25">
      <c r="A3493">
        <v>406463</v>
      </c>
      <c r="B3493" t="str">
        <f t="shared" si="140"/>
        <v>SEVROLL 05293 spojovacia lišta H18 3m biela mat</v>
      </c>
      <c r="C3493" s="198">
        <f t="shared" si="141"/>
        <v>15.456</v>
      </c>
      <c r="D3493" s="526" t="s">
        <v>1342</v>
      </c>
      <c r="E3493" s="526" t="s">
        <v>1795</v>
      </c>
      <c r="F3493" s="526" t="s">
        <v>5805</v>
      </c>
      <c r="G3493" s="526" t="s">
        <v>2375</v>
      </c>
      <c r="H3493" s="412">
        <v>427.96154000000001</v>
      </c>
      <c r="I3493" s="411">
        <v>15.456</v>
      </c>
      <c r="J3493" s="411">
        <v>62.464799999999997</v>
      </c>
      <c r="K3493" s="411">
        <v>5883.7013900000002</v>
      </c>
      <c r="L3493" s="526" t="s">
        <v>553</v>
      </c>
    </row>
    <row r="3494" spans="1:12" ht="15" x14ac:dyDescent="0.25">
      <c r="A3494">
        <v>406464</v>
      </c>
      <c r="B3494" t="str">
        <f t="shared" si="140"/>
        <v>SEVROLL 05291 profil "U" pre lamino 18mm 3m biela mat</v>
      </c>
      <c r="C3494" s="198">
        <f t="shared" si="141"/>
        <v>6.1411100000000003</v>
      </c>
      <c r="D3494" s="526" t="s">
        <v>1343</v>
      </c>
      <c r="E3494" s="526" t="s">
        <v>1796</v>
      </c>
      <c r="F3494" s="526" t="s">
        <v>5806</v>
      </c>
      <c r="G3494" s="526" t="s">
        <v>2376</v>
      </c>
      <c r="H3494" s="412">
        <v>170.04148000000001</v>
      </c>
      <c r="I3494" s="411">
        <v>6.1411100000000003</v>
      </c>
      <c r="J3494" s="411">
        <v>27.009599999999999</v>
      </c>
      <c r="K3494" s="411">
        <v>2337.7643699999999</v>
      </c>
      <c r="L3494" s="526" t="s">
        <v>554</v>
      </c>
    </row>
    <row r="3495" spans="1:12" ht="15" x14ac:dyDescent="0.25">
      <c r="A3495">
        <v>409670</v>
      </c>
      <c r="B3495" t="str">
        <f t="shared" si="140"/>
        <v>SEVROLL 05314 Gemini horné vedenie 2,35m čierna mat</v>
      </c>
      <c r="C3495" s="198">
        <f t="shared" si="141"/>
        <v>25.225020000000001</v>
      </c>
      <c r="D3495" s="526" t="s">
        <v>1433</v>
      </c>
      <c r="E3495" s="526" t="s">
        <v>1877</v>
      </c>
      <c r="F3495" s="526" t="s">
        <v>5893</v>
      </c>
      <c r="G3495" s="526" t="s">
        <v>5894</v>
      </c>
      <c r="H3495" s="412">
        <v>698.74188000000004</v>
      </c>
      <c r="I3495" s="411">
        <v>25.225020000000001</v>
      </c>
      <c r="J3495" s="411">
        <v>103.20359999999999</v>
      </c>
      <c r="K3495" s="411">
        <v>9602.5149299999994</v>
      </c>
      <c r="L3495" s="526" t="s">
        <v>553</v>
      </c>
    </row>
    <row r="3496" spans="1:12" ht="15" x14ac:dyDescent="0.25">
      <c r="A3496">
        <v>409674</v>
      </c>
      <c r="B3496" t="str">
        <f t="shared" si="140"/>
        <v>SEVROLL 04835 Gemini horné vedenie  4,05m čierna mat</v>
      </c>
      <c r="C3496" s="198">
        <f t="shared" si="141"/>
        <v>43.47289</v>
      </c>
      <c r="D3496" s="526" t="s">
        <v>1434</v>
      </c>
      <c r="E3496" s="526" t="s">
        <v>1878</v>
      </c>
      <c r="F3496" s="526" t="s">
        <v>5895</v>
      </c>
      <c r="G3496" s="526" t="s">
        <v>5896</v>
      </c>
      <c r="H3496" s="412">
        <v>1203.8651</v>
      </c>
      <c r="I3496" s="411">
        <v>43.47289</v>
      </c>
      <c r="J3496" s="411">
        <v>177.9186</v>
      </c>
      <c r="K3496" s="411">
        <v>16549.015370000001</v>
      </c>
      <c r="L3496" s="526" t="s">
        <v>553</v>
      </c>
    </row>
    <row r="3497" spans="1:12" ht="15" x14ac:dyDescent="0.25">
      <c r="A3497">
        <v>409676</v>
      </c>
      <c r="B3497" t="str">
        <f t="shared" si="140"/>
        <v>SEVROLL 05311 Elegant II spodné vedenie 4,05m čierna mat</v>
      </c>
      <c r="C3497" s="198">
        <f t="shared" si="141"/>
        <v>25.449750000000002</v>
      </c>
      <c r="D3497" s="526" t="s">
        <v>1435</v>
      </c>
      <c r="E3497" s="526" t="s">
        <v>1879</v>
      </c>
      <c r="F3497" s="526" t="s">
        <v>5897</v>
      </c>
      <c r="G3497" s="526" t="s">
        <v>5898</v>
      </c>
      <c r="H3497" s="412">
        <v>704.45755999999994</v>
      </c>
      <c r="I3497" s="411">
        <v>25.449750000000002</v>
      </c>
      <c r="J3497" s="411">
        <v>96.930599999999998</v>
      </c>
      <c r="K3497" s="411">
        <v>9688.0696700000008</v>
      </c>
      <c r="L3497" s="526" t="s">
        <v>553</v>
      </c>
    </row>
    <row r="3498" spans="1:12" ht="15" x14ac:dyDescent="0.25">
      <c r="A3498">
        <v>409678</v>
      </c>
      <c r="B3498" t="str">
        <f t="shared" si="140"/>
        <v>SEVROLL 05309 Elegant II spodné vedenie 2,35m čierna mat</v>
      </c>
      <c r="C3498" s="198">
        <f t="shared" si="141"/>
        <v>14.79285</v>
      </c>
      <c r="D3498" s="526" t="s">
        <v>1436</v>
      </c>
      <c r="E3498" s="526" t="s">
        <v>1880</v>
      </c>
      <c r="F3498" s="526" t="s">
        <v>5899</v>
      </c>
      <c r="G3498" s="526" t="s">
        <v>5900</v>
      </c>
      <c r="H3498" s="412">
        <v>409.38558</v>
      </c>
      <c r="I3498" s="411">
        <v>14.79285</v>
      </c>
      <c r="J3498" s="411">
        <v>56.242800000000003</v>
      </c>
      <c r="K3498" s="411">
        <v>5631.26206</v>
      </c>
      <c r="L3498" s="526" t="s">
        <v>553</v>
      </c>
    </row>
    <row r="3499" spans="1:12" ht="15" x14ac:dyDescent="0.25">
      <c r="A3499">
        <v>409679</v>
      </c>
      <c r="B3499" t="str">
        <f t="shared" si="140"/>
        <v>SEVROLL 05318 maska Elegant II 2,35m čierna mat</v>
      </c>
      <c r="C3499" s="198">
        <f t="shared" si="141"/>
        <v>4.5720400000000003</v>
      </c>
      <c r="D3499" s="526" t="s">
        <v>1437</v>
      </c>
      <c r="E3499" s="526" t="s">
        <v>1881</v>
      </c>
      <c r="F3499" s="526" t="s">
        <v>5901</v>
      </c>
      <c r="G3499" s="526" t="s">
        <v>5902</v>
      </c>
      <c r="H3499" s="412">
        <v>126.45941999999999</v>
      </c>
      <c r="I3499" s="411">
        <v>4.5720400000000003</v>
      </c>
      <c r="J3499" s="411">
        <v>16.870799999999999</v>
      </c>
      <c r="K3499" s="411">
        <v>1740.45587</v>
      </c>
      <c r="L3499" s="526" t="s">
        <v>553</v>
      </c>
    </row>
    <row r="3500" spans="1:12" ht="15" x14ac:dyDescent="0.25">
      <c r="A3500">
        <v>409680</v>
      </c>
      <c r="B3500" t="str">
        <f t="shared" si="140"/>
        <v>SEVROLL 05320 maska Elegant II 4,05m čierna mat</v>
      </c>
      <c r="C3500" s="198">
        <f t="shared" si="141"/>
        <v>7.8794599999999999</v>
      </c>
      <c r="D3500" s="526" t="s">
        <v>1438</v>
      </c>
      <c r="E3500" s="526" t="s">
        <v>1882</v>
      </c>
      <c r="F3500" s="526" t="s">
        <v>5903</v>
      </c>
      <c r="G3500" s="526" t="s">
        <v>5904</v>
      </c>
      <c r="H3500" s="412">
        <v>217.91030000000001</v>
      </c>
      <c r="I3500" s="411">
        <v>7.8794599999999999</v>
      </c>
      <c r="J3500" s="411">
        <v>29.07</v>
      </c>
      <c r="K3500" s="411">
        <v>2999.5093700000002</v>
      </c>
      <c r="L3500" s="526" t="s">
        <v>553</v>
      </c>
    </row>
    <row r="3501" spans="1:12" ht="15" x14ac:dyDescent="0.25">
      <c r="A3501">
        <v>409682</v>
      </c>
      <c r="B3501" t="str">
        <f t="shared" si="140"/>
        <v>SEVROLL 05297 uholník Mini 17x11mm 2,35m čierna mat</v>
      </c>
      <c r="C3501" s="198">
        <f t="shared" si="141"/>
        <v>4.3607100000000001</v>
      </c>
      <c r="D3501" s="526" t="s">
        <v>5905</v>
      </c>
      <c r="E3501" s="526" t="s">
        <v>5906</v>
      </c>
      <c r="F3501" s="526" t="s">
        <v>5907</v>
      </c>
      <c r="G3501" s="526" t="s">
        <v>5908</v>
      </c>
      <c r="H3501" s="412">
        <v>120.74374</v>
      </c>
      <c r="I3501" s="411">
        <v>4.3607100000000001</v>
      </c>
      <c r="J3501" s="411">
        <v>16.901399999999999</v>
      </c>
      <c r="K3501" s="411">
        <v>1660.00919</v>
      </c>
      <c r="L3501" s="526" t="s">
        <v>553</v>
      </c>
    </row>
    <row r="3502" spans="1:12" ht="15" x14ac:dyDescent="0.25">
      <c r="A3502">
        <v>409683</v>
      </c>
      <c r="B3502" t="str">
        <f t="shared" si="140"/>
        <v>SEVROLL 05304 spojovacia lišta H18 3m čierna mat</v>
      </c>
      <c r="C3502" s="198">
        <f t="shared" si="141"/>
        <v>15.456</v>
      </c>
      <c r="D3502" s="526" t="s">
        <v>1439</v>
      </c>
      <c r="E3502" s="526" t="s">
        <v>1883</v>
      </c>
      <c r="F3502" s="526" t="s">
        <v>5909</v>
      </c>
      <c r="G3502" s="526" t="s">
        <v>2430</v>
      </c>
      <c r="H3502" s="412">
        <v>427.96154000000001</v>
      </c>
      <c r="I3502" s="411">
        <v>15.456</v>
      </c>
      <c r="J3502" s="411">
        <v>62.464799999999997</v>
      </c>
      <c r="K3502" s="411">
        <v>5883.7013900000002</v>
      </c>
      <c r="L3502" s="526" t="s">
        <v>553</v>
      </c>
    </row>
    <row r="3503" spans="1:12" ht="15" x14ac:dyDescent="0.25">
      <c r="A3503">
        <v>409700</v>
      </c>
      <c r="B3503" t="str">
        <f t="shared" si="140"/>
        <v>SEVROLL 20334-SV dorazová štetina zásuvná 14x4mm čierna</v>
      </c>
      <c r="C3503" s="198">
        <f t="shared" si="141"/>
        <v>0.37526999999999999</v>
      </c>
      <c r="D3503" s="526" t="s">
        <v>1440</v>
      </c>
      <c r="E3503" s="526" t="s">
        <v>1884</v>
      </c>
      <c r="F3503" s="526" t="s">
        <v>5910</v>
      </c>
      <c r="G3503" s="526" t="s">
        <v>5911</v>
      </c>
      <c r="H3503" s="412">
        <v>11.372249999999999</v>
      </c>
      <c r="I3503" s="411">
        <v>0.37526999999999999</v>
      </c>
      <c r="J3503" s="411">
        <v>1.43</v>
      </c>
      <c r="K3503" s="411">
        <v>145.77422999999999</v>
      </c>
      <c r="L3503" s="526" t="s">
        <v>553</v>
      </c>
    </row>
    <row r="3504" spans="1:12" ht="15" x14ac:dyDescent="0.25">
      <c r="A3504">
        <v>409699</v>
      </c>
      <c r="B3504" t="str">
        <f t="shared" si="140"/>
        <v>SEVROLL 20403-SV dorazová štetina zásuvná 4,8x4mm čierna</v>
      </c>
      <c r="C3504" s="198">
        <f t="shared" si="141"/>
        <v>0.15629999999999999</v>
      </c>
      <c r="D3504" s="526" t="s">
        <v>1441</v>
      </c>
      <c r="E3504" s="526" t="s">
        <v>1885</v>
      </c>
      <c r="F3504" s="526" t="s">
        <v>5912</v>
      </c>
      <c r="G3504" s="526" t="s">
        <v>5913</v>
      </c>
      <c r="H3504" s="412">
        <v>4.5774800000000004</v>
      </c>
      <c r="I3504" s="411">
        <v>0.15629999999999999</v>
      </c>
      <c r="J3504" s="411">
        <v>0.59360000000000002</v>
      </c>
      <c r="K3504" s="411">
        <v>60.709229999999998</v>
      </c>
      <c r="L3504" s="526" t="s">
        <v>553</v>
      </c>
    </row>
    <row r="3505" spans="1:12" ht="15" x14ac:dyDescent="0.25">
      <c r="A3505">
        <v>412226</v>
      </c>
      <c r="B3505" t="str">
        <f t="shared" si="140"/>
        <v>SEVROLL 05298 uholník Mini 17x11mm 3m čierna mat</v>
      </c>
      <c r="C3505" s="198">
        <f t="shared" si="141"/>
        <v>5.5734500000000002</v>
      </c>
      <c r="D3505" s="526" t="s">
        <v>6075</v>
      </c>
      <c r="E3505" s="526" t="s">
        <v>6076</v>
      </c>
      <c r="F3505" s="526" t="s">
        <v>6077</v>
      </c>
      <c r="G3505" s="526" t="s">
        <v>6078</v>
      </c>
      <c r="H3505" s="412">
        <v>154.32336000000001</v>
      </c>
      <c r="I3505" s="411">
        <v>5.5734500000000002</v>
      </c>
      <c r="J3505" s="411">
        <v>21.583200000000001</v>
      </c>
      <c r="K3505" s="411">
        <v>2121.6687099999999</v>
      </c>
      <c r="L3505" s="526" t="s">
        <v>553</v>
      </c>
    </row>
    <row r="3506" spans="1:12" ht="15" x14ac:dyDescent="0.25">
      <c r="A3506">
        <v>412229</v>
      </c>
      <c r="B3506" t="str">
        <f t="shared" si="140"/>
        <v>SEVROLL 05315 Gemini horné vedenie 3m čierna mat</v>
      </c>
      <c r="C3506" s="198">
        <f t="shared" si="141"/>
        <v>32.20214</v>
      </c>
      <c r="D3506" s="526" t="s">
        <v>1566</v>
      </c>
      <c r="E3506" s="526" t="s">
        <v>1994</v>
      </c>
      <c r="F3506" s="526" t="s">
        <v>6079</v>
      </c>
      <c r="G3506" s="526" t="s">
        <v>6080</v>
      </c>
      <c r="H3506" s="412">
        <v>891.64607999999998</v>
      </c>
      <c r="I3506" s="411">
        <v>32.20214</v>
      </c>
      <c r="J3506" s="411">
        <v>131.79419999999999</v>
      </c>
      <c r="K3506" s="411">
        <v>12258.529769999999</v>
      </c>
      <c r="L3506" s="526" t="s">
        <v>553</v>
      </c>
    </row>
    <row r="3507" spans="1:12" ht="15" x14ac:dyDescent="0.25">
      <c r="A3507">
        <v>412231</v>
      </c>
      <c r="B3507" t="str">
        <f t="shared" si="140"/>
        <v>SEVROLL 05310 Elegant II spodné vedenie 3m čierna mat</v>
      </c>
      <c r="C3507" s="198">
        <f t="shared" si="141"/>
        <v>18.777889999999999</v>
      </c>
      <c r="D3507" s="526" t="s">
        <v>1567</v>
      </c>
      <c r="E3507" s="526" t="s">
        <v>1995</v>
      </c>
      <c r="F3507" s="526" t="s">
        <v>6081</v>
      </c>
      <c r="G3507" s="526" t="s">
        <v>6082</v>
      </c>
      <c r="H3507" s="412">
        <v>520.12688000000003</v>
      </c>
      <c r="I3507" s="411">
        <v>18.777889999999999</v>
      </c>
      <c r="J3507" s="411">
        <v>71.808000000000007</v>
      </c>
      <c r="K3507" s="411">
        <v>7148.2553099999996</v>
      </c>
      <c r="L3507" s="526" t="s">
        <v>553</v>
      </c>
    </row>
    <row r="3508" spans="1:12" ht="15" x14ac:dyDescent="0.25">
      <c r="A3508">
        <v>413734</v>
      </c>
      <c r="B3508" t="str">
        <f t="shared" si="140"/>
        <v/>
      </c>
      <c r="C3508" s="198">
        <f t="shared" si="141"/>
        <v>0</v>
      </c>
      <c r="D3508" s="526" t="s">
        <v>1389</v>
      </c>
      <c r="E3508" s="526" t="s">
        <v>1839</v>
      </c>
      <c r="F3508" s="526" t="s">
        <v>71</v>
      </c>
      <c r="G3508" s="526" t="s">
        <v>5863</v>
      </c>
      <c r="H3508" s="412">
        <v>0</v>
      </c>
      <c r="I3508" s="411">
        <v>0</v>
      </c>
      <c r="J3508" s="411">
        <v>5.6100000000000004E-3</v>
      </c>
      <c r="K3508" s="411">
        <v>0</v>
      </c>
      <c r="L3508" s="526" t="s">
        <v>556</v>
      </c>
    </row>
    <row r="3509" spans="1:12" ht="15" x14ac:dyDescent="0.25">
      <c r="A3509">
        <v>413735</v>
      </c>
      <c r="B3509" t="str">
        <f t="shared" si="140"/>
        <v/>
      </c>
      <c r="C3509" s="198">
        <f t="shared" si="141"/>
        <v>8.7144200000000005</v>
      </c>
      <c r="D3509" s="526" t="s">
        <v>1390</v>
      </c>
      <c r="E3509" s="526" t="s">
        <v>1839</v>
      </c>
      <c r="F3509" s="526" t="s">
        <v>71</v>
      </c>
      <c r="G3509" s="526" t="s">
        <v>5864</v>
      </c>
      <c r="H3509" s="412">
        <v>0</v>
      </c>
      <c r="I3509" s="411">
        <v>8.7144200000000005</v>
      </c>
      <c r="J3509" s="411">
        <v>5.6100000000000004E-3</v>
      </c>
      <c r="K3509" s="411">
        <v>3737.4312599999998</v>
      </c>
      <c r="L3509" s="526" t="s">
        <v>556</v>
      </c>
    </row>
    <row r="3510" spans="1:12" ht="15" x14ac:dyDescent="0.25">
      <c r="A3510">
        <v>414086</v>
      </c>
      <c r="B3510" t="str">
        <f t="shared" si="140"/>
        <v>SEVROLL 05319 maska Elegant II 3m čierna mat</v>
      </c>
      <c r="C3510" s="198">
        <f t="shared" si="141"/>
        <v>5.8366499999999997</v>
      </c>
      <c r="D3510" s="526" t="s">
        <v>1391</v>
      </c>
      <c r="E3510" s="526" t="s">
        <v>1840</v>
      </c>
      <c r="F3510" s="526" t="s">
        <v>5865</v>
      </c>
      <c r="G3510" s="526" t="s">
        <v>5866</v>
      </c>
      <c r="H3510" s="412">
        <v>161.46796000000001</v>
      </c>
      <c r="I3510" s="411">
        <v>5.8366499999999997</v>
      </c>
      <c r="J3510" s="411">
        <v>21.542400000000001</v>
      </c>
      <c r="K3510" s="411">
        <v>2221.8586500000001</v>
      </c>
      <c r="L3510" s="526" t="s">
        <v>553</v>
      </c>
    </row>
    <row r="3511" spans="1:12" ht="15" x14ac:dyDescent="0.25">
      <c r="A3511">
        <v>416695</v>
      </c>
      <c r="B3511" t="str">
        <f t="shared" si="140"/>
        <v>SEVROLL Harmony sada kovania pre dvoje dvere</v>
      </c>
      <c r="C3511" s="198" t="e">
        <f t="shared" si="141"/>
        <v>#N/A</v>
      </c>
      <c r="D3511" s="526" t="s">
        <v>1385</v>
      </c>
      <c r="E3511" s="526" t="s">
        <v>1837</v>
      </c>
      <c r="F3511" s="526" t="s">
        <v>2185</v>
      </c>
      <c r="G3511" s="526" t="s">
        <v>2402</v>
      </c>
      <c r="H3511" s="412" t="e">
        <v>#N/A</v>
      </c>
      <c r="I3511" s="411" t="e">
        <v>#N/A</v>
      </c>
      <c r="J3511" s="411" t="e">
        <v>#N/A</v>
      </c>
      <c r="K3511" s="411" t="e">
        <v>#N/A</v>
      </c>
      <c r="L3511" s="526" t="e">
        <v>#N/A</v>
      </c>
    </row>
    <row r="3512" spans="1:12" ht="15" x14ac:dyDescent="0.25">
      <c r="A3512">
        <v>421952</v>
      </c>
      <c r="B3512" t="str">
        <f t="shared" ref="B3512:B3574" si="142">IF($A$2=1,D3512,IF($A$2=2,F3512,IF($A$2=3,G3512,IF($A$2=4,E3512,"zadat jazyk"))))</f>
        <v>SEVROLL Elegant spod.ved. 150mm biela mat</v>
      </c>
      <c r="C3512" s="198">
        <f t="shared" ref="C3512:C3575" si="143">IF($A$2=1,H3512,IF($A$2=2,I3512,IF($A$2=3,J3512,IF($A$2=4,K3512,"zadat jazyk"))))</f>
        <v>0</v>
      </c>
      <c r="D3512" s="526" t="s">
        <v>1306</v>
      </c>
      <c r="E3512" s="526" t="s">
        <v>1758</v>
      </c>
      <c r="F3512" s="526" t="s">
        <v>2173</v>
      </c>
      <c r="G3512" s="526" t="s">
        <v>2341</v>
      </c>
      <c r="H3512" s="412">
        <v>0</v>
      </c>
      <c r="I3512" s="411">
        <v>0</v>
      </c>
      <c r="J3512" s="411">
        <v>0</v>
      </c>
      <c r="K3512" s="411">
        <v>0</v>
      </c>
      <c r="L3512" s="526" t="s">
        <v>554</v>
      </c>
    </row>
    <row r="3513" spans="1:12" ht="15" x14ac:dyDescent="0.25">
      <c r="A3513">
        <v>421953</v>
      </c>
      <c r="B3513" t="str">
        <f t="shared" si="142"/>
        <v>SEVROLL Elegant II spodné vedenie 150mm čierna lesk (vzorka)</v>
      </c>
      <c r="C3513" s="198">
        <f t="shared" si="143"/>
        <v>0</v>
      </c>
      <c r="D3513" s="526" t="s">
        <v>1307</v>
      </c>
      <c r="E3513" s="526" t="s">
        <v>1759</v>
      </c>
      <c r="F3513" s="526" t="s">
        <v>5771</v>
      </c>
      <c r="G3513" s="526" t="s">
        <v>2342</v>
      </c>
      <c r="H3513" s="412">
        <v>0</v>
      </c>
      <c r="I3513" s="411">
        <v>0</v>
      </c>
      <c r="J3513" s="411">
        <v>0</v>
      </c>
      <c r="K3513" s="411">
        <v>0</v>
      </c>
      <c r="L3513" s="526" t="s">
        <v>554</v>
      </c>
    </row>
    <row r="3514" spans="1:12" ht="15" x14ac:dyDescent="0.25">
      <c r="A3514">
        <v>422008</v>
      </c>
      <c r="B3514" t="str">
        <f t="shared" si="142"/>
        <v>SEVROLL 05313 Gemini horné vedenie 1,7m čierna mat</v>
      </c>
      <c r="C3514" s="198">
        <f t="shared" si="143"/>
        <v>18.247890000000002</v>
      </c>
      <c r="D3514" s="526" t="s">
        <v>1309</v>
      </c>
      <c r="E3514" s="526" t="s">
        <v>1761</v>
      </c>
      <c r="F3514" s="526" t="s">
        <v>5774</v>
      </c>
      <c r="G3514" s="526" t="s">
        <v>5775</v>
      </c>
      <c r="H3514" s="412">
        <v>505.12322</v>
      </c>
      <c r="I3514" s="411">
        <v>18.247890000000002</v>
      </c>
      <c r="J3514" s="411">
        <v>74.653800000000004</v>
      </c>
      <c r="K3514" s="411">
        <v>6946.5004600000002</v>
      </c>
      <c r="L3514" s="526" t="s">
        <v>553</v>
      </c>
    </row>
    <row r="3515" spans="1:12" ht="15" x14ac:dyDescent="0.25">
      <c r="A3515">
        <v>422009</v>
      </c>
      <c r="B3515" t="str">
        <f t="shared" si="142"/>
        <v>SEVROLL 20406 Pax nalepovacia úchytka čierna mat</v>
      </c>
      <c r="C3515" s="198">
        <f t="shared" si="143"/>
        <v>9.4438999999999993</v>
      </c>
      <c r="D3515" s="526" t="s">
        <v>1310</v>
      </c>
      <c r="E3515" s="526" t="s">
        <v>1762</v>
      </c>
      <c r="F3515" s="526" t="s">
        <v>5776</v>
      </c>
      <c r="G3515" s="526" t="s">
        <v>2343</v>
      </c>
      <c r="H3515" s="412">
        <v>261.49236000000002</v>
      </c>
      <c r="I3515" s="411">
        <v>9.4438999999999993</v>
      </c>
      <c r="J3515" s="411">
        <v>31.827000000000002</v>
      </c>
      <c r="K3515" s="411">
        <v>3595.0497099999998</v>
      </c>
      <c r="L3515" s="526" t="s">
        <v>554</v>
      </c>
    </row>
    <row r="3516" spans="1:12" ht="15" x14ac:dyDescent="0.25">
      <c r="A3516">
        <v>422012</v>
      </c>
      <c r="B3516" t="str">
        <f t="shared" si="142"/>
        <v>SEVROLL 05327 Pax záslepka profilu (4 ks) čierna mat</v>
      </c>
      <c r="C3516" s="198">
        <f t="shared" si="143"/>
        <v>8.9897600000000004</v>
      </c>
      <c r="D3516" s="526" t="s">
        <v>1311</v>
      </c>
      <c r="E3516" s="526" t="s">
        <v>1763</v>
      </c>
      <c r="F3516" s="526" t="s">
        <v>5777</v>
      </c>
      <c r="G3516" s="526" t="s">
        <v>2344</v>
      </c>
      <c r="H3516" s="412">
        <v>263.83620000000002</v>
      </c>
      <c r="I3516" s="411">
        <v>8.9897600000000004</v>
      </c>
      <c r="J3516" s="411">
        <v>34.68</v>
      </c>
      <c r="K3516" s="411">
        <v>3492.0130800000002</v>
      </c>
      <c r="L3516" s="526" t="s">
        <v>554</v>
      </c>
    </row>
    <row r="3517" spans="1:12" ht="15" x14ac:dyDescent="0.25">
      <c r="A3517">
        <v>422013</v>
      </c>
      <c r="B3517" t="str">
        <f t="shared" si="142"/>
        <v>SEVROLL profil "U" pro lamino 18mm 3m čierna mat</v>
      </c>
      <c r="C3517" s="198">
        <f t="shared" si="143"/>
        <v>6.1411100000000003</v>
      </c>
      <c r="D3517" s="526" t="s">
        <v>1312</v>
      </c>
      <c r="E3517" s="526" t="s">
        <v>1764</v>
      </c>
      <c r="F3517" s="526" t="s">
        <v>2174</v>
      </c>
      <c r="G3517" s="526" t="s">
        <v>2345</v>
      </c>
      <c r="H3517" s="412">
        <v>170.04148000000001</v>
      </c>
      <c r="I3517" s="411">
        <v>6.1411100000000003</v>
      </c>
      <c r="J3517" s="411">
        <v>27.009599999999999</v>
      </c>
      <c r="K3517" s="411">
        <v>2337.7643699999999</v>
      </c>
      <c r="L3517" s="526" t="s">
        <v>553</v>
      </c>
    </row>
    <row r="3518" spans="1:12" ht="15" x14ac:dyDescent="0.25">
      <c r="A3518">
        <v>422014</v>
      </c>
      <c r="B3518" t="str">
        <f t="shared" si="142"/>
        <v>SEVROLL 05296 uholník Mini 17x11mm 1,7m čierna mat</v>
      </c>
      <c r="C3518" s="198">
        <f t="shared" si="143"/>
        <v>3.1479699999999999</v>
      </c>
      <c r="D3518" s="526" t="s">
        <v>5778</v>
      </c>
      <c r="E3518" s="526" t="s">
        <v>5779</v>
      </c>
      <c r="F3518" s="526" t="s">
        <v>5780</v>
      </c>
      <c r="G3518" s="526" t="s">
        <v>5781</v>
      </c>
      <c r="H3518" s="412">
        <v>87.164119999999997</v>
      </c>
      <c r="I3518" s="411">
        <v>3.1479699999999999</v>
      </c>
      <c r="J3518" s="411">
        <v>12.2094</v>
      </c>
      <c r="K3518" s="411">
        <v>1198.3500300000001</v>
      </c>
      <c r="L3518" s="526" t="s">
        <v>553</v>
      </c>
    </row>
    <row r="3519" spans="1:12" ht="15" x14ac:dyDescent="0.25">
      <c r="A3519">
        <v>422027</v>
      </c>
      <c r="B3519" t="str">
        <f t="shared" si="142"/>
        <v>SEVROLL 05299 Gemini 10 spodná krycia lišta 1,7m 10mm čierna mat</v>
      </c>
      <c r="C3519" s="198">
        <f t="shared" si="143"/>
        <v>18.887799999999999</v>
      </c>
      <c r="D3519" s="526" t="s">
        <v>3471</v>
      </c>
      <c r="E3519" s="526" t="s">
        <v>1765</v>
      </c>
      <c r="F3519" s="526" t="s">
        <v>5782</v>
      </c>
      <c r="G3519" s="526" t="s">
        <v>2346</v>
      </c>
      <c r="H3519" s="412">
        <v>522.98472000000004</v>
      </c>
      <c r="I3519" s="411">
        <v>18.887799999999999</v>
      </c>
      <c r="J3519" s="411">
        <v>70.369799999999998</v>
      </c>
      <c r="K3519" s="411">
        <v>7190.0994300000002</v>
      </c>
      <c r="L3519" s="526" t="s">
        <v>553</v>
      </c>
    </row>
    <row r="3520" spans="1:12" ht="15" x14ac:dyDescent="0.25">
      <c r="A3520">
        <v>422029</v>
      </c>
      <c r="B3520" t="str">
        <f t="shared" si="142"/>
        <v>SEVROLL 05300 Gemini 10 spodná krycia lišta 2,35m 10mm čierna mat</v>
      </c>
      <c r="C3520" s="198">
        <f t="shared" si="143"/>
        <v>26.086829999999999</v>
      </c>
      <c r="D3520" s="526" t="s">
        <v>3472</v>
      </c>
      <c r="E3520" s="526" t="s">
        <v>1766</v>
      </c>
      <c r="F3520" s="526" t="s">
        <v>5783</v>
      </c>
      <c r="G3520" s="526" t="s">
        <v>2347</v>
      </c>
      <c r="H3520" s="412">
        <v>722.31906000000004</v>
      </c>
      <c r="I3520" s="411">
        <v>26.086829999999999</v>
      </c>
      <c r="J3520" s="411">
        <v>97.287599999999998</v>
      </c>
      <c r="K3520" s="411">
        <v>9930.5880099999995</v>
      </c>
      <c r="L3520" s="526" t="s">
        <v>553</v>
      </c>
    </row>
    <row r="3521" spans="1:12" ht="15" x14ac:dyDescent="0.25">
      <c r="A3521">
        <v>422030</v>
      </c>
      <c r="B3521" t="str">
        <f t="shared" si="142"/>
        <v>SEVROLL 03604 Gemini 10 spodná krycia lišta 3m 10mm čierna mat</v>
      </c>
      <c r="C3521" s="198">
        <f t="shared" si="143"/>
        <v>33.38908</v>
      </c>
      <c r="D3521" s="526" t="s">
        <v>3473</v>
      </c>
      <c r="E3521" s="526" t="s">
        <v>1767</v>
      </c>
      <c r="F3521" s="526" t="s">
        <v>5784</v>
      </c>
      <c r="G3521" s="526" t="s">
        <v>2348</v>
      </c>
      <c r="H3521" s="412">
        <v>924.51124000000004</v>
      </c>
      <c r="I3521" s="411">
        <v>33.38908</v>
      </c>
      <c r="J3521" s="411">
        <v>124.22580000000001</v>
      </c>
      <c r="K3521" s="411">
        <v>12710.366690000001</v>
      </c>
      <c r="L3521" s="526" t="s">
        <v>553</v>
      </c>
    </row>
    <row r="3522" spans="1:12" ht="15" x14ac:dyDescent="0.25">
      <c r="A3522">
        <v>422032</v>
      </c>
      <c r="B3522" t="str">
        <f t="shared" si="142"/>
        <v>SEVROLL 05323 Gemini 4 Pax spodná krycia lišta 3m 4mm čierna mat</v>
      </c>
      <c r="C3522" s="198">
        <f t="shared" si="143"/>
        <v>33.543900000000001</v>
      </c>
      <c r="D3522" s="526" t="s">
        <v>3474</v>
      </c>
      <c r="E3522" s="526" t="s">
        <v>1768</v>
      </c>
      <c r="F3522" s="526" t="s">
        <v>5785</v>
      </c>
      <c r="G3522" s="526" t="s">
        <v>2349</v>
      </c>
      <c r="H3522" s="412">
        <v>928.798</v>
      </c>
      <c r="I3522" s="411">
        <v>33.543900000000001</v>
      </c>
      <c r="J3522" s="411">
        <v>129.11160000000001</v>
      </c>
      <c r="K3522" s="411">
        <v>12769.302</v>
      </c>
      <c r="L3522" s="526" t="s">
        <v>554</v>
      </c>
    </row>
    <row r="3523" spans="1:12" ht="15" x14ac:dyDescent="0.25">
      <c r="A3523">
        <v>422033</v>
      </c>
      <c r="B3523" t="str">
        <f t="shared" si="142"/>
        <v>SEVROLL 04418 Gemini 4 Pax XL spodná krycia lišta 3m 4mm biela lesk</v>
      </c>
      <c r="C3523" s="198">
        <f t="shared" si="143"/>
        <v>37.491759999999999</v>
      </c>
      <c r="D3523" s="526" t="s">
        <v>3475</v>
      </c>
      <c r="E3523" s="526" t="s">
        <v>1769</v>
      </c>
      <c r="F3523" s="526" t="s">
        <v>3589</v>
      </c>
      <c r="G3523" s="526" t="s">
        <v>2350</v>
      </c>
      <c r="H3523" s="412">
        <v>1038.1103800000001</v>
      </c>
      <c r="I3523" s="411">
        <v>37.491759999999999</v>
      </c>
      <c r="J3523" s="411">
        <v>145.11539999999999</v>
      </c>
      <c r="K3523" s="411">
        <v>14272.15047</v>
      </c>
      <c r="L3523" s="526" t="s">
        <v>554</v>
      </c>
    </row>
    <row r="3524" spans="1:12" ht="15" x14ac:dyDescent="0.25">
      <c r="A3524">
        <v>422036</v>
      </c>
      <c r="B3524" t="str">
        <f t="shared" si="142"/>
        <v>SEVROLL 04833 Gemini 4 Pax XL spodná krycia lišta 3m 4mm čierna mat</v>
      </c>
      <c r="C3524" s="198">
        <f t="shared" si="143"/>
        <v>37.491759999999999</v>
      </c>
      <c r="D3524" s="526" t="s">
        <v>3476</v>
      </c>
      <c r="E3524" s="526" t="s">
        <v>1770</v>
      </c>
      <c r="F3524" s="526" t="s">
        <v>5786</v>
      </c>
      <c r="G3524" s="526" t="s">
        <v>2351</v>
      </c>
      <c r="H3524" s="412">
        <v>1038.1103800000001</v>
      </c>
      <c r="I3524" s="411">
        <v>37.491759999999999</v>
      </c>
      <c r="J3524" s="411">
        <v>145.11539999999999</v>
      </c>
      <c r="K3524" s="411">
        <v>14272.15047</v>
      </c>
      <c r="L3524" s="526" t="s">
        <v>554</v>
      </c>
    </row>
    <row r="3525" spans="1:12" ht="15" x14ac:dyDescent="0.25">
      <c r="A3525">
        <v>422043</v>
      </c>
      <c r="B3525" t="str">
        <f t="shared" si="142"/>
        <v>SEVROLL 05301 horná vodiaca lišta 1,7m čierna mat</v>
      </c>
      <c r="C3525" s="198">
        <f t="shared" si="143"/>
        <v>10.39861</v>
      </c>
      <c r="D3525" s="526" t="s">
        <v>1318</v>
      </c>
      <c r="E3525" s="526" t="s">
        <v>1771</v>
      </c>
      <c r="F3525" s="526" t="s">
        <v>5787</v>
      </c>
      <c r="G3525" s="526" t="s">
        <v>2352</v>
      </c>
      <c r="H3525" s="412">
        <v>287.92738000000003</v>
      </c>
      <c r="I3525" s="411">
        <v>10.39861</v>
      </c>
      <c r="J3525" s="411">
        <v>59.986199999999997</v>
      </c>
      <c r="K3525" s="411">
        <v>3958.4834700000001</v>
      </c>
      <c r="L3525" s="526" t="s">
        <v>553</v>
      </c>
    </row>
    <row r="3526" spans="1:12" ht="15" x14ac:dyDescent="0.25">
      <c r="A3526">
        <v>425057</v>
      </c>
      <c r="B3526" t="str">
        <f t="shared" si="142"/>
        <v>SEVROLL 05307 Fox II úchytová lišta 2,7m čierna mat</v>
      </c>
      <c r="C3526" s="198">
        <f t="shared" si="143"/>
        <v>21.41649</v>
      </c>
      <c r="D3526" s="526" t="s">
        <v>1530</v>
      </c>
      <c r="E3526" s="526" t="s">
        <v>1957</v>
      </c>
      <c r="F3526" s="526" t="s">
        <v>6036</v>
      </c>
      <c r="G3526" s="526" t="s">
        <v>2477</v>
      </c>
      <c r="H3526" s="412">
        <v>593.0018</v>
      </c>
      <c r="I3526" s="411">
        <v>21.41649</v>
      </c>
      <c r="J3526" s="411">
        <v>80.416799999999995</v>
      </c>
      <c r="K3526" s="411">
        <v>8152.7082</v>
      </c>
      <c r="L3526" s="526" t="s">
        <v>553</v>
      </c>
    </row>
    <row r="3527" spans="1:12" ht="15" x14ac:dyDescent="0.25">
      <c r="A3527">
        <v>452601</v>
      </c>
      <c r="B3527" t="str">
        <f t="shared" si="142"/>
        <v>SEVROLL 05306 Faworyt II úchytová lišta 2,7m čierna mat</v>
      </c>
      <c r="C3527" s="198">
        <f t="shared" si="143"/>
        <v>16.22184</v>
      </c>
      <c r="D3527" s="526" t="s">
        <v>1372</v>
      </c>
      <c r="E3527" s="526" t="s">
        <v>1824</v>
      </c>
      <c r="F3527" s="526" t="s">
        <v>5841</v>
      </c>
      <c r="G3527" s="526" t="s">
        <v>5842</v>
      </c>
      <c r="H3527" s="412">
        <v>449.39533999999998</v>
      </c>
      <c r="I3527" s="411">
        <v>16.22184</v>
      </c>
      <c r="J3527" s="411">
        <v>60.088200000000001</v>
      </c>
      <c r="K3527" s="411">
        <v>6175.2344300000004</v>
      </c>
      <c r="L3527" s="526" t="s">
        <v>553</v>
      </c>
    </row>
    <row r="3528" spans="1:12" ht="15" x14ac:dyDescent="0.25">
      <c r="A3528">
        <v>452604</v>
      </c>
      <c r="B3528" t="str">
        <f t="shared" si="142"/>
        <v>SEVROLL 03606 spojovacia lišta H30 decor 3m čierna mat</v>
      </c>
      <c r="C3528" s="198">
        <f t="shared" si="143"/>
        <v>29.028379999999999</v>
      </c>
      <c r="D3528" s="526" t="s">
        <v>1373</v>
      </c>
      <c r="E3528" s="526" t="s">
        <v>1825</v>
      </c>
      <c r="F3528" s="526" t="s">
        <v>5843</v>
      </c>
      <c r="G3528" s="526" t="s">
        <v>2394</v>
      </c>
      <c r="H3528" s="412">
        <v>803.76750000000004</v>
      </c>
      <c r="I3528" s="411">
        <v>29.028379999999999</v>
      </c>
      <c r="J3528" s="411">
        <v>102.1734</v>
      </c>
      <c r="K3528" s="411">
        <v>11050.3575</v>
      </c>
      <c r="L3528" s="526" t="s">
        <v>553</v>
      </c>
    </row>
    <row r="3529" spans="1:12" ht="15" x14ac:dyDescent="0.25">
      <c r="A3529">
        <v>452606</v>
      </c>
      <c r="B3529" t="str">
        <f t="shared" si="142"/>
        <v>SEVROLL 05341 dištančný profil 04 3m čierna mat</v>
      </c>
      <c r="C3529" s="198">
        <f t="shared" si="143"/>
        <v>4.6290500000000003</v>
      </c>
      <c r="D3529" s="526" t="s">
        <v>1374</v>
      </c>
      <c r="E3529" s="526" t="s">
        <v>1826</v>
      </c>
      <c r="F3529" s="526" t="s">
        <v>5844</v>
      </c>
      <c r="G3529" s="526" t="s">
        <v>5845</v>
      </c>
      <c r="H3529" s="412">
        <v>127.88834</v>
      </c>
      <c r="I3529" s="411">
        <v>4.6290500000000003</v>
      </c>
      <c r="J3529" s="411">
        <v>16.289400000000001</v>
      </c>
      <c r="K3529" s="411">
        <v>1762.16363</v>
      </c>
      <c r="L3529" s="526" t="s">
        <v>553</v>
      </c>
    </row>
    <row r="3530" spans="1:12" ht="15" x14ac:dyDescent="0.25">
      <c r="A3530">
        <v>452608</v>
      </c>
      <c r="B3530" t="str">
        <f t="shared" si="142"/>
        <v>SEVROLL 05302 horná vodiaca lišta 2,35m čierna mat</v>
      </c>
      <c r="C3530" s="198">
        <f t="shared" si="143"/>
        <v>14.398070000000001</v>
      </c>
      <c r="D3530" s="526" t="s">
        <v>1375</v>
      </c>
      <c r="E3530" s="526" t="s">
        <v>1827</v>
      </c>
      <c r="F3530" s="526" t="s">
        <v>5846</v>
      </c>
      <c r="G3530" s="526" t="s">
        <v>2395</v>
      </c>
      <c r="H3530" s="412">
        <v>398.66867999999999</v>
      </c>
      <c r="I3530" s="411">
        <v>14.398070000000001</v>
      </c>
      <c r="J3530" s="411">
        <v>82.936199999999999</v>
      </c>
      <c r="K3530" s="411">
        <v>5480.9771700000001</v>
      </c>
      <c r="L3530" s="526" t="s">
        <v>553</v>
      </c>
    </row>
    <row r="3531" spans="1:12" ht="15" x14ac:dyDescent="0.25">
      <c r="A3531">
        <v>452734</v>
      </c>
      <c r="B3531" t="str">
        <f t="shared" si="142"/>
        <v>SEVROLL 03605 horná vodiaca lišta 3m čierna mat</v>
      </c>
      <c r="C3531" s="198">
        <f t="shared" si="143"/>
        <v>18.371739999999999</v>
      </c>
      <c r="D3531" s="526" t="s">
        <v>1376</v>
      </c>
      <c r="E3531" s="526" t="s">
        <v>1828</v>
      </c>
      <c r="F3531" s="526" t="s">
        <v>5847</v>
      </c>
      <c r="G3531" s="526" t="s">
        <v>2396</v>
      </c>
      <c r="H3531" s="412">
        <v>508.69551999999999</v>
      </c>
      <c r="I3531" s="411">
        <v>18.371739999999999</v>
      </c>
      <c r="J3531" s="411">
        <v>105.8454</v>
      </c>
      <c r="K3531" s="411">
        <v>6993.6486299999997</v>
      </c>
      <c r="L3531" s="526" t="s">
        <v>553</v>
      </c>
    </row>
    <row r="3532" spans="1:12" ht="15" x14ac:dyDescent="0.25">
      <c r="A3532">
        <v>452735</v>
      </c>
      <c r="B3532" t="str">
        <f t="shared" si="142"/>
        <v>SEVROLL 05324 Pax horná vodiaca lišta 3m čierna mat</v>
      </c>
      <c r="C3532" s="198">
        <f t="shared" si="143"/>
        <v>29.105779999999999</v>
      </c>
      <c r="D3532" s="526" t="s">
        <v>1377</v>
      </c>
      <c r="E3532" s="526" t="s">
        <v>1829</v>
      </c>
      <c r="F3532" s="526" t="s">
        <v>5848</v>
      </c>
      <c r="G3532" s="526" t="s">
        <v>2397</v>
      </c>
      <c r="H3532" s="412">
        <v>805.91088000000002</v>
      </c>
      <c r="I3532" s="411">
        <v>29.105779999999999</v>
      </c>
      <c r="J3532" s="411">
        <v>112.2</v>
      </c>
      <c r="K3532" s="411">
        <v>11079.82497</v>
      </c>
      <c r="L3532" s="526" t="s">
        <v>554</v>
      </c>
    </row>
    <row r="3533" spans="1:12" ht="15" x14ac:dyDescent="0.25">
      <c r="A3533">
        <v>452736</v>
      </c>
      <c r="B3533" t="str">
        <f t="shared" si="142"/>
        <v>SEVROLL 05316 Gemini horné vedenie 6m čierna mat</v>
      </c>
      <c r="C3533" s="198">
        <f t="shared" si="143"/>
        <v>64.404290000000003</v>
      </c>
      <c r="D3533" s="526" t="s">
        <v>1378</v>
      </c>
      <c r="E3533" s="526" t="s">
        <v>1830</v>
      </c>
      <c r="F3533" s="526" t="s">
        <v>5849</v>
      </c>
      <c r="G3533" s="526" t="s">
        <v>5850</v>
      </c>
      <c r="H3533" s="412">
        <v>1783.29216</v>
      </c>
      <c r="I3533" s="411">
        <v>64.404290000000003</v>
      </c>
      <c r="J3533" s="411">
        <v>263.56799999999998</v>
      </c>
      <c r="K3533" s="411">
        <v>24517.05991</v>
      </c>
      <c r="L3533" s="526" t="s">
        <v>553</v>
      </c>
    </row>
    <row r="3534" spans="1:12" ht="15" x14ac:dyDescent="0.25">
      <c r="A3534">
        <v>452743</v>
      </c>
      <c r="B3534" t="str">
        <f t="shared" si="142"/>
        <v>SEVROLL 05312 Elegant II spodné vedenie 6m čierna mat</v>
      </c>
      <c r="C3534" s="198">
        <f t="shared" si="143"/>
        <v>37.585949999999997</v>
      </c>
      <c r="D3534" s="526" t="s">
        <v>1379</v>
      </c>
      <c r="E3534" s="526" t="s">
        <v>1831</v>
      </c>
      <c r="F3534" s="526" t="s">
        <v>5851</v>
      </c>
      <c r="G3534" s="526" t="s">
        <v>5852</v>
      </c>
      <c r="H3534" s="412">
        <v>1040.96822</v>
      </c>
      <c r="I3534" s="411">
        <v>37.585949999999997</v>
      </c>
      <c r="J3534" s="411">
        <v>143.60579999999999</v>
      </c>
      <c r="K3534" s="411">
        <v>14308.00301</v>
      </c>
      <c r="L3534" s="526" t="s">
        <v>553</v>
      </c>
    </row>
    <row r="3535" spans="1:12" ht="15" x14ac:dyDescent="0.25">
      <c r="A3535">
        <v>452751</v>
      </c>
      <c r="B3535" t="str">
        <f t="shared" si="142"/>
        <v>SEVROLL 05317 maska Elegant II 1,7m čierna mat</v>
      </c>
      <c r="C3535" s="198">
        <f t="shared" si="143"/>
        <v>3.3074400000000002</v>
      </c>
      <c r="D3535" s="526" t="s">
        <v>1380</v>
      </c>
      <c r="E3535" s="526" t="s">
        <v>1832</v>
      </c>
      <c r="F3535" s="526" t="s">
        <v>5853</v>
      </c>
      <c r="G3535" s="526" t="s">
        <v>2398</v>
      </c>
      <c r="H3535" s="412">
        <v>91.450879999999998</v>
      </c>
      <c r="I3535" s="411">
        <v>3.3074400000000002</v>
      </c>
      <c r="J3535" s="411">
        <v>12.199199999999999</v>
      </c>
      <c r="K3535" s="411">
        <v>1259.0531100000001</v>
      </c>
      <c r="L3535" s="526" t="s">
        <v>553</v>
      </c>
    </row>
    <row r="3536" spans="1:12" ht="15" x14ac:dyDescent="0.25">
      <c r="A3536">
        <v>452757</v>
      </c>
      <c r="B3536" t="str">
        <f t="shared" si="142"/>
        <v>SEVROLL 05321 maska Elegant II 6m čierna mat</v>
      </c>
      <c r="C3536" s="198">
        <f t="shared" si="143"/>
        <v>11.67327</v>
      </c>
      <c r="D3536" s="526" t="s">
        <v>1381</v>
      </c>
      <c r="E3536" s="526" t="s">
        <v>1833</v>
      </c>
      <c r="F3536" s="526" t="s">
        <v>5854</v>
      </c>
      <c r="G3536" s="526" t="s">
        <v>5855</v>
      </c>
      <c r="H3536" s="412">
        <v>322.93592000000001</v>
      </c>
      <c r="I3536" s="411">
        <v>11.67327</v>
      </c>
      <c r="J3536" s="411">
        <v>43.084800000000001</v>
      </c>
      <c r="K3536" s="411">
        <v>4443.7172700000001</v>
      </c>
      <c r="L3536" s="526" t="s">
        <v>553</v>
      </c>
    </row>
    <row r="3537" spans="1:12" ht="15" x14ac:dyDescent="0.25">
      <c r="A3537">
        <v>452761</v>
      </c>
      <c r="B3537" t="str">
        <f t="shared" si="142"/>
        <v>SEVROLL 05303 spojovacia lišta H10 3m čierna mat</v>
      </c>
      <c r="C3537" s="198">
        <f t="shared" si="143"/>
        <v>15.688219999999999</v>
      </c>
      <c r="D3537" s="526" t="s">
        <v>1382</v>
      </c>
      <c r="E3537" s="526" t="s">
        <v>1834</v>
      </c>
      <c r="F3537" s="526" t="s">
        <v>5856</v>
      </c>
      <c r="G3537" s="526" t="s">
        <v>2399</v>
      </c>
      <c r="H3537" s="412">
        <v>434.39168000000001</v>
      </c>
      <c r="I3537" s="411">
        <v>15.688219999999999</v>
      </c>
      <c r="J3537" s="411">
        <v>67.289400000000001</v>
      </c>
      <c r="K3537" s="411">
        <v>5972.1041699999996</v>
      </c>
      <c r="L3537" s="526" t="s">
        <v>553</v>
      </c>
    </row>
    <row r="3538" spans="1:12" ht="15" x14ac:dyDescent="0.25">
      <c r="A3538">
        <v>456332</v>
      </c>
      <c r="B3538" t="str">
        <f t="shared" si="142"/>
        <v>SEVROLL 05325 Pax úchytová lišta 2,7m čierna mat</v>
      </c>
      <c r="C3538" s="198">
        <f t="shared" si="143"/>
        <v>26.667400000000001</v>
      </c>
      <c r="D3538" s="526" t="s">
        <v>1337</v>
      </c>
      <c r="E3538" s="526" t="s">
        <v>1790</v>
      </c>
      <c r="F3538" s="526" t="s">
        <v>5803</v>
      </c>
      <c r="G3538" s="526" t="s">
        <v>2370</v>
      </c>
      <c r="H3538" s="412">
        <v>738.75163999999995</v>
      </c>
      <c r="I3538" s="411">
        <v>26.667400000000001</v>
      </c>
      <c r="J3538" s="411">
        <v>102.67319999999999</v>
      </c>
      <c r="K3538" s="411">
        <v>10151.59497</v>
      </c>
      <c r="L3538" s="526" t="s">
        <v>554</v>
      </c>
    </row>
    <row r="3539" spans="1:12" ht="15" x14ac:dyDescent="0.25">
      <c r="A3539">
        <v>456333</v>
      </c>
      <c r="B3539" t="str">
        <f t="shared" si="142"/>
        <v>SEVROLL 05326 Pax úchytová lišta 3m čierna mat</v>
      </c>
      <c r="C3539" s="198">
        <f t="shared" si="143"/>
        <v>29.652819999999998</v>
      </c>
      <c r="D3539" s="526" t="s">
        <v>1338</v>
      </c>
      <c r="E3539" s="526" t="s">
        <v>1791</v>
      </c>
      <c r="F3539" s="526" t="s">
        <v>5804</v>
      </c>
      <c r="G3539" s="526" t="s">
        <v>2371</v>
      </c>
      <c r="H3539" s="412">
        <v>820.91453999999999</v>
      </c>
      <c r="I3539" s="411">
        <v>29.652819999999998</v>
      </c>
      <c r="J3539" s="411">
        <v>114.07680000000001</v>
      </c>
      <c r="K3539" s="411">
        <v>11288.06292</v>
      </c>
      <c r="L3539" s="526" t="s">
        <v>554</v>
      </c>
    </row>
    <row r="3540" spans="1:12" ht="15" x14ac:dyDescent="0.25">
      <c r="A3540">
        <v>457354</v>
      </c>
      <c r="B3540" t="str">
        <f t="shared" si="142"/>
        <v>SEVROLL 04511-M Era úchytová lišta 18mm 2,70m oliva new</v>
      </c>
      <c r="C3540" s="198" t="e">
        <f t="shared" si="143"/>
        <v>#N/A</v>
      </c>
      <c r="D3540" s="526" t="s">
        <v>1469</v>
      </c>
      <c r="E3540" s="526" t="s">
        <v>5946</v>
      </c>
      <c r="F3540" s="526" t="s">
        <v>1469</v>
      </c>
      <c r="G3540" s="526" t="s">
        <v>5947</v>
      </c>
      <c r="H3540" s="412" t="e">
        <v>#N/A</v>
      </c>
      <c r="I3540" s="411" t="e">
        <v>#N/A</v>
      </c>
      <c r="J3540" s="411" t="e">
        <v>#N/A</v>
      </c>
      <c r="K3540" s="411" t="e">
        <v>#N/A</v>
      </c>
      <c r="L3540" s="526" t="e">
        <v>#N/A</v>
      </c>
    </row>
    <row r="3541" spans="1:12" ht="15" x14ac:dyDescent="0.25">
      <c r="A3541">
        <v>457371</v>
      </c>
      <c r="B3541" t="str">
        <f t="shared" si="142"/>
        <v>SEVROLL 04470-M Blue horné vedenie  6m oliva new</v>
      </c>
      <c r="C3541" s="198" t="e">
        <f t="shared" si="143"/>
        <v>#N/A</v>
      </c>
      <c r="D3541" s="526" t="s">
        <v>1470</v>
      </c>
      <c r="E3541" s="526" t="s">
        <v>5948</v>
      </c>
      <c r="F3541" s="526" t="s">
        <v>5949</v>
      </c>
      <c r="G3541" s="526" t="s">
        <v>5950</v>
      </c>
      <c r="H3541" s="412" t="e">
        <v>#N/A</v>
      </c>
      <c r="I3541" s="411" t="e">
        <v>#N/A</v>
      </c>
      <c r="J3541" s="411" t="e">
        <v>#N/A</v>
      </c>
      <c r="K3541" s="411" t="e">
        <v>#N/A</v>
      </c>
      <c r="L3541" s="526" t="e">
        <v>#N/A</v>
      </c>
    </row>
    <row r="3542" spans="1:12" ht="15" x14ac:dyDescent="0.25">
      <c r="A3542">
        <v>457372</v>
      </c>
      <c r="B3542" t="str">
        <f t="shared" si="142"/>
        <v>SEVROLL 04494-M Blue-V spodné vedenie  6m oliva new</v>
      </c>
      <c r="C3542" s="198" t="e">
        <f t="shared" si="143"/>
        <v>#N/A</v>
      </c>
      <c r="D3542" s="526" t="s">
        <v>1471</v>
      </c>
      <c r="E3542" s="526" t="s">
        <v>5951</v>
      </c>
      <c r="F3542" s="526" t="s">
        <v>5952</v>
      </c>
      <c r="G3542" s="526" t="s">
        <v>5953</v>
      </c>
      <c r="H3542" s="412" t="e">
        <v>#N/A</v>
      </c>
      <c r="I3542" s="411" t="e">
        <v>#N/A</v>
      </c>
      <c r="J3542" s="411" t="e">
        <v>#N/A</v>
      </c>
      <c r="K3542" s="411" t="e">
        <v>#N/A</v>
      </c>
      <c r="L3542" s="526" t="e">
        <v>#N/A</v>
      </c>
    </row>
    <row r="3543" spans="1:12" ht="15" x14ac:dyDescent="0.25">
      <c r="A3543">
        <v>457373</v>
      </c>
      <c r="B3543" t="str">
        <f t="shared" si="142"/>
        <v>SEVROLL 04459-M horná vodiaca lišta Simple/Blue 3m (lamino 18mm) oliva new</v>
      </c>
      <c r="C3543" s="198" t="e">
        <f t="shared" si="143"/>
        <v>#N/A</v>
      </c>
      <c r="D3543" s="526" t="s">
        <v>1472</v>
      </c>
      <c r="E3543" s="526" t="s">
        <v>5954</v>
      </c>
      <c r="F3543" s="526" t="s">
        <v>5955</v>
      </c>
      <c r="G3543" s="526" t="s">
        <v>5956</v>
      </c>
      <c r="H3543" s="412" t="e">
        <v>#N/A</v>
      </c>
      <c r="I3543" s="411" t="e">
        <v>#N/A</v>
      </c>
      <c r="J3543" s="411" t="e">
        <v>#N/A</v>
      </c>
      <c r="K3543" s="411" t="e">
        <v>#N/A</v>
      </c>
      <c r="L3543" s="526" t="e">
        <v>#N/A</v>
      </c>
    </row>
    <row r="3544" spans="1:12" ht="15" x14ac:dyDescent="0.25">
      <c r="A3544">
        <v>457390</v>
      </c>
      <c r="B3544" t="str">
        <f t="shared" si="142"/>
        <v>SEVROLL 04451-M spodná krycia lišta Simple/Blue 3m (lamino 18mm) oliva new</v>
      </c>
      <c r="C3544" s="198" t="e">
        <f t="shared" si="143"/>
        <v>#N/A</v>
      </c>
      <c r="D3544" s="526" t="s">
        <v>1473</v>
      </c>
      <c r="E3544" s="526" t="s">
        <v>5957</v>
      </c>
      <c r="F3544" s="526" t="s">
        <v>5958</v>
      </c>
      <c r="G3544" s="526" t="s">
        <v>2444</v>
      </c>
      <c r="H3544" s="412" t="e">
        <v>#N/A</v>
      </c>
      <c r="I3544" s="411" t="e">
        <v>#N/A</v>
      </c>
      <c r="J3544" s="411" t="e">
        <v>#N/A</v>
      </c>
      <c r="K3544" s="411" t="e">
        <v>#N/A</v>
      </c>
      <c r="L3544" s="526" t="e">
        <v>#N/A</v>
      </c>
    </row>
    <row r="3545" spans="1:12" ht="15" x14ac:dyDescent="0.25">
      <c r="A3545">
        <v>458673</v>
      </c>
      <c r="B3545" t="str">
        <f t="shared" si="142"/>
        <v>K-SEVROLL vzorky Úchytové lišty 2021 - doplňujúca súprava k 180245</v>
      </c>
      <c r="C3545" s="198">
        <f t="shared" si="143"/>
        <v>0</v>
      </c>
      <c r="D3545" s="526" t="s">
        <v>1449</v>
      </c>
      <c r="E3545" s="526" t="s">
        <v>1894</v>
      </c>
      <c r="F3545" s="526" t="s">
        <v>2200</v>
      </c>
      <c r="G3545" s="526" t="s">
        <v>71</v>
      </c>
      <c r="H3545" s="412">
        <v>0</v>
      </c>
      <c r="I3545" s="411">
        <v>0</v>
      </c>
      <c r="J3545" s="411">
        <v>0</v>
      </c>
      <c r="K3545" s="411">
        <v>0</v>
      </c>
      <c r="L3545" s="526" t="s">
        <v>556</v>
      </c>
    </row>
    <row r="3546" spans="1:12" ht="15" x14ac:dyDescent="0.25">
      <c r="A3546">
        <v>458712</v>
      </c>
      <c r="B3546" t="str">
        <f t="shared" si="142"/>
        <v>SEVROLL 04449-M spodná krycia lišta Simple/Blue 2m (lamino 18mm) oliva new</v>
      </c>
      <c r="C3546" s="198" t="e">
        <f t="shared" si="143"/>
        <v>#N/A</v>
      </c>
      <c r="D3546" s="526" t="s">
        <v>1450</v>
      </c>
      <c r="E3546" s="526" t="s">
        <v>5920</v>
      </c>
      <c r="F3546" s="526" t="s">
        <v>5921</v>
      </c>
      <c r="G3546" s="526" t="s">
        <v>5922</v>
      </c>
      <c r="H3546" s="412" t="e">
        <v>#N/A</v>
      </c>
      <c r="I3546" s="411" t="e">
        <v>#N/A</v>
      </c>
      <c r="J3546" s="411" t="e">
        <v>#N/A</v>
      </c>
      <c r="K3546" s="411" t="e">
        <v>#N/A</v>
      </c>
      <c r="L3546" s="526" t="e">
        <v>#N/A</v>
      </c>
    </row>
    <row r="3547" spans="1:12" ht="15" x14ac:dyDescent="0.25">
      <c r="A3547">
        <v>459711</v>
      </c>
      <c r="B3547" t="str">
        <f t="shared" si="142"/>
        <v/>
      </c>
      <c r="C3547" s="198">
        <f t="shared" si="143"/>
        <v>88.349469999999997</v>
      </c>
      <c r="D3547" s="526" t="s">
        <v>1451</v>
      </c>
      <c r="E3547" s="526" t="s">
        <v>71</v>
      </c>
      <c r="F3547" s="526" t="s">
        <v>71</v>
      </c>
      <c r="G3547" s="526" t="s">
        <v>71</v>
      </c>
      <c r="H3547" s="412">
        <v>2446.31104</v>
      </c>
      <c r="I3547" s="411">
        <v>88.349469999999997</v>
      </c>
      <c r="J3547" s="411">
        <v>352.61268000000001</v>
      </c>
      <c r="K3547" s="411">
        <v>33632.37689</v>
      </c>
      <c r="L3547" s="526" t="s">
        <v>554</v>
      </c>
    </row>
    <row r="3548" spans="1:12" ht="15" x14ac:dyDescent="0.25">
      <c r="A3548">
        <v>459712</v>
      </c>
      <c r="B3548" t="str">
        <f t="shared" si="142"/>
        <v/>
      </c>
      <c r="C3548" s="198">
        <f t="shared" si="143"/>
        <v>129.66007999999999</v>
      </c>
      <c r="D3548" s="526" t="s">
        <v>1452</v>
      </c>
      <c r="E3548" s="526" t="s">
        <v>71</v>
      </c>
      <c r="F3548" s="526" t="s">
        <v>71</v>
      </c>
      <c r="G3548" s="526" t="s">
        <v>71</v>
      </c>
      <c r="H3548" s="412">
        <v>3590.1615000000002</v>
      </c>
      <c r="I3548" s="411">
        <v>129.66007999999999</v>
      </c>
      <c r="J3548" s="411">
        <v>517.52787999999998</v>
      </c>
      <c r="K3548" s="411">
        <v>49358.263500000001</v>
      </c>
      <c r="L3548" s="526" t="s">
        <v>554</v>
      </c>
    </row>
    <row r="3549" spans="1:12" ht="15" x14ac:dyDescent="0.25">
      <c r="A3549">
        <v>459713</v>
      </c>
      <c r="B3549" t="str">
        <f t="shared" si="142"/>
        <v/>
      </c>
      <c r="C3549" s="198">
        <f t="shared" si="143"/>
        <v>170.79006000000001</v>
      </c>
      <c r="D3549" s="526" t="s">
        <v>1453</v>
      </c>
      <c r="E3549" s="526" t="s">
        <v>71</v>
      </c>
      <c r="F3549" s="526" t="s">
        <v>71</v>
      </c>
      <c r="G3549" s="526" t="s">
        <v>71</v>
      </c>
      <c r="H3549" s="412">
        <v>4729.0107399999997</v>
      </c>
      <c r="I3549" s="411">
        <v>170.79006000000001</v>
      </c>
      <c r="J3549" s="411">
        <v>681.72469000000001</v>
      </c>
      <c r="K3549" s="411">
        <v>65015.392189999999</v>
      </c>
      <c r="L3549" s="526" t="s">
        <v>554</v>
      </c>
    </row>
    <row r="3550" spans="1:12" ht="15" x14ac:dyDescent="0.25">
      <c r="A3550">
        <v>459714</v>
      </c>
      <c r="B3550" t="str">
        <f t="shared" si="142"/>
        <v/>
      </c>
      <c r="C3550" s="198">
        <f t="shared" si="143"/>
        <v>217.88052999999999</v>
      </c>
      <c r="D3550" s="526" t="s">
        <v>1454</v>
      </c>
      <c r="E3550" s="526" t="s">
        <v>71</v>
      </c>
      <c r="F3550" s="526" t="s">
        <v>71</v>
      </c>
      <c r="G3550" s="526" t="s">
        <v>71</v>
      </c>
      <c r="H3550" s="412">
        <v>6032.9002399999999</v>
      </c>
      <c r="I3550" s="411">
        <v>217.88052999999999</v>
      </c>
      <c r="J3550" s="411">
        <v>869.62743999999998</v>
      </c>
      <c r="K3550" s="411">
        <v>82941.527690000003</v>
      </c>
      <c r="L3550" s="526" t="s">
        <v>554</v>
      </c>
    </row>
    <row r="3551" spans="1:12" ht="15" x14ac:dyDescent="0.25">
      <c r="A3551">
        <v>461687</v>
      </c>
      <c r="B3551" t="str">
        <f t="shared" si="142"/>
        <v>SEVROLL Harmony sada kovania pre dvoje dvere</v>
      </c>
      <c r="C3551" s="198">
        <f t="shared" si="143"/>
        <v>1044.8150800000001</v>
      </c>
      <c r="D3551" s="526" t="s">
        <v>1582</v>
      </c>
      <c r="E3551" s="526" t="s">
        <v>1837</v>
      </c>
      <c r="F3551" s="526" t="s">
        <v>2185</v>
      </c>
      <c r="G3551" s="526" t="s">
        <v>2402</v>
      </c>
      <c r="H3551" s="412">
        <v>22894.176800000001</v>
      </c>
      <c r="I3551" s="411">
        <v>1044.8150800000001</v>
      </c>
      <c r="J3551" s="411">
        <v>3531.98792</v>
      </c>
      <c r="K3551" s="411">
        <v>389617.2635</v>
      </c>
      <c r="L3551" s="526" t="s">
        <v>554</v>
      </c>
    </row>
    <row r="3552" spans="1:12" ht="15" x14ac:dyDescent="0.25">
      <c r="A3552">
        <v>461896</v>
      </c>
      <c r="B3552" t="str">
        <f t="shared" si="142"/>
        <v>SEVROLL 04377-A Fox II úchytová lišta 2,7m oliva new</v>
      </c>
      <c r="C3552" s="198" t="e">
        <f t="shared" si="143"/>
        <v>#N/A</v>
      </c>
      <c r="D3552" s="526" t="s">
        <v>1591</v>
      </c>
      <c r="E3552" s="526" t="s">
        <v>2018</v>
      </c>
      <c r="F3552" s="526" t="s">
        <v>1591</v>
      </c>
      <c r="G3552" s="526" t="s">
        <v>2523</v>
      </c>
      <c r="H3552" s="412" t="e">
        <v>#N/A</v>
      </c>
      <c r="I3552" s="411" t="e">
        <v>#N/A</v>
      </c>
      <c r="J3552" s="411" t="e">
        <v>#N/A</v>
      </c>
      <c r="K3552" s="411" t="e">
        <v>#N/A</v>
      </c>
      <c r="L3552" s="526" t="e">
        <v>#N/A</v>
      </c>
    </row>
    <row r="3553" spans="1:12" ht="15" x14ac:dyDescent="0.25">
      <c r="A3553">
        <v>461898</v>
      </c>
      <c r="B3553" t="str">
        <f t="shared" si="142"/>
        <v>SEVROLL 01008-A Gemini horné vedenie 1,7m oliva new</v>
      </c>
      <c r="C3553" s="198" t="e">
        <f t="shared" si="143"/>
        <v>#N/A</v>
      </c>
      <c r="D3553" s="526" t="s">
        <v>1593</v>
      </c>
      <c r="E3553" s="526" t="s">
        <v>2020</v>
      </c>
      <c r="F3553" s="526" t="s">
        <v>6089</v>
      </c>
      <c r="G3553" s="526" t="s">
        <v>2525</v>
      </c>
      <c r="H3553" s="412" t="e">
        <v>#N/A</v>
      </c>
      <c r="I3553" s="411" t="e">
        <v>#N/A</v>
      </c>
      <c r="J3553" s="411" t="e">
        <v>#N/A</v>
      </c>
      <c r="K3553" s="411" t="e">
        <v>#N/A</v>
      </c>
      <c r="L3553" s="526" t="e">
        <v>#N/A</v>
      </c>
    </row>
    <row r="3554" spans="1:12" ht="15" x14ac:dyDescent="0.25">
      <c r="A3554">
        <v>461899</v>
      </c>
      <c r="B3554" t="str">
        <f t="shared" si="142"/>
        <v>SEVROLL 01010-A Gemini horné vedenie 2,35m oliva new</v>
      </c>
      <c r="C3554" s="198" t="e">
        <f t="shared" si="143"/>
        <v>#N/A</v>
      </c>
      <c r="D3554" s="526" t="s">
        <v>1594</v>
      </c>
      <c r="E3554" s="526" t="s">
        <v>2021</v>
      </c>
      <c r="F3554" s="526" t="s">
        <v>6090</v>
      </c>
      <c r="G3554" s="526" t="s">
        <v>2526</v>
      </c>
      <c r="H3554" s="412" t="e">
        <v>#N/A</v>
      </c>
      <c r="I3554" s="411" t="e">
        <v>#N/A</v>
      </c>
      <c r="J3554" s="411" t="e">
        <v>#N/A</v>
      </c>
      <c r="K3554" s="411" t="e">
        <v>#N/A</v>
      </c>
      <c r="L3554" s="526" t="e">
        <v>#N/A</v>
      </c>
    </row>
    <row r="3555" spans="1:12" ht="15" x14ac:dyDescent="0.25">
      <c r="A3555">
        <v>461900</v>
      </c>
      <c r="B3555" t="str">
        <f t="shared" si="142"/>
        <v>SEVROLL 01011-A Gemini horné vedenie 3m oliva new</v>
      </c>
      <c r="C3555" s="198" t="e">
        <f t="shared" si="143"/>
        <v>#N/A</v>
      </c>
      <c r="D3555" s="526" t="s">
        <v>1595</v>
      </c>
      <c r="E3555" s="526" t="s">
        <v>2022</v>
      </c>
      <c r="F3555" s="526" t="s">
        <v>6091</v>
      </c>
      <c r="G3555" s="526" t="s">
        <v>2527</v>
      </c>
      <c r="H3555" s="412" t="e">
        <v>#N/A</v>
      </c>
      <c r="I3555" s="411" t="e">
        <v>#N/A</v>
      </c>
      <c r="J3555" s="411" t="e">
        <v>#N/A</v>
      </c>
      <c r="K3555" s="411" t="e">
        <v>#N/A</v>
      </c>
      <c r="L3555" s="526" t="e">
        <v>#N/A</v>
      </c>
    </row>
    <row r="3556" spans="1:12" ht="15" x14ac:dyDescent="0.25">
      <c r="A3556">
        <v>461901</v>
      </c>
      <c r="B3556" t="str">
        <f t="shared" si="142"/>
        <v>SEVROLL  01439-A Gemini horné vedenie 4,05m oliva new</v>
      </c>
      <c r="C3556" s="198" t="e">
        <f t="shared" si="143"/>
        <v>#N/A</v>
      </c>
      <c r="D3556" s="526" t="s">
        <v>1596</v>
      </c>
      <c r="E3556" s="526" t="s">
        <v>2023</v>
      </c>
      <c r="F3556" s="526" t="s">
        <v>6092</v>
      </c>
      <c r="G3556" s="526" t="s">
        <v>2528</v>
      </c>
      <c r="H3556" s="412" t="e">
        <v>#N/A</v>
      </c>
      <c r="I3556" s="411" t="e">
        <v>#N/A</v>
      </c>
      <c r="J3556" s="411" t="e">
        <v>#N/A</v>
      </c>
      <c r="K3556" s="411" t="e">
        <v>#N/A</v>
      </c>
      <c r="L3556" s="526" t="e">
        <v>#N/A</v>
      </c>
    </row>
    <row r="3557" spans="1:12" ht="15" x14ac:dyDescent="0.25">
      <c r="A3557">
        <v>461902</v>
      </c>
      <c r="B3557" t="str">
        <f t="shared" si="142"/>
        <v>SEVROLL 00093-A uholník Mini 17x11mm oliva new 1,7m</v>
      </c>
      <c r="C3557" s="198" t="e">
        <f t="shared" si="143"/>
        <v>#N/A</v>
      </c>
      <c r="D3557" s="526" t="s">
        <v>6093</v>
      </c>
      <c r="E3557" s="526" t="s">
        <v>6094</v>
      </c>
      <c r="F3557" s="526" t="s">
        <v>6095</v>
      </c>
      <c r="G3557" s="526" t="s">
        <v>6096</v>
      </c>
      <c r="H3557" s="412" t="e">
        <v>#N/A</v>
      </c>
      <c r="I3557" s="411" t="e">
        <v>#N/A</v>
      </c>
      <c r="J3557" s="411" t="e">
        <v>#N/A</v>
      </c>
      <c r="K3557" s="411" t="e">
        <v>#N/A</v>
      </c>
      <c r="L3557" s="526" t="e">
        <v>#N/A</v>
      </c>
    </row>
    <row r="3558" spans="1:12" ht="15" x14ac:dyDescent="0.25">
      <c r="A3558">
        <v>461903</v>
      </c>
      <c r="B3558" t="str">
        <f t="shared" si="142"/>
        <v>SEVROLL 00094-A uholník Mini 17x11mm 2,35m oliva new</v>
      </c>
      <c r="C3558" s="198" t="e">
        <f t="shared" si="143"/>
        <v>#N/A</v>
      </c>
      <c r="D3558" s="526" t="s">
        <v>6097</v>
      </c>
      <c r="E3558" s="526" t="s">
        <v>6098</v>
      </c>
      <c r="F3558" s="526" t="s">
        <v>6099</v>
      </c>
      <c r="G3558" s="526" t="s">
        <v>6100</v>
      </c>
      <c r="H3558" s="412" t="e">
        <v>#N/A</v>
      </c>
      <c r="I3558" s="411" t="e">
        <v>#N/A</v>
      </c>
      <c r="J3558" s="411" t="e">
        <v>#N/A</v>
      </c>
      <c r="K3558" s="411" t="e">
        <v>#N/A</v>
      </c>
      <c r="L3558" s="526" t="e">
        <v>#N/A</v>
      </c>
    </row>
    <row r="3559" spans="1:12" ht="15" x14ac:dyDescent="0.25">
      <c r="A3559">
        <v>461904</v>
      </c>
      <c r="B3559" t="str">
        <f t="shared" si="142"/>
        <v>SEVROLL spojovaciá lišta "T" 3m oliva new</v>
      </c>
      <c r="C3559" s="198" t="e">
        <f t="shared" si="143"/>
        <v>#N/A</v>
      </c>
      <c r="D3559" s="526" t="s">
        <v>1597</v>
      </c>
      <c r="E3559" s="526" t="s">
        <v>2024</v>
      </c>
      <c r="F3559" s="526" t="s">
        <v>2227</v>
      </c>
      <c r="G3559" s="526" t="s">
        <v>6101</v>
      </c>
      <c r="H3559" s="412" t="e">
        <v>#N/A</v>
      </c>
      <c r="I3559" s="411" t="e">
        <v>#N/A</v>
      </c>
      <c r="J3559" s="411" t="e">
        <v>#N/A</v>
      </c>
      <c r="K3559" s="411" t="e">
        <v>#N/A</v>
      </c>
      <c r="L3559" s="526" t="e">
        <v>#N/A</v>
      </c>
    </row>
    <row r="3560" spans="1:12" ht="15" x14ac:dyDescent="0.25">
      <c r="A3560">
        <v>461917</v>
      </c>
      <c r="B3560" t="str">
        <f t="shared" si="142"/>
        <v>SEVROLL 161 U PROFna DTD 18mm-3m, oliva new</v>
      </c>
      <c r="C3560" s="198" t="e">
        <f t="shared" si="143"/>
        <v>#N/A</v>
      </c>
      <c r="D3560" s="526" t="s">
        <v>1423</v>
      </c>
      <c r="E3560" s="526" t="s">
        <v>2037</v>
      </c>
      <c r="F3560" s="526" t="s">
        <v>2240</v>
      </c>
      <c r="G3560" s="526" t="s">
        <v>2424</v>
      </c>
      <c r="H3560" s="412" t="e">
        <v>#N/A</v>
      </c>
      <c r="I3560" s="411" t="e">
        <v>#N/A</v>
      </c>
      <c r="J3560" s="411" t="e">
        <v>#N/A</v>
      </c>
      <c r="K3560" s="411" t="e">
        <v>#N/A</v>
      </c>
      <c r="L3560" s="526" t="e">
        <v>#N/A</v>
      </c>
    </row>
    <row r="3561" spans="1:12" ht="15" x14ac:dyDescent="0.25">
      <c r="A3561">
        <v>461921</v>
      </c>
      <c r="B3561" t="str">
        <f t="shared" si="142"/>
        <v>SEVROLL 00070-A uholník K2 Decor 2,35m oliva new</v>
      </c>
      <c r="C3561" s="198" t="e">
        <f t="shared" si="143"/>
        <v>#N/A</v>
      </c>
      <c r="D3561" s="526" t="s">
        <v>1613</v>
      </c>
      <c r="E3561" s="526" t="s">
        <v>2041</v>
      </c>
      <c r="F3561" s="526" t="s">
        <v>6111</v>
      </c>
      <c r="G3561" s="526" t="s">
        <v>6112</v>
      </c>
      <c r="H3561" s="412" t="e">
        <v>#N/A</v>
      </c>
      <c r="I3561" s="411" t="e">
        <v>#N/A</v>
      </c>
      <c r="J3561" s="411" t="e">
        <v>#N/A</v>
      </c>
      <c r="K3561" s="411" t="e">
        <v>#N/A</v>
      </c>
      <c r="L3561" s="526" t="e">
        <v>#N/A</v>
      </c>
    </row>
    <row r="3562" spans="1:12" ht="15" x14ac:dyDescent="0.25">
      <c r="A3562">
        <v>461922</v>
      </c>
      <c r="B3562" t="str">
        <f t="shared" si="142"/>
        <v>SEVROLL 00071-A uholník K2 Decor 3m oliva new</v>
      </c>
      <c r="C3562" s="198" t="e">
        <f t="shared" si="143"/>
        <v>#N/A</v>
      </c>
      <c r="D3562" s="526" t="s">
        <v>1614</v>
      </c>
      <c r="E3562" s="526" t="s">
        <v>2042</v>
      </c>
      <c r="F3562" s="526" t="s">
        <v>6113</v>
      </c>
      <c r="G3562" s="526" t="s">
        <v>6114</v>
      </c>
      <c r="H3562" s="412" t="e">
        <v>#N/A</v>
      </c>
      <c r="I3562" s="411" t="e">
        <v>#N/A</v>
      </c>
      <c r="J3562" s="411" t="e">
        <v>#N/A</v>
      </c>
      <c r="K3562" s="411" t="e">
        <v>#N/A</v>
      </c>
      <c r="L3562" s="526" t="e">
        <v>#N/A</v>
      </c>
    </row>
    <row r="3563" spans="1:12" ht="15" x14ac:dyDescent="0.25">
      <c r="A3563">
        <v>461923</v>
      </c>
      <c r="B3563" t="str">
        <f t="shared" si="142"/>
        <v>SEVROLL spojovacia lišta H18 3m oliva new</v>
      </c>
      <c r="C3563" s="198" t="e">
        <f t="shared" si="143"/>
        <v>#N/A</v>
      </c>
      <c r="D3563" s="526" t="s">
        <v>1615</v>
      </c>
      <c r="E3563" s="526" t="s">
        <v>2043</v>
      </c>
      <c r="F3563" s="526" t="s">
        <v>2243</v>
      </c>
      <c r="G3563" s="526" t="s">
        <v>6115</v>
      </c>
      <c r="H3563" s="412" t="e">
        <v>#N/A</v>
      </c>
      <c r="I3563" s="411" t="e">
        <v>#N/A</v>
      </c>
      <c r="J3563" s="411" t="e">
        <v>#N/A</v>
      </c>
      <c r="K3563" s="411" t="e">
        <v>#N/A</v>
      </c>
      <c r="L3563" s="526" t="e">
        <v>#N/A</v>
      </c>
    </row>
    <row r="3564" spans="1:12" ht="15" x14ac:dyDescent="0.25">
      <c r="A3564">
        <v>461931</v>
      </c>
      <c r="B3564" t="str">
        <f t="shared" si="142"/>
        <v>SEVROLL 04274-A Elegant II spodné vedenie  2,35m oliva new</v>
      </c>
      <c r="C3564" s="198" t="e">
        <f t="shared" si="143"/>
        <v>#N/A</v>
      </c>
      <c r="D3564" s="526" t="s">
        <v>1623</v>
      </c>
      <c r="E3564" s="526" t="s">
        <v>2051</v>
      </c>
      <c r="F3564" s="526" t="s">
        <v>6119</v>
      </c>
      <c r="G3564" s="526" t="s">
        <v>6120</v>
      </c>
      <c r="H3564" s="412" t="e">
        <v>#N/A</v>
      </c>
      <c r="I3564" s="411" t="e">
        <v>#N/A</v>
      </c>
      <c r="J3564" s="411" t="e">
        <v>#N/A</v>
      </c>
      <c r="K3564" s="411" t="e">
        <v>#N/A</v>
      </c>
      <c r="L3564" s="526" t="e">
        <v>#N/A</v>
      </c>
    </row>
    <row r="3565" spans="1:12" ht="15" x14ac:dyDescent="0.25">
      <c r="A3565">
        <v>461932</v>
      </c>
      <c r="B3565" t="str">
        <f t="shared" si="142"/>
        <v>SEVROLL 04275-A Elegant II spodné vedenie  3m oliva new</v>
      </c>
      <c r="C3565" s="198" t="e">
        <f t="shared" si="143"/>
        <v>#N/A</v>
      </c>
      <c r="D3565" s="526" t="s">
        <v>1624</v>
      </c>
      <c r="E3565" s="526" t="s">
        <v>2052</v>
      </c>
      <c r="F3565" s="526" t="s">
        <v>6121</v>
      </c>
      <c r="G3565" s="526" t="s">
        <v>6122</v>
      </c>
      <c r="H3565" s="412" t="e">
        <v>#N/A</v>
      </c>
      <c r="I3565" s="411" t="e">
        <v>#N/A</v>
      </c>
      <c r="J3565" s="411" t="e">
        <v>#N/A</v>
      </c>
      <c r="K3565" s="411" t="e">
        <v>#N/A</v>
      </c>
      <c r="L3565" s="526" t="e">
        <v>#N/A</v>
      </c>
    </row>
    <row r="3566" spans="1:12" ht="15" x14ac:dyDescent="0.25">
      <c r="A3566">
        <v>461933</v>
      </c>
      <c r="B3566" t="str">
        <f t="shared" si="142"/>
        <v>SEVROLL 04276-A Elegant II spodné vedenie  4,05m oliva new</v>
      </c>
      <c r="C3566" s="198" t="e">
        <f t="shared" si="143"/>
        <v>#N/A</v>
      </c>
      <c r="D3566" s="526" t="s">
        <v>1625</v>
      </c>
      <c r="E3566" s="526" t="s">
        <v>2053</v>
      </c>
      <c r="F3566" s="526" t="s">
        <v>6123</v>
      </c>
      <c r="G3566" s="526" t="s">
        <v>6124</v>
      </c>
      <c r="H3566" s="412" t="e">
        <v>#N/A</v>
      </c>
      <c r="I3566" s="411" t="e">
        <v>#N/A</v>
      </c>
      <c r="J3566" s="411" t="e">
        <v>#N/A</v>
      </c>
      <c r="K3566" s="411" t="e">
        <v>#N/A</v>
      </c>
      <c r="L3566" s="526" t="e">
        <v>#N/A</v>
      </c>
    </row>
    <row r="3567" spans="1:12" ht="15" x14ac:dyDescent="0.25">
      <c r="A3567">
        <v>461936</v>
      </c>
      <c r="B3567" t="str">
        <f t="shared" si="142"/>
        <v>SEVROLL Gemini horné vedenie 6m oliva new</v>
      </c>
      <c r="C3567" s="198" t="e">
        <f t="shared" si="143"/>
        <v>#N/A</v>
      </c>
      <c r="D3567" s="526" t="s">
        <v>1628</v>
      </c>
      <c r="E3567" s="526" t="s">
        <v>2056</v>
      </c>
      <c r="F3567" s="526" t="s">
        <v>2248</v>
      </c>
      <c r="G3567" s="526" t="s">
        <v>2544</v>
      </c>
      <c r="H3567" s="412" t="e">
        <v>#N/A</v>
      </c>
      <c r="I3567" s="411" t="e">
        <v>#N/A</v>
      </c>
      <c r="J3567" s="411" t="e">
        <v>#N/A</v>
      </c>
      <c r="K3567" s="411" t="e">
        <v>#N/A</v>
      </c>
      <c r="L3567" s="526" t="e">
        <v>#N/A</v>
      </c>
    </row>
    <row r="3568" spans="1:12" ht="15" x14ac:dyDescent="0.25">
      <c r="A3568">
        <v>461972</v>
      </c>
      <c r="B3568" t="str">
        <f t="shared" si="142"/>
        <v>SEVROLL 04529-A Alfa II úchytová lišta 18mm 2,70m oliva new</v>
      </c>
      <c r="C3568" s="198" t="e">
        <f t="shared" si="143"/>
        <v>#N/A</v>
      </c>
      <c r="D3568" s="526" t="s">
        <v>1664</v>
      </c>
      <c r="E3568" s="526" t="s">
        <v>2091</v>
      </c>
      <c r="F3568" s="526" t="s">
        <v>1664</v>
      </c>
      <c r="G3568" s="526" t="s">
        <v>2576</v>
      </c>
      <c r="H3568" s="412" t="e">
        <v>#N/A</v>
      </c>
      <c r="I3568" s="411" t="e">
        <v>#N/A</v>
      </c>
      <c r="J3568" s="411" t="e">
        <v>#N/A</v>
      </c>
      <c r="K3568" s="411" t="e">
        <v>#N/A</v>
      </c>
      <c r="L3568" s="526" t="e">
        <v>#N/A</v>
      </c>
    </row>
    <row r="3569" spans="1:12" ht="15" x14ac:dyDescent="0.25">
      <c r="A3569">
        <v>462023</v>
      </c>
      <c r="B3569" t="str">
        <f t="shared" si="142"/>
        <v>SEVROLL 04297-A maska Elegant II 2,35m oliva new</v>
      </c>
      <c r="C3569" s="198" t="e">
        <f t="shared" si="143"/>
        <v>#N/A</v>
      </c>
      <c r="D3569" s="526" t="s">
        <v>1715</v>
      </c>
      <c r="E3569" s="526" t="s">
        <v>2142</v>
      </c>
      <c r="F3569" s="526" t="s">
        <v>1715</v>
      </c>
      <c r="G3569" s="526" t="s">
        <v>6146</v>
      </c>
      <c r="H3569" s="412" t="e">
        <v>#N/A</v>
      </c>
      <c r="I3569" s="411" t="e">
        <v>#N/A</v>
      </c>
      <c r="J3569" s="411" t="e">
        <v>#N/A</v>
      </c>
      <c r="K3569" s="411" t="e">
        <v>#N/A</v>
      </c>
      <c r="L3569" s="526" t="e">
        <v>#N/A</v>
      </c>
    </row>
    <row r="3570" spans="1:12" ht="15" x14ac:dyDescent="0.25">
      <c r="A3570">
        <v>462024</v>
      </c>
      <c r="B3570" t="str">
        <f t="shared" si="142"/>
        <v>SEVROLL 04273-A Elegant II spodné vedenie  1,7m oliva new</v>
      </c>
      <c r="C3570" s="198" t="e">
        <f t="shared" si="143"/>
        <v>#N/A</v>
      </c>
      <c r="D3570" s="526" t="s">
        <v>1716</v>
      </c>
      <c r="E3570" s="526" t="s">
        <v>2143</v>
      </c>
      <c r="F3570" s="526" t="s">
        <v>6147</v>
      </c>
      <c r="G3570" s="526" t="s">
        <v>6148</v>
      </c>
      <c r="H3570" s="412" t="e">
        <v>#N/A</v>
      </c>
      <c r="I3570" s="411" t="e">
        <v>#N/A</v>
      </c>
      <c r="J3570" s="411" t="e">
        <v>#N/A</v>
      </c>
      <c r="K3570" s="411" t="e">
        <v>#N/A</v>
      </c>
      <c r="L3570" s="526" t="e">
        <v>#N/A</v>
      </c>
    </row>
    <row r="3571" spans="1:12" ht="15" x14ac:dyDescent="0.25">
      <c r="A3571">
        <v>462026</v>
      </c>
      <c r="B3571" t="str">
        <f t="shared" si="142"/>
        <v>SEVROLL 04298-A maska Elegant II 3m oliva new</v>
      </c>
      <c r="C3571" s="198" t="e">
        <f t="shared" si="143"/>
        <v>#N/A</v>
      </c>
      <c r="D3571" s="526" t="s">
        <v>1718</v>
      </c>
      <c r="E3571" s="526" t="s">
        <v>2145</v>
      </c>
      <c r="F3571" s="526" t="s">
        <v>1718</v>
      </c>
      <c r="G3571" s="526" t="s">
        <v>6150</v>
      </c>
      <c r="H3571" s="412" t="e">
        <v>#N/A</v>
      </c>
      <c r="I3571" s="411" t="e">
        <v>#N/A</v>
      </c>
      <c r="J3571" s="411" t="e">
        <v>#N/A</v>
      </c>
      <c r="K3571" s="411" t="e">
        <v>#N/A</v>
      </c>
      <c r="L3571" s="526" t="e">
        <v>#N/A</v>
      </c>
    </row>
    <row r="3572" spans="1:12" ht="15" x14ac:dyDescent="0.25">
      <c r="A3572">
        <v>462027</v>
      </c>
      <c r="B3572" t="str">
        <f t="shared" si="142"/>
        <v>SEVROLL 04299-A maska Elegant II 4,05m oliva new</v>
      </c>
      <c r="C3572" s="198" t="e">
        <f t="shared" si="143"/>
        <v>#N/A</v>
      </c>
      <c r="D3572" s="526" t="s">
        <v>1392</v>
      </c>
      <c r="E3572" s="526" t="s">
        <v>1841</v>
      </c>
      <c r="F3572" s="526" t="s">
        <v>1392</v>
      </c>
      <c r="G3572" s="526" t="s">
        <v>5867</v>
      </c>
      <c r="H3572" s="412" t="e">
        <v>#N/A</v>
      </c>
      <c r="I3572" s="411" t="e">
        <v>#N/A</v>
      </c>
      <c r="J3572" s="411" t="e">
        <v>#N/A</v>
      </c>
      <c r="K3572" s="411" t="e">
        <v>#N/A</v>
      </c>
      <c r="L3572" s="526" t="e">
        <v>#N/A</v>
      </c>
    </row>
    <row r="3573" spans="1:12" ht="15" x14ac:dyDescent="0.25">
      <c r="A3573">
        <v>462028</v>
      </c>
      <c r="B3573" t="str">
        <f t="shared" si="142"/>
        <v>SEVROLL 04301-A maska Elegant II 6m oliva new</v>
      </c>
      <c r="C3573" s="198" t="e">
        <f t="shared" si="143"/>
        <v>#N/A</v>
      </c>
      <c r="D3573" s="526" t="s">
        <v>1393</v>
      </c>
      <c r="E3573" s="526" t="s">
        <v>1842</v>
      </c>
      <c r="F3573" s="526" t="s">
        <v>1393</v>
      </c>
      <c r="G3573" s="526" t="s">
        <v>5868</v>
      </c>
      <c r="H3573" s="412" t="e">
        <v>#N/A</v>
      </c>
      <c r="I3573" s="411" t="e">
        <v>#N/A</v>
      </c>
      <c r="J3573" s="411" t="e">
        <v>#N/A</v>
      </c>
      <c r="K3573" s="411" t="e">
        <v>#N/A</v>
      </c>
      <c r="L3573" s="526" t="e">
        <v>#N/A</v>
      </c>
    </row>
    <row r="3574" spans="1:12" ht="15" x14ac:dyDescent="0.25">
      <c r="A3574">
        <v>462035</v>
      </c>
      <c r="B3574" t="str">
        <f t="shared" si="142"/>
        <v>SEVROLL 04492-M Blue-V spodné vedenie  3m oliva new</v>
      </c>
      <c r="C3574" s="198" t="e">
        <f t="shared" si="143"/>
        <v>#N/A</v>
      </c>
      <c r="D3574" s="526" t="s">
        <v>1400</v>
      </c>
      <c r="E3574" s="526" t="s">
        <v>1849</v>
      </c>
      <c r="F3574" s="526" t="s">
        <v>5875</v>
      </c>
      <c r="G3574" s="526" t="s">
        <v>5876</v>
      </c>
      <c r="H3574" s="412" t="e">
        <v>#N/A</v>
      </c>
      <c r="I3574" s="411" t="e">
        <v>#N/A</v>
      </c>
      <c r="J3574" s="411" t="e">
        <v>#N/A</v>
      </c>
      <c r="K3574" s="411" t="e">
        <v>#N/A</v>
      </c>
      <c r="L3574" s="526" t="e">
        <v>#N/A</v>
      </c>
    </row>
    <row r="3575" spans="1:12" ht="15" x14ac:dyDescent="0.25">
      <c r="A3575">
        <v>462042</v>
      </c>
      <c r="B3575" t="str">
        <f t="shared" ref="B3575:B3638" si="144">IF($A$2=1,D3575,IF($A$2=2,F3575,IF($A$2=3,G3575,IF($A$2=4,E3575,"zadat jazyk"))))</f>
        <v>SEVROLL 04278-A Elegant II spodné vedenie  6m oliva new</v>
      </c>
      <c r="C3575" s="198" t="e">
        <f t="shared" si="143"/>
        <v>#N/A</v>
      </c>
      <c r="D3575" s="526" t="s">
        <v>1407</v>
      </c>
      <c r="E3575" s="526" t="s">
        <v>1856</v>
      </c>
      <c r="F3575" s="526" t="s">
        <v>5879</v>
      </c>
      <c r="G3575" s="526" t="s">
        <v>5880</v>
      </c>
      <c r="H3575" s="412" t="e">
        <v>#N/A</v>
      </c>
      <c r="I3575" s="411" t="e">
        <v>#N/A</v>
      </c>
      <c r="J3575" s="411" t="e">
        <v>#N/A</v>
      </c>
      <c r="K3575" s="411" t="e">
        <v>#N/A</v>
      </c>
      <c r="L3575" s="526" t="e">
        <v>#N/A</v>
      </c>
    </row>
    <row r="3576" spans="1:12" ht="15" x14ac:dyDescent="0.25">
      <c r="A3576">
        <v>462140</v>
      </c>
      <c r="B3576" t="str">
        <f t="shared" si="144"/>
        <v>SEVROLL Alfa II úchytová lišta 100mm čierna mat (vzorka)</v>
      </c>
      <c r="C3576" s="198">
        <f t="shared" ref="C3576:C3639" si="145">IF($A$2=1,H3576,IF($A$2=2,I3576,IF($A$2=3,J3576,IF($A$2=4,K3576,"zadat jazyk"))))</f>
        <v>0.31680999999999998</v>
      </c>
      <c r="D3576" s="526" t="s">
        <v>1412</v>
      </c>
      <c r="E3576" s="526" t="s">
        <v>1861</v>
      </c>
      <c r="F3576" s="526" t="s">
        <v>5881</v>
      </c>
      <c r="G3576" s="526" t="s">
        <v>2419</v>
      </c>
      <c r="H3576" s="412">
        <v>8.0211299999999994</v>
      </c>
      <c r="I3576" s="411">
        <v>0.31680999999999998</v>
      </c>
      <c r="J3576" s="411">
        <v>1.54355</v>
      </c>
      <c r="K3576" s="411">
        <v>137.10875999999999</v>
      </c>
      <c r="L3576" s="526" t="s">
        <v>556</v>
      </c>
    </row>
    <row r="3577" spans="1:12" ht="15" x14ac:dyDescent="0.25">
      <c r="A3577">
        <v>462141</v>
      </c>
      <c r="B3577" t="str">
        <f t="shared" si="144"/>
        <v>SEVROLL Faworyt II úchytová liš.100mm biela mat</v>
      </c>
      <c r="C3577" s="198">
        <f t="shared" si="145"/>
        <v>0.31263999999999997</v>
      </c>
      <c r="D3577" s="526" t="s">
        <v>1413</v>
      </c>
      <c r="E3577" s="526" t="s">
        <v>1862</v>
      </c>
      <c r="F3577" s="526" t="s">
        <v>2196</v>
      </c>
      <c r="G3577" s="526" t="s">
        <v>2420</v>
      </c>
      <c r="H3577" s="412">
        <v>7.9156300000000002</v>
      </c>
      <c r="I3577" s="411">
        <v>0.31263999999999997</v>
      </c>
      <c r="J3577" s="411">
        <v>1.5232399999999999</v>
      </c>
      <c r="K3577" s="411">
        <v>135.30548999999999</v>
      </c>
      <c r="L3577" s="526" t="s">
        <v>556</v>
      </c>
    </row>
    <row r="3578" spans="1:12" ht="15" x14ac:dyDescent="0.25">
      <c r="A3578">
        <v>462142</v>
      </c>
      <c r="B3578" t="str">
        <f t="shared" si="144"/>
        <v>SEVROLL Fox II úchytová lišta 100mm čierna lesk (vzorka)</v>
      </c>
      <c r="C3578" s="198">
        <f t="shared" si="145"/>
        <v>0.37302999999999997</v>
      </c>
      <c r="D3578" s="526" t="s">
        <v>1414</v>
      </c>
      <c r="E3578" s="526" t="s">
        <v>1863</v>
      </c>
      <c r="F3578" s="526" t="s">
        <v>5882</v>
      </c>
      <c r="G3578" s="526" t="s">
        <v>2421</v>
      </c>
      <c r="H3578" s="412">
        <v>9.4446300000000001</v>
      </c>
      <c r="I3578" s="411">
        <v>0.37302999999999997</v>
      </c>
      <c r="J3578" s="411">
        <v>1.8174399999999999</v>
      </c>
      <c r="K3578" s="411">
        <v>161.44137000000001</v>
      </c>
      <c r="L3578" s="526" t="s">
        <v>556</v>
      </c>
    </row>
    <row r="3579" spans="1:12" ht="15" x14ac:dyDescent="0.25">
      <c r="A3579">
        <v>462153</v>
      </c>
      <c r="B3579" t="str">
        <f t="shared" si="144"/>
        <v/>
      </c>
      <c r="C3579" s="198">
        <f t="shared" si="145"/>
        <v>0.24016999999999999</v>
      </c>
      <c r="D3579" s="526" t="s">
        <v>1415</v>
      </c>
      <c r="E3579" s="526" t="s">
        <v>1864</v>
      </c>
      <c r="F3579" s="526" t="s">
        <v>71</v>
      </c>
      <c r="G3579" s="526" t="s">
        <v>71</v>
      </c>
      <c r="H3579" s="412">
        <v>6.0808299999999997</v>
      </c>
      <c r="I3579" s="411">
        <v>0.24016999999999999</v>
      </c>
      <c r="J3579" s="411">
        <v>1.17014</v>
      </c>
      <c r="K3579" s="411">
        <v>103.94232</v>
      </c>
      <c r="L3579" s="526" t="s">
        <v>556</v>
      </c>
    </row>
    <row r="3580" spans="1:12" ht="15" x14ac:dyDescent="0.25">
      <c r="A3580">
        <v>462154</v>
      </c>
      <c r="B3580" t="str">
        <f t="shared" si="144"/>
        <v/>
      </c>
      <c r="C3580" s="198">
        <f t="shared" si="145"/>
        <v>0.45943000000000001</v>
      </c>
      <c r="D3580" s="526" t="s">
        <v>1416</v>
      </c>
      <c r="E3580" s="526" t="s">
        <v>1865</v>
      </c>
      <c r="F3580" s="526" t="s">
        <v>71</v>
      </c>
      <c r="G3580" s="526" t="s">
        <v>71</v>
      </c>
      <c r="H3580" s="412">
        <v>11.632020000000001</v>
      </c>
      <c r="I3580" s="411">
        <v>0.45943000000000001</v>
      </c>
      <c r="J3580" s="411">
        <v>2.2383799999999998</v>
      </c>
      <c r="K3580" s="411">
        <v>198.83131</v>
      </c>
      <c r="L3580" s="526" t="s">
        <v>556</v>
      </c>
    </row>
    <row r="3581" spans="1:12" ht="15" x14ac:dyDescent="0.25">
      <c r="A3581">
        <v>462518</v>
      </c>
      <c r="B3581" t="str">
        <f t="shared" si="144"/>
        <v/>
      </c>
      <c r="C3581" s="198">
        <f t="shared" si="145"/>
        <v>0</v>
      </c>
      <c r="D3581" s="526" t="s">
        <v>1417</v>
      </c>
      <c r="E3581" s="526" t="s">
        <v>71</v>
      </c>
      <c r="F3581" s="526" t="s">
        <v>71</v>
      </c>
      <c r="G3581" s="526" t="s">
        <v>71</v>
      </c>
      <c r="H3581" s="412">
        <v>0</v>
      </c>
      <c r="I3581" s="411">
        <v>0</v>
      </c>
      <c r="J3581" s="411">
        <v>231.57578000000001</v>
      </c>
      <c r="K3581" s="411">
        <v>0</v>
      </c>
      <c r="L3581" s="526" t="s">
        <v>554</v>
      </c>
    </row>
    <row r="3582" spans="1:12" ht="15" x14ac:dyDescent="0.25">
      <c r="A3582">
        <v>462519</v>
      </c>
      <c r="B3582" t="str">
        <f t="shared" si="144"/>
        <v/>
      </c>
      <c r="C3582" s="198">
        <f t="shared" si="145"/>
        <v>2.5000000000000001E-4</v>
      </c>
      <c r="D3582" s="526" t="s">
        <v>1418</v>
      </c>
      <c r="E3582" s="526" t="s">
        <v>71</v>
      </c>
      <c r="F3582" s="526" t="s">
        <v>71</v>
      </c>
      <c r="G3582" s="526" t="s">
        <v>71</v>
      </c>
      <c r="H3582" s="412">
        <v>7.1199999999999996E-3</v>
      </c>
      <c r="I3582" s="411">
        <v>2.5000000000000001E-4</v>
      </c>
      <c r="J3582" s="411">
        <v>337.33834999999999</v>
      </c>
      <c r="K3582" s="411">
        <v>9.9879999999999997E-2</v>
      </c>
      <c r="L3582" s="526" t="s">
        <v>556</v>
      </c>
    </row>
    <row r="3583" spans="1:12" ht="15" x14ac:dyDescent="0.25">
      <c r="A3583">
        <v>462520</v>
      </c>
      <c r="B3583" t="str">
        <f t="shared" si="144"/>
        <v/>
      </c>
      <c r="C3583" s="198">
        <f t="shared" si="145"/>
        <v>0</v>
      </c>
      <c r="D3583" s="526" t="s">
        <v>1419</v>
      </c>
      <c r="E3583" s="526" t="s">
        <v>71</v>
      </c>
      <c r="F3583" s="526" t="s">
        <v>71</v>
      </c>
      <c r="G3583" s="526" t="s">
        <v>71</v>
      </c>
      <c r="H3583" s="412">
        <v>0</v>
      </c>
      <c r="I3583" s="411">
        <v>0</v>
      </c>
      <c r="J3583" s="411">
        <v>442.46870999999999</v>
      </c>
      <c r="K3583" s="411">
        <v>0</v>
      </c>
      <c r="L3583" s="526" t="s">
        <v>554</v>
      </c>
    </row>
    <row r="3584" spans="1:12" ht="15" x14ac:dyDescent="0.25">
      <c r="A3584">
        <v>462521</v>
      </c>
      <c r="B3584" t="str">
        <f t="shared" si="144"/>
        <v/>
      </c>
      <c r="C3584" s="198">
        <f t="shared" si="145"/>
        <v>0</v>
      </c>
      <c r="D3584" s="526" t="s">
        <v>1420</v>
      </c>
      <c r="E3584" s="526" t="s">
        <v>71</v>
      </c>
      <c r="F3584" s="526" t="s">
        <v>71</v>
      </c>
      <c r="G3584" s="526" t="s">
        <v>71</v>
      </c>
      <c r="H3584" s="412">
        <v>0</v>
      </c>
      <c r="I3584" s="411">
        <v>0</v>
      </c>
      <c r="J3584" s="411">
        <v>568.46256000000005</v>
      </c>
      <c r="K3584" s="411">
        <v>0</v>
      </c>
      <c r="L3584" s="526" t="s">
        <v>554</v>
      </c>
    </row>
    <row r="3585" spans="1:12" ht="15" x14ac:dyDescent="0.25">
      <c r="A3585">
        <v>462566</v>
      </c>
      <c r="B3585" t="str">
        <f t="shared" si="144"/>
        <v>SEVROLL 00095-A uholník Mini 17x11mm 3m oliva new</v>
      </c>
      <c r="C3585" s="198" t="e">
        <f t="shared" si="145"/>
        <v>#N/A</v>
      </c>
      <c r="D3585" s="526" t="s">
        <v>5884</v>
      </c>
      <c r="E3585" s="526" t="s">
        <v>5885</v>
      </c>
      <c r="F3585" s="526" t="s">
        <v>5886</v>
      </c>
      <c r="G3585" s="526" t="s">
        <v>5887</v>
      </c>
      <c r="H3585" s="412" t="e">
        <v>#N/A</v>
      </c>
      <c r="I3585" s="411" t="e">
        <v>#N/A</v>
      </c>
      <c r="J3585" s="411" t="e">
        <v>#N/A</v>
      </c>
      <c r="K3585" s="411" t="e">
        <v>#N/A</v>
      </c>
      <c r="L3585" s="526" t="e">
        <v>#N/A</v>
      </c>
    </row>
    <row r="3586" spans="1:12" ht="15" x14ac:dyDescent="0.25">
      <c r="A3586">
        <v>462573</v>
      </c>
      <c r="B3586" t="str">
        <f t="shared" si="144"/>
        <v>SEVROLL 04296-A  maska Elegant II 1,7m oliva new</v>
      </c>
      <c r="C3586" s="198" t="e">
        <f t="shared" si="145"/>
        <v>#N/A</v>
      </c>
      <c r="D3586" s="526" t="s">
        <v>1427</v>
      </c>
      <c r="E3586" s="526" t="s">
        <v>1872</v>
      </c>
      <c r="F3586" s="526" t="s">
        <v>1427</v>
      </c>
      <c r="G3586" s="526" t="s">
        <v>2428</v>
      </c>
      <c r="H3586" s="412" t="e">
        <v>#N/A</v>
      </c>
      <c r="I3586" s="411" t="e">
        <v>#N/A</v>
      </c>
      <c r="J3586" s="411" t="e">
        <v>#N/A</v>
      </c>
      <c r="K3586" s="411" t="e">
        <v>#N/A</v>
      </c>
      <c r="L3586" s="526" t="e">
        <v>#N/A</v>
      </c>
    </row>
    <row r="3587" spans="1:12" ht="15" x14ac:dyDescent="0.25">
      <c r="A3587">
        <v>464138</v>
      </c>
      <c r="B3587" t="str">
        <f t="shared" si="144"/>
        <v>SEVROLL 05527 úhelník Mini 17x11mm 4,05m strieborný</v>
      </c>
      <c r="C3587" s="198">
        <f t="shared" si="145"/>
        <v>0</v>
      </c>
      <c r="D3587" s="526" t="s">
        <v>5857</v>
      </c>
      <c r="E3587" s="526" t="s">
        <v>5858</v>
      </c>
      <c r="F3587" s="526" t="s">
        <v>5859</v>
      </c>
      <c r="G3587" s="526" t="s">
        <v>5860</v>
      </c>
      <c r="H3587" s="412">
        <v>0</v>
      </c>
      <c r="I3587" s="411">
        <v>0</v>
      </c>
      <c r="J3587" s="411">
        <v>30.166260000000001</v>
      </c>
      <c r="K3587" s="411">
        <v>0</v>
      </c>
      <c r="L3587" s="526" t="s">
        <v>555</v>
      </c>
    </row>
    <row r="3588" spans="1:12" ht="15" x14ac:dyDescent="0.25">
      <c r="A3588">
        <v>464295</v>
      </c>
      <c r="B3588" t="str">
        <f t="shared" si="144"/>
        <v/>
      </c>
      <c r="C3588" s="198">
        <f t="shared" si="145"/>
        <v>0</v>
      </c>
      <c r="D3588" s="526" t="s">
        <v>1386</v>
      </c>
      <c r="E3588" s="526" t="s">
        <v>71</v>
      </c>
      <c r="F3588" s="526" t="s">
        <v>71</v>
      </c>
      <c r="G3588" s="526" t="s">
        <v>71</v>
      </c>
      <c r="H3588" s="412" t="e">
        <v>#N/A</v>
      </c>
      <c r="I3588" s="411">
        <v>0</v>
      </c>
      <c r="J3588" s="411">
        <v>0</v>
      </c>
      <c r="K3588" s="411">
        <v>0</v>
      </c>
      <c r="L3588" s="526" t="e">
        <v>#N/A</v>
      </c>
    </row>
    <row r="3589" spans="1:12" ht="15" x14ac:dyDescent="0.25">
      <c r="A3589">
        <v>464296</v>
      </c>
      <c r="B3589" t="str">
        <f t="shared" si="144"/>
        <v/>
      </c>
      <c r="C3589" s="198">
        <f t="shared" si="145"/>
        <v>2.5000000000000001E-4</v>
      </c>
      <c r="D3589" s="526" t="s">
        <v>1387</v>
      </c>
      <c r="E3589" s="526" t="s">
        <v>71</v>
      </c>
      <c r="F3589" s="526" t="s">
        <v>71</v>
      </c>
      <c r="G3589" s="526" t="s">
        <v>71</v>
      </c>
      <c r="H3589" s="412">
        <v>7.1199999999999996E-3</v>
      </c>
      <c r="I3589" s="411">
        <v>2.5000000000000001E-4</v>
      </c>
      <c r="J3589" s="411">
        <v>634.39481999999998</v>
      </c>
      <c r="K3589" s="411">
        <v>9.9879999999999997E-2</v>
      </c>
      <c r="L3589" s="526" t="s">
        <v>556</v>
      </c>
    </row>
    <row r="3590" spans="1:12" ht="15" x14ac:dyDescent="0.25">
      <c r="A3590">
        <v>465914</v>
      </c>
      <c r="B3590" t="str">
        <f t="shared" si="144"/>
        <v>SEVROLL 02986 Maxim II spodné vedenie 1,8m oliva</v>
      </c>
      <c r="C3590" s="198" t="e">
        <f t="shared" si="145"/>
        <v>#N/A</v>
      </c>
      <c r="D3590" s="526" t="s">
        <v>1367</v>
      </c>
      <c r="E3590" s="526" t="s">
        <v>1818</v>
      </c>
      <c r="F3590" s="526" t="s">
        <v>2182</v>
      </c>
      <c r="G3590" s="526" t="s">
        <v>2390</v>
      </c>
      <c r="H3590" s="412" t="e">
        <v>#N/A</v>
      </c>
      <c r="I3590" s="411" t="e">
        <v>#N/A</v>
      </c>
      <c r="J3590" s="411" t="e">
        <v>#N/A</v>
      </c>
      <c r="K3590" s="411" t="e">
        <v>#N/A</v>
      </c>
      <c r="L3590" s="526" t="e">
        <v>#N/A</v>
      </c>
    </row>
    <row r="3591" spans="1:12" ht="15" x14ac:dyDescent="0.25">
      <c r="A3591">
        <v>465917</v>
      </c>
      <c r="B3591" t="str">
        <f t="shared" si="144"/>
        <v>SEVROLL 02996 Maxim II maska 1,8m oliva</v>
      </c>
      <c r="C3591" s="198" t="e">
        <f t="shared" si="145"/>
        <v>#N/A</v>
      </c>
      <c r="D3591" s="526" t="s">
        <v>1368</v>
      </c>
      <c r="E3591" s="526" t="s">
        <v>1819</v>
      </c>
      <c r="F3591" s="526" t="s">
        <v>1368</v>
      </c>
      <c r="G3591" s="526" t="s">
        <v>2391</v>
      </c>
      <c r="H3591" s="412" t="e">
        <v>#N/A</v>
      </c>
      <c r="I3591" s="411" t="e">
        <v>#N/A</v>
      </c>
      <c r="J3591" s="411" t="e">
        <v>#N/A</v>
      </c>
      <c r="K3591" s="411" t="e">
        <v>#N/A</v>
      </c>
      <c r="L3591" s="526" t="e">
        <v>#N/A</v>
      </c>
    </row>
    <row r="3592" spans="1:12" ht="15" x14ac:dyDescent="0.25">
      <c r="A3592">
        <v>467244</v>
      </c>
      <c r="B3592" t="str">
        <f t="shared" si="144"/>
        <v>SEVROLL Alfa II úchytová lišta 100m oliva new (vzorka)</v>
      </c>
      <c r="C3592" s="198">
        <f t="shared" si="145"/>
        <v>0.23924000000000001</v>
      </c>
      <c r="D3592" s="526" t="s">
        <v>1725</v>
      </c>
      <c r="E3592" s="526" t="s">
        <v>2157</v>
      </c>
      <c r="F3592" s="526" t="s">
        <v>6159</v>
      </c>
      <c r="G3592" s="526" t="s">
        <v>2633</v>
      </c>
      <c r="H3592" s="412">
        <v>6.0572800000000004</v>
      </c>
      <c r="I3592" s="411">
        <v>0.23924000000000001</v>
      </c>
      <c r="J3592" s="411">
        <v>1.1655899999999999</v>
      </c>
      <c r="K3592" s="411">
        <v>103.53992</v>
      </c>
      <c r="L3592" s="526" t="s">
        <v>556</v>
      </c>
    </row>
    <row r="3593" spans="1:12" ht="15" x14ac:dyDescent="0.25">
      <c r="A3593">
        <v>475310</v>
      </c>
      <c r="B3593" t="str">
        <f t="shared" si="144"/>
        <v/>
      </c>
      <c r="C3593" s="198">
        <f t="shared" si="145"/>
        <v>49.8643</v>
      </c>
      <c r="D3593" s="526" t="s">
        <v>3477</v>
      </c>
      <c r="E3593" s="526" t="s">
        <v>71</v>
      </c>
      <c r="F3593" s="526" t="s">
        <v>71</v>
      </c>
      <c r="G3593" s="526" t="s">
        <v>71</v>
      </c>
      <c r="H3593" s="412">
        <v>1381.0511799999999</v>
      </c>
      <c r="I3593" s="411">
        <v>49.8643</v>
      </c>
      <c r="J3593" s="411">
        <v>188.23258000000001</v>
      </c>
      <c r="K3593" s="411">
        <v>18982.05875</v>
      </c>
      <c r="L3593" s="526" t="s">
        <v>554</v>
      </c>
    </row>
    <row r="3594" spans="1:12" ht="15" x14ac:dyDescent="0.25">
      <c r="A3594">
        <v>475311</v>
      </c>
      <c r="B3594" t="str">
        <f t="shared" si="144"/>
        <v/>
      </c>
      <c r="C3594" s="198">
        <f t="shared" si="145"/>
        <v>75.731809999999996</v>
      </c>
      <c r="D3594" s="526" t="s">
        <v>3478</v>
      </c>
      <c r="E3594" s="526" t="s">
        <v>71</v>
      </c>
      <c r="F3594" s="526" t="s">
        <v>71</v>
      </c>
      <c r="G3594" s="526" t="s">
        <v>71</v>
      </c>
      <c r="H3594" s="412">
        <v>2096.9400999999998</v>
      </c>
      <c r="I3594" s="411">
        <v>75.731809999999996</v>
      </c>
      <c r="J3594" s="411">
        <v>285.87974000000003</v>
      </c>
      <c r="K3594" s="411">
        <v>28829.154900000001</v>
      </c>
      <c r="L3594" s="526" t="s">
        <v>554</v>
      </c>
    </row>
    <row r="3595" spans="1:12" ht="15" x14ac:dyDescent="0.25">
      <c r="A3595">
        <v>475312</v>
      </c>
      <c r="B3595" t="str">
        <f t="shared" si="144"/>
        <v/>
      </c>
      <c r="C3595" s="198">
        <f t="shared" si="145"/>
        <v>42.252409999999998</v>
      </c>
      <c r="D3595" s="526" t="s">
        <v>3479</v>
      </c>
      <c r="E3595" s="526" t="s">
        <v>71</v>
      </c>
      <c r="F3595" s="526" t="s">
        <v>71</v>
      </c>
      <c r="G3595" s="526" t="s">
        <v>71</v>
      </c>
      <c r="H3595" s="412">
        <v>1170.28548</v>
      </c>
      <c r="I3595" s="411">
        <v>42.252409999999998</v>
      </c>
      <c r="J3595" s="411">
        <v>159.49850000000001</v>
      </c>
      <c r="K3595" s="411">
        <v>16084.409449999999</v>
      </c>
      <c r="L3595" s="526" t="s">
        <v>554</v>
      </c>
    </row>
    <row r="3596" spans="1:12" ht="15" x14ac:dyDescent="0.25">
      <c r="A3596">
        <v>475313</v>
      </c>
      <c r="B3596" t="str">
        <f t="shared" si="144"/>
        <v/>
      </c>
      <c r="C3596" s="198">
        <f t="shared" si="145"/>
        <v>32.898829999999997</v>
      </c>
      <c r="D3596" s="526" t="s">
        <v>3480</v>
      </c>
      <c r="E3596" s="526" t="s">
        <v>71</v>
      </c>
      <c r="F3596" s="526" t="s">
        <v>71</v>
      </c>
      <c r="G3596" s="526" t="s">
        <v>71</v>
      </c>
      <c r="H3596" s="412">
        <v>910.93650000000002</v>
      </c>
      <c r="I3596" s="411">
        <v>32.898829999999997</v>
      </c>
      <c r="J3596" s="411">
        <v>124.18966</v>
      </c>
      <c r="K3596" s="411">
        <v>12523.738499999999</v>
      </c>
      <c r="L3596" s="526" t="s">
        <v>554</v>
      </c>
    </row>
    <row r="3597" spans="1:12" ht="15" x14ac:dyDescent="0.25">
      <c r="A3597">
        <v>481515</v>
      </c>
      <c r="B3597" t="str">
        <f t="shared" si="144"/>
        <v>SEVROLL bezpečnostná fólia 500mm/400m</v>
      </c>
      <c r="C3597" s="198">
        <f t="shared" si="145"/>
        <v>481.48397999999997</v>
      </c>
      <c r="D3597" s="526" t="s">
        <v>3481</v>
      </c>
      <c r="E3597" s="526" t="s">
        <v>6242</v>
      </c>
      <c r="F3597" s="526" t="s">
        <v>6243</v>
      </c>
      <c r="G3597" s="526" t="s">
        <v>6244</v>
      </c>
      <c r="H3597" s="412">
        <v>14147.079</v>
      </c>
      <c r="I3597" s="411">
        <v>481.48397999999997</v>
      </c>
      <c r="J3597" s="411">
        <v>1890.3761999999999</v>
      </c>
      <c r="K3597" s="411">
        <v>187029.18</v>
      </c>
      <c r="L3597" s="526" t="s">
        <v>554</v>
      </c>
    </row>
    <row r="3598" spans="1:12" ht="15" x14ac:dyDescent="0.25">
      <c r="A3598">
        <v>488003</v>
      </c>
      <c r="B3598" t="str">
        <f t="shared" si="144"/>
        <v/>
      </c>
      <c r="C3598" s="198">
        <f t="shared" si="145"/>
        <v>2.5500000000000002E-3</v>
      </c>
      <c r="D3598" s="526" t="s">
        <v>3482</v>
      </c>
      <c r="E3598" s="526" t="s">
        <v>71</v>
      </c>
      <c r="F3598" s="526" t="s">
        <v>71</v>
      </c>
      <c r="G3598" s="526" t="s">
        <v>71</v>
      </c>
      <c r="H3598" s="412">
        <v>7.5060000000000002E-2</v>
      </c>
      <c r="I3598" s="411">
        <v>2.5500000000000002E-3</v>
      </c>
      <c r="J3598" s="411">
        <v>9.7099999999999999E-3</v>
      </c>
      <c r="K3598" s="411">
        <v>0.99795999999999996</v>
      </c>
      <c r="L3598" s="526" t="s">
        <v>556</v>
      </c>
    </row>
    <row r="3599" spans="1:12" ht="15" x14ac:dyDescent="0.25">
      <c r="A3599">
        <v>488004</v>
      </c>
      <c r="B3599" t="str">
        <f t="shared" si="144"/>
        <v/>
      </c>
      <c r="C3599" s="198">
        <f t="shared" si="145"/>
        <v>2.5500000000000002E-3</v>
      </c>
      <c r="D3599" s="526" t="s">
        <v>3483</v>
      </c>
      <c r="E3599" s="526" t="s">
        <v>71</v>
      </c>
      <c r="F3599" s="526" t="s">
        <v>71</v>
      </c>
      <c r="G3599" s="526" t="s">
        <v>71</v>
      </c>
      <c r="H3599" s="412">
        <v>7.5060000000000002E-2</v>
      </c>
      <c r="I3599" s="411">
        <v>2.5500000000000002E-3</v>
      </c>
      <c r="J3599" s="411">
        <v>9.7099999999999999E-3</v>
      </c>
      <c r="K3599" s="411">
        <v>0.99795999999999996</v>
      </c>
      <c r="L3599" s="526" t="s">
        <v>556</v>
      </c>
    </row>
    <row r="3600" spans="1:12" ht="15" x14ac:dyDescent="0.25">
      <c r="A3600">
        <v>488235</v>
      </c>
      <c r="B3600" t="str">
        <f t="shared" si="144"/>
        <v>SEVROLL 05747 spodná krycia lišta Simple/Blue 2m (pre lamino 18mm) čierna mat</v>
      </c>
      <c r="C3600" s="198">
        <f t="shared" si="145"/>
        <v>17.184799999999999</v>
      </c>
      <c r="D3600" s="526" t="s">
        <v>3484</v>
      </c>
      <c r="E3600" s="526" t="s">
        <v>6245</v>
      </c>
      <c r="F3600" s="526" t="s">
        <v>6246</v>
      </c>
      <c r="G3600" s="526" t="s">
        <v>6247</v>
      </c>
      <c r="H3600" s="412">
        <v>470.69549999999998</v>
      </c>
      <c r="I3600" s="411">
        <v>17.184799999999999</v>
      </c>
      <c r="J3600" s="411">
        <v>85.189250000000001</v>
      </c>
      <c r="K3600" s="411">
        <v>6675.31808</v>
      </c>
      <c r="L3600" s="526" t="s">
        <v>553</v>
      </c>
    </row>
    <row r="3601" spans="1:12" ht="15" x14ac:dyDescent="0.25">
      <c r="A3601">
        <v>488236</v>
      </c>
      <c r="B3601" t="str">
        <f t="shared" si="144"/>
        <v>SEVROLL 05748 spodná krycia lišta Simple/Blue 3m (pre lamino 18mm) čierna mat</v>
      </c>
      <c r="C3601" s="198">
        <f t="shared" si="145"/>
        <v>25.751390000000001</v>
      </c>
      <c r="D3601" s="526" t="s">
        <v>3485</v>
      </c>
      <c r="E3601" s="526" t="s">
        <v>6248</v>
      </c>
      <c r="F3601" s="526" t="s">
        <v>6249</v>
      </c>
      <c r="G3601" s="526" t="s">
        <v>6250</v>
      </c>
      <c r="H3601" s="412">
        <v>705.3365</v>
      </c>
      <c r="I3601" s="411">
        <v>25.751390000000001</v>
      </c>
      <c r="J3601" s="411">
        <v>127.83893999999999</v>
      </c>
      <c r="K3601" s="411">
        <v>10002.95385</v>
      </c>
      <c r="L3601" s="526" t="s">
        <v>553</v>
      </c>
    </row>
    <row r="3602" spans="1:12" ht="15" x14ac:dyDescent="0.25">
      <c r="A3602">
        <v>488237</v>
      </c>
      <c r="B3602" t="str">
        <f t="shared" si="144"/>
        <v>SEVROLL 05749 horná vodiaca lišta Simple/Blue 2m (pre lamino 18mm) čierna mat</v>
      </c>
      <c r="C3602" s="198">
        <f t="shared" si="145"/>
        <v>8.7730200000000007</v>
      </c>
      <c r="D3602" s="526" t="s">
        <v>3486</v>
      </c>
      <c r="E3602" s="526" t="s">
        <v>6251</v>
      </c>
      <c r="F3602" s="526" t="s">
        <v>6252</v>
      </c>
      <c r="G3602" s="526" t="s">
        <v>6253</v>
      </c>
      <c r="H3602" s="412">
        <v>240.29499999999999</v>
      </c>
      <c r="I3602" s="411">
        <v>8.7730200000000007</v>
      </c>
      <c r="J3602" s="411">
        <v>44.207169999999998</v>
      </c>
      <c r="K3602" s="411">
        <v>3407.82</v>
      </c>
      <c r="L3602" s="526" t="s">
        <v>553</v>
      </c>
    </row>
    <row r="3603" spans="1:12" ht="15" x14ac:dyDescent="0.25">
      <c r="A3603">
        <v>488238</v>
      </c>
      <c r="B3603" t="str">
        <f t="shared" si="144"/>
        <v>SEVROLL 05750 horná vodiaca lišta Simple/Blue 3m (pre lamino 18mm) čierna mat</v>
      </c>
      <c r="C3603" s="198">
        <f t="shared" si="145"/>
        <v>13.15953</v>
      </c>
      <c r="D3603" s="526" t="s">
        <v>3487</v>
      </c>
      <c r="E3603" s="526" t="s">
        <v>6254</v>
      </c>
      <c r="F3603" s="526" t="s">
        <v>6255</v>
      </c>
      <c r="G3603" s="526" t="s">
        <v>6256</v>
      </c>
      <c r="H3603" s="412">
        <v>360.4425</v>
      </c>
      <c r="I3603" s="411">
        <v>13.15953</v>
      </c>
      <c r="J3603" s="411">
        <v>66.326480000000004</v>
      </c>
      <c r="K3603" s="411">
        <v>5111.7299999999996</v>
      </c>
      <c r="L3603" s="526" t="s">
        <v>553</v>
      </c>
    </row>
    <row r="3604" spans="1:12" ht="15" x14ac:dyDescent="0.25">
      <c r="A3604">
        <v>488239</v>
      </c>
      <c r="B3604" t="str">
        <f t="shared" si="144"/>
        <v>SEVROLL 05746 spojovacia lišta Simple/Blue H21 3m (pre lamino 18mm) čierna mat</v>
      </c>
      <c r="C3604" s="198">
        <f t="shared" si="145"/>
        <v>14.72578</v>
      </c>
      <c r="D3604" s="526" t="s">
        <v>3488</v>
      </c>
      <c r="E3604" s="526" t="s">
        <v>6257</v>
      </c>
      <c r="F3604" s="526" t="s">
        <v>6258</v>
      </c>
      <c r="G3604" s="526" t="s">
        <v>6259</v>
      </c>
      <c r="H3604" s="412">
        <v>403.55425000000002</v>
      </c>
      <c r="I3604" s="411">
        <v>14.72578</v>
      </c>
      <c r="J3604" s="411">
        <v>61.339410000000001</v>
      </c>
      <c r="K3604" s="411">
        <v>5720.1261500000001</v>
      </c>
      <c r="L3604" s="526" t="s">
        <v>553</v>
      </c>
    </row>
    <row r="3605" spans="1:12" ht="15" x14ac:dyDescent="0.25">
      <c r="A3605">
        <v>488246</v>
      </c>
      <c r="B3605" t="str">
        <f t="shared" si="144"/>
        <v>SEVROLL 05745 Era úchytová lišta 18mm 2,70m čierna mat</v>
      </c>
      <c r="C3605" s="198">
        <f t="shared" si="145"/>
        <v>15.76563</v>
      </c>
      <c r="D3605" s="526" t="s">
        <v>3489</v>
      </c>
      <c r="E3605" s="526" t="s">
        <v>6260</v>
      </c>
      <c r="F3605" s="526" t="s">
        <v>6261</v>
      </c>
      <c r="G3605" s="526" t="s">
        <v>6262</v>
      </c>
      <c r="H3605" s="412">
        <v>431.82425000000001</v>
      </c>
      <c r="I3605" s="411">
        <v>15.76563</v>
      </c>
      <c r="J3605" s="411">
        <v>55.817450000000001</v>
      </c>
      <c r="K3605" s="411">
        <v>6124.0530799999997</v>
      </c>
      <c r="L3605" s="526" t="s">
        <v>553</v>
      </c>
    </row>
    <row r="3606" spans="1:12" ht="15" x14ac:dyDescent="0.25">
      <c r="A3606">
        <v>488247</v>
      </c>
      <c r="B3606" t="str">
        <f t="shared" si="144"/>
        <v>SEVROLL 05909 Rekord úchytová lišta 18mm 2,70m čierna mat</v>
      </c>
      <c r="C3606" s="198">
        <f t="shared" si="145"/>
        <v>16.067540000000001</v>
      </c>
      <c r="D3606" s="526" t="s">
        <v>3490</v>
      </c>
      <c r="E3606" s="526" t="s">
        <v>6263</v>
      </c>
      <c r="F3606" s="526" t="s">
        <v>6264</v>
      </c>
      <c r="G3606" s="526" t="s">
        <v>6265</v>
      </c>
      <c r="H3606" s="412">
        <v>440.30525</v>
      </c>
      <c r="I3606" s="411">
        <v>16.067540000000001</v>
      </c>
      <c r="J3606" s="411">
        <v>66.609660000000005</v>
      </c>
      <c r="K3606" s="411">
        <v>6241.3219300000001</v>
      </c>
      <c r="L3606" s="526" t="s">
        <v>553</v>
      </c>
    </row>
    <row r="3607" spans="1:12" ht="15" x14ac:dyDescent="0.25">
      <c r="A3607">
        <v>488257</v>
      </c>
      <c r="B3607" t="str">
        <f t="shared" si="144"/>
        <v>SEVROLL 05751 Blue-V spodné vedenie 2m čierna mat</v>
      </c>
      <c r="C3607" s="198">
        <f t="shared" si="145"/>
        <v>10.39861</v>
      </c>
      <c r="D3607" s="526" t="s">
        <v>3491</v>
      </c>
      <c r="E3607" s="526" t="s">
        <v>6266</v>
      </c>
      <c r="F3607" s="526" t="s">
        <v>6267</v>
      </c>
      <c r="G3607" s="526" t="s">
        <v>6268</v>
      </c>
      <c r="H3607" s="412">
        <v>284.82024999999999</v>
      </c>
      <c r="I3607" s="411">
        <v>10.39861</v>
      </c>
      <c r="J3607" s="411">
        <v>44.993769999999998</v>
      </c>
      <c r="K3607" s="411">
        <v>4039.2688499999999</v>
      </c>
      <c r="L3607" s="526" t="s">
        <v>553</v>
      </c>
    </row>
    <row r="3608" spans="1:12" ht="15" x14ac:dyDescent="0.25">
      <c r="A3608">
        <v>488258</v>
      </c>
      <c r="B3608" t="str">
        <f t="shared" si="144"/>
        <v>SEVROLL 05752 Blue-V spodné vedenie 3m čierna mat</v>
      </c>
      <c r="C3608" s="198">
        <f t="shared" si="145"/>
        <v>15.597910000000001</v>
      </c>
      <c r="D3608" s="526" t="s">
        <v>3492</v>
      </c>
      <c r="E3608" s="526" t="s">
        <v>6269</v>
      </c>
      <c r="F3608" s="526" t="s">
        <v>6270</v>
      </c>
      <c r="G3608" s="526" t="s">
        <v>6271</v>
      </c>
      <c r="H3608" s="412">
        <v>427.58375000000001</v>
      </c>
      <c r="I3608" s="411">
        <v>15.597910000000001</v>
      </c>
      <c r="J3608" s="411">
        <v>67.490650000000002</v>
      </c>
      <c r="K3608" s="411">
        <v>6058.9034799999999</v>
      </c>
      <c r="L3608" s="526" t="s">
        <v>553</v>
      </c>
    </row>
    <row r="3609" spans="1:12" ht="15" x14ac:dyDescent="0.25">
      <c r="A3609">
        <v>488259</v>
      </c>
      <c r="B3609" t="str">
        <f t="shared" si="144"/>
        <v>SEVROLL 05753 Blue-V spodné vedenie 6m čierna mat</v>
      </c>
      <c r="C3609" s="198">
        <f t="shared" si="145"/>
        <v>31.195830000000001</v>
      </c>
      <c r="D3609" s="526" t="s">
        <v>3493</v>
      </c>
      <c r="E3609" s="526" t="s">
        <v>6272</v>
      </c>
      <c r="F3609" s="526" t="s">
        <v>6273</v>
      </c>
      <c r="G3609" s="526" t="s">
        <v>6274</v>
      </c>
      <c r="H3609" s="412">
        <v>854.46074999999996</v>
      </c>
      <c r="I3609" s="411">
        <v>31.195830000000001</v>
      </c>
      <c r="J3609" s="411">
        <v>134.91838000000001</v>
      </c>
      <c r="K3609" s="411">
        <v>12117.806930000001</v>
      </c>
      <c r="L3609" s="526" t="s">
        <v>554</v>
      </c>
    </row>
    <row r="3610" spans="1:12" ht="15" x14ac:dyDescent="0.25">
      <c r="A3610">
        <v>488266</v>
      </c>
      <c r="B3610" t="str">
        <f t="shared" si="144"/>
        <v>SEVROLL 05754 Blue horné vedenie 2m čierna mat</v>
      </c>
      <c r="C3610" s="198">
        <f t="shared" si="145"/>
        <v>19.455459999999999</v>
      </c>
      <c r="D3610" s="526" t="s">
        <v>3494</v>
      </c>
      <c r="E3610" s="526" t="s">
        <v>6275</v>
      </c>
      <c r="F3610" s="526" t="s">
        <v>6276</v>
      </c>
      <c r="G3610" s="526" t="s">
        <v>6277</v>
      </c>
      <c r="H3610" s="412">
        <v>532.8895</v>
      </c>
      <c r="I3610" s="411">
        <v>19.455459999999999</v>
      </c>
      <c r="J3610" s="411">
        <v>66.342209999999994</v>
      </c>
      <c r="K3610" s="411">
        <v>7557.3419299999996</v>
      </c>
      <c r="L3610" s="526" t="s">
        <v>553</v>
      </c>
    </row>
    <row r="3611" spans="1:12" ht="15" x14ac:dyDescent="0.25">
      <c r="A3611">
        <v>488267</v>
      </c>
      <c r="B3611" t="str">
        <f t="shared" si="144"/>
        <v>SEVROLL 05755 Blue horné vedenie 3m čierna mat</v>
      </c>
      <c r="C3611" s="198">
        <f t="shared" si="145"/>
        <v>29.18319</v>
      </c>
      <c r="D3611" s="526" t="s">
        <v>3495</v>
      </c>
      <c r="E3611" s="526" t="s">
        <v>6278</v>
      </c>
      <c r="F3611" s="526" t="s">
        <v>6279</v>
      </c>
      <c r="G3611" s="526" t="s">
        <v>6280</v>
      </c>
      <c r="H3611" s="412">
        <v>799.33425</v>
      </c>
      <c r="I3611" s="411">
        <v>29.18319</v>
      </c>
      <c r="J3611" s="411">
        <v>99.55265</v>
      </c>
      <c r="K3611" s="411">
        <v>11336.013080000001</v>
      </c>
      <c r="L3611" s="526" t="s">
        <v>553</v>
      </c>
    </row>
    <row r="3612" spans="1:12" ht="15" x14ac:dyDescent="0.25">
      <c r="A3612">
        <v>488268</v>
      </c>
      <c r="B3612" t="str">
        <f t="shared" si="144"/>
        <v>SEVROLL 05756 Blue horné vedenie 6m čierna mat</v>
      </c>
      <c r="C3612" s="198">
        <f t="shared" si="145"/>
        <v>58.366390000000003</v>
      </c>
      <c r="D3612" s="526" t="s">
        <v>3496</v>
      </c>
      <c r="E3612" s="526" t="s">
        <v>6281</v>
      </c>
      <c r="F3612" s="526" t="s">
        <v>6282</v>
      </c>
      <c r="G3612" s="526" t="s">
        <v>6283</v>
      </c>
      <c r="H3612" s="412">
        <v>1598.6685</v>
      </c>
      <c r="I3612" s="411">
        <v>58.366390000000003</v>
      </c>
      <c r="J3612" s="411">
        <v>199.01089999999999</v>
      </c>
      <c r="K3612" s="411">
        <v>22672.026150000002</v>
      </c>
      <c r="L3612" s="526" t="s">
        <v>554</v>
      </c>
    </row>
    <row r="3613" spans="1:12" ht="15" x14ac:dyDescent="0.25">
      <c r="A3613">
        <v>488274</v>
      </c>
      <c r="B3613" t="str">
        <f t="shared" si="144"/>
        <v>SEVROLL 05808 Concordia</v>
      </c>
      <c r="C3613" s="198">
        <f t="shared" si="145"/>
        <v>552.02937999999995</v>
      </c>
      <c r="D3613" s="526" t="s">
        <v>3497</v>
      </c>
      <c r="E3613" s="526" t="s">
        <v>6284</v>
      </c>
      <c r="F3613" s="526" t="s">
        <v>6284</v>
      </c>
      <c r="G3613" s="526" t="s">
        <v>6284</v>
      </c>
      <c r="H3613" s="412">
        <v>12096.167600000001</v>
      </c>
      <c r="I3613" s="411">
        <v>552.02937999999995</v>
      </c>
      <c r="J3613" s="411">
        <v>1866.1271999999999</v>
      </c>
      <c r="K3613" s="411">
        <v>205854.77945</v>
      </c>
      <c r="L3613" s="526" t="s">
        <v>554</v>
      </c>
    </row>
    <row r="3614" spans="1:12" ht="15" x14ac:dyDescent="0.25">
      <c r="A3614">
        <v>488275</v>
      </c>
      <c r="B3614" t="str">
        <f t="shared" si="144"/>
        <v>SEVROLL 05809 Concordia</v>
      </c>
      <c r="C3614" s="198">
        <f t="shared" si="145"/>
        <v>580.18046000000004</v>
      </c>
      <c r="D3614" s="526" t="s">
        <v>3498</v>
      </c>
      <c r="E3614" s="526" t="s">
        <v>6285</v>
      </c>
      <c r="F3614" s="526" t="s">
        <v>6285</v>
      </c>
      <c r="G3614" s="526" t="s">
        <v>6285</v>
      </c>
      <c r="H3614" s="412">
        <v>12713.019</v>
      </c>
      <c r="I3614" s="411">
        <v>580.18046000000004</v>
      </c>
      <c r="J3614" s="411">
        <v>1961.3184000000001</v>
      </c>
      <c r="K3614" s="411">
        <v>216352.4688</v>
      </c>
      <c r="L3614" s="526" t="s">
        <v>554</v>
      </c>
    </row>
    <row r="3615" spans="1:12" ht="15" x14ac:dyDescent="0.25">
      <c r="A3615">
        <v>488534</v>
      </c>
      <c r="B3615" t="str">
        <f t="shared" si="144"/>
        <v/>
      </c>
      <c r="C3615" s="198">
        <f t="shared" si="145"/>
        <v>0</v>
      </c>
      <c r="D3615" s="526" t="s">
        <v>3499</v>
      </c>
      <c r="E3615" s="526" t="s">
        <v>6286</v>
      </c>
      <c r="F3615" s="526" t="s">
        <v>71</v>
      </c>
      <c r="G3615" s="526" t="s">
        <v>71</v>
      </c>
      <c r="H3615" s="412">
        <v>0</v>
      </c>
      <c r="I3615" s="411">
        <v>0</v>
      </c>
      <c r="J3615" s="411">
        <v>0</v>
      </c>
      <c r="K3615" s="411">
        <v>0</v>
      </c>
      <c r="L3615" s="526" t="s">
        <v>556</v>
      </c>
    </row>
    <row r="3616" spans="1:12" ht="15" x14ac:dyDescent="0.25">
      <c r="A3616">
        <v>488535</v>
      </c>
      <c r="B3616" t="str">
        <f t="shared" si="144"/>
        <v/>
      </c>
      <c r="C3616" s="198">
        <f t="shared" si="145"/>
        <v>0</v>
      </c>
      <c r="D3616" s="526" t="s">
        <v>3500</v>
      </c>
      <c r="E3616" s="526" t="s">
        <v>6287</v>
      </c>
      <c r="F3616" s="526" t="s">
        <v>71</v>
      </c>
      <c r="G3616" s="526" t="s">
        <v>71</v>
      </c>
      <c r="H3616" s="412">
        <v>0</v>
      </c>
      <c r="I3616" s="411">
        <v>0</v>
      </c>
      <c r="J3616" s="411">
        <v>0</v>
      </c>
      <c r="K3616" s="411">
        <v>0</v>
      </c>
      <c r="L3616" s="526" t="s">
        <v>556</v>
      </c>
    </row>
    <row r="3617" spans="1:12" ht="15" x14ac:dyDescent="0.25">
      <c r="A3617">
        <v>488536</v>
      </c>
      <c r="B3617" t="str">
        <f t="shared" si="144"/>
        <v/>
      </c>
      <c r="C3617" s="198">
        <f t="shared" si="145"/>
        <v>0</v>
      </c>
      <c r="D3617" s="526" t="s">
        <v>3501</v>
      </c>
      <c r="E3617" s="526" t="s">
        <v>6288</v>
      </c>
      <c r="F3617" s="526" t="s">
        <v>71</v>
      </c>
      <c r="G3617" s="526" t="s">
        <v>71</v>
      </c>
      <c r="H3617" s="412">
        <v>0</v>
      </c>
      <c r="I3617" s="411">
        <v>0</v>
      </c>
      <c r="J3617" s="411">
        <v>0</v>
      </c>
      <c r="K3617" s="411">
        <v>0</v>
      </c>
      <c r="L3617" s="526" t="s">
        <v>556</v>
      </c>
    </row>
    <row r="3618" spans="1:12" ht="15" x14ac:dyDescent="0.25">
      <c r="A3618">
        <v>488537</v>
      </c>
      <c r="B3618" t="str">
        <f t="shared" si="144"/>
        <v/>
      </c>
      <c r="C3618" s="198">
        <f t="shared" si="145"/>
        <v>0</v>
      </c>
      <c r="D3618" s="526" t="s">
        <v>3502</v>
      </c>
      <c r="E3618" s="526" t="s">
        <v>6289</v>
      </c>
      <c r="F3618" s="526" t="s">
        <v>71</v>
      </c>
      <c r="G3618" s="526" t="s">
        <v>71</v>
      </c>
      <c r="H3618" s="412">
        <v>0</v>
      </c>
      <c r="I3618" s="411">
        <v>0</v>
      </c>
      <c r="J3618" s="411">
        <v>0</v>
      </c>
      <c r="K3618" s="411">
        <v>0</v>
      </c>
      <c r="L3618" s="526" t="s">
        <v>556</v>
      </c>
    </row>
    <row r="3619" spans="1:12" ht="15" x14ac:dyDescent="0.25">
      <c r="A3619">
        <v>489286</v>
      </c>
      <c r="B3619" t="str">
        <f t="shared" si="144"/>
        <v>SEVROLL 05784 Porto GM 18 úchytová lišta 2,7m strieborn</v>
      </c>
      <c r="C3619" s="198">
        <f t="shared" si="145"/>
        <v>21.261669999999999</v>
      </c>
      <c r="D3619" s="526" t="s">
        <v>6290</v>
      </c>
      <c r="E3619" s="526" t="s">
        <v>6291</v>
      </c>
      <c r="F3619" s="526" t="s">
        <v>6292</v>
      </c>
      <c r="G3619" s="526" t="s">
        <v>6293</v>
      </c>
      <c r="H3619" s="412">
        <v>588.71504000000004</v>
      </c>
      <c r="I3619" s="411">
        <v>21.261669999999999</v>
      </c>
      <c r="J3619" s="411">
        <v>78.988799999999998</v>
      </c>
      <c r="K3619" s="411">
        <v>8093.7728900000002</v>
      </c>
      <c r="L3619" s="526" t="s">
        <v>554</v>
      </c>
    </row>
    <row r="3620" spans="1:12" ht="15" x14ac:dyDescent="0.25">
      <c r="A3620">
        <v>489287</v>
      </c>
      <c r="B3620" t="str">
        <f t="shared" si="144"/>
        <v>SEVROLL 05785 Porto GM 18 úchytová lišta 3m strieborn</v>
      </c>
      <c r="C3620" s="198">
        <f t="shared" si="145"/>
        <v>23.609749999999998</v>
      </c>
      <c r="D3620" s="526" t="s">
        <v>6294</v>
      </c>
      <c r="E3620" s="526" t="s">
        <v>6295</v>
      </c>
      <c r="F3620" s="526" t="s">
        <v>6296</v>
      </c>
      <c r="G3620" s="526" t="s">
        <v>6297</v>
      </c>
      <c r="H3620" s="412">
        <v>653.73090000000002</v>
      </c>
      <c r="I3620" s="411">
        <v>23.609749999999998</v>
      </c>
      <c r="J3620" s="411">
        <v>87.771000000000001</v>
      </c>
      <c r="K3620" s="411">
        <v>8987.6241000000009</v>
      </c>
      <c r="L3620" s="526" t="s">
        <v>553</v>
      </c>
    </row>
    <row r="3621" spans="1:12" ht="15" x14ac:dyDescent="0.25">
      <c r="A3621">
        <v>489288</v>
      </c>
      <c r="B3621" t="str">
        <f t="shared" si="144"/>
        <v>SEVROLL 05787 Porto GM 18 úchytová lišta 2,7m oliva</v>
      </c>
      <c r="C3621" s="198">
        <f t="shared" si="145"/>
        <v>29.51219</v>
      </c>
      <c r="D3621" s="526" t="s">
        <v>6298</v>
      </c>
      <c r="E3621" s="526" t="s">
        <v>6299</v>
      </c>
      <c r="F3621" s="526" t="s">
        <v>6300</v>
      </c>
      <c r="G3621" s="526" t="s">
        <v>6301</v>
      </c>
      <c r="H3621" s="412">
        <v>817.34223999999995</v>
      </c>
      <c r="I3621" s="411">
        <v>29.51219</v>
      </c>
      <c r="J3621" s="411">
        <v>100.90860000000001</v>
      </c>
      <c r="K3621" s="411">
        <v>11234.530419999999</v>
      </c>
      <c r="L3621" s="526" t="s">
        <v>554</v>
      </c>
    </row>
    <row r="3622" spans="1:12" ht="15" x14ac:dyDescent="0.25">
      <c r="A3622">
        <v>489289</v>
      </c>
      <c r="B3622" t="str">
        <f t="shared" si="144"/>
        <v>SEVROLL 05786 Porto GM 18 úchytová lišta 2,7m oliva</v>
      </c>
      <c r="C3622" s="198">
        <f t="shared" si="145"/>
        <v>26.577089999999998</v>
      </c>
      <c r="D3622" s="526" t="s">
        <v>6302</v>
      </c>
      <c r="E3622" s="526" t="s">
        <v>6303</v>
      </c>
      <c r="F3622" s="526" t="s">
        <v>6302</v>
      </c>
      <c r="G3622" s="526" t="s">
        <v>6304</v>
      </c>
      <c r="H3622" s="412">
        <v>735.89380000000006</v>
      </c>
      <c r="I3622" s="411">
        <v>26.577089999999998</v>
      </c>
      <c r="J3622" s="411">
        <v>90.810599999999994</v>
      </c>
      <c r="K3622" s="411">
        <v>10117.216200000001</v>
      </c>
      <c r="L3622" s="526" t="s">
        <v>554</v>
      </c>
    </row>
    <row r="3623" spans="1:12" ht="15" x14ac:dyDescent="0.25">
      <c r="A3623">
        <v>489290</v>
      </c>
      <c r="B3623" t="str">
        <f t="shared" si="144"/>
        <v>SEVROLL 05790 Prosper GM 18 úch.lišta 2,7m strieborná</v>
      </c>
      <c r="C3623" s="198">
        <f t="shared" si="145"/>
        <v>22.448609999999999</v>
      </c>
      <c r="D3623" s="526" t="s">
        <v>6305</v>
      </c>
      <c r="E3623" s="526" t="s">
        <v>6306</v>
      </c>
      <c r="F3623" s="526" t="s">
        <v>6307</v>
      </c>
      <c r="G3623" s="526" t="s">
        <v>6308</v>
      </c>
      <c r="H3623" s="412">
        <v>621.58019999999999</v>
      </c>
      <c r="I3623" s="411">
        <v>22.448609999999999</v>
      </c>
      <c r="J3623" s="411">
        <v>78.988799999999998</v>
      </c>
      <c r="K3623" s="411">
        <v>8545.6098000000002</v>
      </c>
      <c r="L3623" s="526" t="s">
        <v>553</v>
      </c>
    </row>
    <row r="3624" spans="1:12" ht="15" x14ac:dyDescent="0.25">
      <c r="A3624">
        <v>489291</v>
      </c>
      <c r="B3624" t="str">
        <f t="shared" si="144"/>
        <v>SEVROLL 05791 Prosper GM 18 úch lišta 2 7m oliva</v>
      </c>
      <c r="C3624" s="198">
        <f t="shared" si="145"/>
        <v>28.060759999999998</v>
      </c>
      <c r="D3624" s="526" t="s">
        <v>6309</v>
      </c>
      <c r="E3624" s="526" t="s">
        <v>6310</v>
      </c>
      <c r="F3624" s="526" t="s">
        <v>6311</v>
      </c>
      <c r="G3624" s="526" t="s">
        <v>6312</v>
      </c>
      <c r="H3624" s="412">
        <v>777.33248000000003</v>
      </c>
      <c r="I3624" s="411">
        <v>28.060759999999998</v>
      </c>
      <c r="J3624" s="411">
        <v>95.262100000000004</v>
      </c>
      <c r="K3624" s="411">
        <v>10682.01245</v>
      </c>
      <c r="L3624" s="526" t="s">
        <v>554</v>
      </c>
    </row>
    <row r="3625" spans="1:12" ht="15" x14ac:dyDescent="0.25">
      <c r="A3625">
        <v>489292</v>
      </c>
      <c r="B3625" t="str">
        <f t="shared" si="144"/>
        <v>SEVROLL 05788 Arte GM 18 úch.lišta 2,7m strieborná</v>
      </c>
      <c r="C3625" s="198">
        <f t="shared" si="145"/>
        <v>22.453779999999998</v>
      </c>
      <c r="D3625" s="526" t="s">
        <v>6313</v>
      </c>
      <c r="E3625" s="526" t="s">
        <v>6314</v>
      </c>
      <c r="F3625" s="526" t="s">
        <v>6315</v>
      </c>
      <c r="G3625" s="526" t="s">
        <v>6316</v>
      </c>
      <c r="H3625" s="412">
        <v>621.58019999999999</v>
      </c>
      <c r="I3625" s="411">
        <v>22.453779999999998</v>
      </c>
      <c r="J3625" s="411">
        <v>78.988799999999998</v>
      </c>
      <c r="K3625" s="411">
        <v>8547.5743299999995</v>
      </c>
      <c r="L3625" s="526" t="s">
        <v>553</v>
      </c>
    </row>
    <row r="3626" spans="1:12" ht="15" x14ac:dyDescent="0.25">
      <c r="A3626">
        <v>489293</v>
      </c>
      <c r="B3626" t="str">
        <f t="shared" si="144"/>
        <v>SEVROLL 05789 Arte GM 18 úch.lišta 2,7m oliva</v>
      </c>
      <c r="C3626" s="198">
        <f t="shared" si="145"/>
        <v>28.067229999999999</v>
      </c>
      <c r="D3626" s="526" t="s">
        <v>6317</v>
      </c>
      <c r="E3626" s="526" t="s">
        <v>6318</v>
      </c>
      <c r="F3626" s="526" t="s">
        <v>6319</v>
      </c>
      <c r="G3626" s="526" t="s">
        <v>6320</v>
      </c>
      <c r="H3626" s="412">
        <v>777.33248000000003</v>
      </c>
      <c r="I3626" s="411">
        <v>28.067229999999999</v>
      </c>
      <c r="J3626" s="411">
        <v>95.262100000000004</v>
      </c>
      <c r="K3626" s="411">
        <v>10684.46811</v>
      </c>
      <c r="L3626" s="526" t="s">
        <v>554</v>
      </c>
    </row>
    <row r="3627" spans="1:12" ht="15" x14ac:dyDescent="0.25">
      <c r="A3627">
        <v>489294</v>
      </c>
      <c r="B3627" t="str">
        <f t="shared" si="144"/>
        <v>SEVROLL 05910 Arte GM 18 úchytová lišta 2,7m čierna mat</v>
      </c>
      <c r="C3627" s="198">
        <f t="shared" si="145"/>
        <v>29.105779999999999</v>
      </c>
      <c r="D3627" s="526" t="s">
        <v>6321</v>
      </c>
      <c r="E3627" s="526" t="s">
        <v>6322</v>
      </c>
      <c r="F3627" s="526" t="s">
        <v>6323</v>
      </c>
      <c r="G3627" s="526" t="s">
        <v>6324</v>
      </c>
      <c r="H3627" s="412">
        <v>805.91088000000002</v>
      </c>
      <c r="I3627" s="411">
        <v>29.105779999999999</v>
      </c>
      <c r="J3627" s="411">
        <v>102.68340000000001</v>
      </c>
      <c r="K3627" s="411">
        <v>11079.82497</v>
      </c>
      <c r="L3627" s="526" t="s">
        <v>554</v>
      </c>
    </row>
    <row r="3628" spans="1:12" ht="15" x14ac:dyDescent="0.25">
      <c r="A3628">
        <v>489301</v>
      </c>
      <c r="B3628" t="str">
        <f t="shared" si="144"/>
        <v>SEVROLL 05903 Focus II 18mm úchytová lišta 2,7m čierna mat</v>
      </c>
      <c r="C3628" s="198">
        <f t="shared" si="145"/>
        <v>10.70051</v>
      </c>
      <c r="D3628" s="526" t="s">
        <v>3503</v>
      </c>
      <c r="E3628" s="526" t="s">
        <v>6325</v>
      </c>
      <c r="F3628" s="526" t="s">
        <v>6326</v>
      </c>
      <c r="G3628" s="526" t="s">
        <v>6327</v>
      </c>
      <c r="H3628" s="412">
        <v>296.5009</v>
      </c>
      <c r="I3628" s="411">
        <v>10.70051</v>
      </c>
      <c r="J3628" s="411">
        <v>51.7956</v>
      </c>
      <c r="K3628" s="411">
        <v>4073.4073100000001</v>
      </c>
      <c r="L3628" s="526" t="s">
        <v>553</v>
      </c>
    </row>
    <row r="3629" spans="1:12" ht="15" x14ac:dyDescent="0.25">
      <c r="A3629">
        <v>489302</v>
      </c>
      <c r="B3629" t="str">
        <f t="shared" si="144"/>
        <v>SEVROLL 05900 Fox II úchytová lišta 2,7m biela mat</v>
      </c>
      <c r="C3629" s="198">
        <f t="shared" si="145"/>
        <v>21.41649</v>
      </c>
      <c r="D3629" s="526" t="s">
        <v>6328</v>
      </c>
      <c r="E3629" s="526" t="s">
        <v>6329</v>
      </c>
      <c r="F3629" s="526" t="s">
        <v>6330</v>
      </c>
      <c r="G3629" s="526" t="s">
        <v>6331</v>
      </c>
      <c r="H3629" s="412">
        <v>593.0018</v>
      </c>
      <c r="I3629" s="411">
        <v>21.41649</v>
      </c>
      <c r="J3629" s="411">
        <v>80.416799999999995</v>
      </c>
      <c r="K3629" s="411">
        <v>8152.7082</v>
      </c>
      <c r="L3629" s="526" t="s">
        <v>554</v>
      </c>
    </row>
    <row r="3630" spans="1:12" ht="15" x14ac:dyDescent="0.25">
      <c r="A3630">
        <v>489303</v>
      </c>
      <c r="B3630" t="str">
        <f t="shared" si="144"/>
        <v>SEVROLL 04831 Pax XL úchytová lišta 2,7m čierna mat</v>
      </c>
      <c r="C3630" s="198">
        <f t="shared" si="145"/>
        <v>30.223040000000001</v>
      </c>
      <c r="D3630" s="526" t="s">
        <v>6332</v>
      </c>
      <c r="E3630" s="526" t="s">
        <v>6333</v>
      </c>
      <c r="F3630" s="526" t="s">
        <v>6334</v>
      </c>
      <c r="G3630" s="526" t="s">
        <v>6335</v>
      </c>
      <c r="H3630" s="412">
        <v>836.63265999999999</v>
      </c>
      <c r="I3630" s="411">
        <v>30.223040000000001</v>
      </c>
      <c r="J3630" s="411">
        <v>116.8716</v>
      </c>
      <c r="K3630" s="411">
        <v>11505.1412</v>
      </c>
      <c r="L3630" s="526" t="s">
        <v>554</v>
      </c>
    </row>
    <row r="3631" spans="1:12" ht="15" x14ac:dyDescent="0.25">
      <c r="A3631">
        <v>489304</v>
      </c>
      <c r="B3631" t="str">
        <f t="shared" si="144"/>
        <v>SEVROLL 04832 Pax XL úchytová lišta 3m čierna mat</v>
      </c>
      <c r="C3631" s="198">
        <f t="shared" si="145"/>
        <v>33.610990000000001</v>
      </c>
      <c r="D3631" s="526" t="s">
        <v>6336</v>
      </c>
      <c r="E3631" s="526" t="s">
        <v>6337</v>
      </c>
      <c r="F3631" s="526" t="s">
        <v>6338</v>
      </c>
      <c r="G3631" s="526" t="s">
        <v>6339</v>
      </c>
      <c r="H3631" s="412">
        <v>930.94137999999998</v>
      </c>
      <c r="I3631" s="411">
        <v>33.610990000000001</v>
      </c>
      <c r="J3631" s="411">
        <v>129.8562</v>
      </c>
      <c r="K3631" s="411">
        <v>12794.84043</v>
      </c>
      <c r="L3631" s="526" t="s">
        <v>554</v>
      </c>
    </row>
    <row r="3632" spans="1:12" ht="15" x14ac:dyDescent="0.25">
      <c r="A3632">
        <v>489305</v>
      </c>
      <c r="B3632" t="str">
        <f t="shared" si="144"/>
        <v/>
      </c>
      <c r="C3632" s="198">
        <f t="shared" si="145"/>
        <v>25.854610000000001</v>
      </c>
      <c r="D3632" s="526" t="s">
        <v>6340</v>
      </c>
      <c r="E3632" s="526" t="s">
        <v>6341</v>
      </c>
      <c r="F3632" s="526" t="s">
        <v>71</v>
      </c>
      <c r="G3632" s="526" t="s">
        <v>6342</v>
      </c>
      <c r="H3632" s="412">
        <v>715.88891999999998</v>
      </c>
      <c r="I3632" s="411">
        <v>25.854610000000001</v>
      </c>
      <c r="J3632" s="411">
        <v>99.888599999999997</v>
      </c>
      <c r="K3632" s="411">
        <v>9842.1852299999991</v>
      </c>
      <c r="L3632" s="526" t="s">
        <v>554</v>
      </c>
    </row>
    <row r="3633" spans="1:12" ht="15" x14ac:dyDescent="0.25">
      <c r="A3633">
        <v>489306</v>
      </c>
      <c r="B3633" t="str">
        <f t="shared" si="144"/>
        <v>SEVROLL 01706 Slim Line II rámová lišta 2,7m oliva</v>
      </c>
      <c r="C3633" s="198">
        <f t="shared" si="145"/>
        <v>10.527620000000001</v>
      </c>
      <c r="D3633" s="526" t="s">
        <v>6343</v>
      </c>
      <c r="E3633" s="526" t="s">
        <v>6344</v>
      </c>
      <c r="F3633" s="526" t="s">
        <v>6343</v>
      </c>
      <c r="G3633" s="526" t="s">
        <v>6345</v>
      </c>
      <c r="H3633" s="412">
        <v>291.49968000000001</v>
      </c>
      <c r="I3633" s="411">
        <v>10.527620000000001</v>
      </c>
      <c r="J3633" s="411">
        <v>35.599400000000003</v>
      </c>
      <c r="K3633" s="411">
        <v>4007.5961699999998</v>
      </c>
      <c r="L3633" s="526" t="s">
        <v>554</v>
      </c>
    </row>
    <row r="3634" spans="1:12" ht="15" x14ac:dyDescent="0.25">
      <c r="A3634">
        <v>489307</v>
      </c>
      <c r="B3634" t="str">
        <f t="shared" si="144"/>
        <v>SEVROLL 02549 Secret Line II rámová lišta 2,7m oliva</v>
      </c>
      <c r="C3634" s="198">
        <f t="shared" si="145"/>
        <v>9.2374700000000001</v>
      </c>
      <c r="D3634" s="526" t="s">
        <v>3504</v>
      </c>
      <c r="E3634" s="526" t="s">
        <v>6346</v>
      </c>
      <c r="F3634" s="526" t="s">
        <v>3504</v>
      </c>
      <c r="G3634" s="526" t="s">
        <v>6347</v>
      </c>
      <c r="H3634" s="412">
        <v>255.77668</v>
      </c>
      <c r="I3634" s="411">
        <v>9.2374700000000001</v>
      </c>
      <c r="J3634" s="411">
        <v>31.222799999999999</v>
      </c>
      <c r="K3634" s="411">
        <v>3516.4691699999998</v>
      </c>
      <c r="L3634" s="526" t="s">
        <v>554</v>
      </c>
    </row>
    <row r="3635" spans="1:12" ht="15" x14ac:dyDescent="0.25">
      <c r="A3635">
        <v>489308</v>
      </c>
      <c r="B3635" t="str">
        <f t="shared" si="144"/>
        <v>SEVROLL 05744 Secret Line II rámová lišta 2,7m čierna mat</v>
      </c>
      <c r="C3635" s="198">
        <f t="shared" si="145"/>
        <v>9.9625400000000006</v>
      </c>
      <c r="D3635" s="526" t="s">
        <v>3505</v>
      </c>
      <c r="E3635" s="526" t="s">
        <v>6348</v>
      </c>
      <c r="F3635" s="526" t="s">
        <v>6349</v>
      </c>
      <c r="G3635" s="526" t="s">
        <v>6350</v>
      </c>
      <c r="H3635" s="412">
        <v>275.85300999999998</v>
      </c>
      <c r="I3635" s="411">
        <v>9.9625400000000006</v>
      </c>
      <c r="J3635" s="411">
        <v>35.026800000000001</v>
      </c>
      <c r="K3635" s="411">
        <v>3792.4827700000001</v>
      </c>
      <c r="L3635" s="526" t="s">
        <v>554</v>
      </c>
    </row>
    <row r="3636" spans="1:12" ht="15" x14ac:dyDescent="0.25">
      <c r="A3636">
        <v>489309</v>
      </c>
      <c r="B3636" t="str">
        <f t="shared" si="144"/>
        <v>SEVROLL 05982 Vitara úchytová lišta 2,7m čierna mat</v>
      </c>
      <c r="C3636" s="198">
        <f t="shared" si="145"/>
        <v>18.742660000000001</v>
      </c>
      <c r="D3636" s="526" t="s">
        <v>3506</v>
      </c>
      <c r="E3636" s="526" t="s">
        <v>6351</v>
      </c>
      <c r="F3636" s="526" t="s">
        <v>6352</v>
      </c>
      <c r="G3636" s="526" t="s">
        <v>6353</v>
      </c>
      <c r="H3636" s="412">
        <v>518.69795999999997</v>
      </c>
      <c r="I3636" s="411">
        <v>18.742660000000001</v>
      </c>
      <c r="J3636" s="411">
        <v>74.143799999999999</v>
      </c>
      <c r="K3636" s="411">
        <v>7134.8474200000001</v>
      </c>
      <c r="L3636" s="526" t="s">
        <v>554</v>
      </c>
    </row>
    <row r="3637" spans="1:12" ht="15" x14ac:dyDescent="0.25">
      <c r="A3637">
        <v>489624</v>
      </c>
      <c r="B3637" t="str">
        <f t="shared" si="144"/>
        <v>Sevroll 05000 Lux III úchytová lišta 2,7m zlatá</v>
      </c>
      <c r="C3637" s="198">
        <f t="shared" si="145"/>
        <v>27.067350000000001</v>
      </c>
      <c r="D3637" s="526" t="s">
        <v>3507</v>
      </c>
      <c r="E3637" s="526" t="s">
        <v>6354</v>
      </c>
      <c r="F3637" s="526" t="s">
        <v>3507</v>
      </c>
      <c r="G3637" s="526" t="s">
        <v>6355</v>
      </c>
      <c r="H3637" s="412">
        <v>749.46853999999996</v>
      </c>
      <c r="I3637" s="411">
        <v>27.067350000000001</v>
      </c>
      <c r="J3637" s="411">
        <v>99.97551</v>
      </c>
      <c r="K3637" s="411">
        <v>10303.84439</v>
      </c>
      <c r="L3637" s="526" t="s">
        <v>554</v>
      </c>
    </row>
    <row r="3638" spans="1:12" ht="15" x14ac:dyDescent="0.25">
      <c r="A3638">
        <v>489625</v>
      </c>
      <c r="B3638" t="str">
        <f t="shared" si="144"/>
        <v>Sevroll 81002 Lux III úchytová lišta 3m strieborná</v>
      </c>
      <c r="C3638" s="198">
        <f t="shared" si="145"/>
        <v>27.247969999999999</v>
      </c>
      <c r="D3638" s="526" t="s">
        <v>3508</v>
      </c>
      <c r="E3638" s="526" t="s">
        <v>6356</v>
      </c>
      <c r="F3638" s="526" t="s">
        <v>6357</v>
      </c>
      <c r="G3638" s="526" t="s">
        <v>6358</v>
      </c>
      <c r="H3638" s="412">
        <v>754.46975999999995</v>
      </c>
      <c r="I3638" s="411">
        <v>27.247969999999999</v>
      </c>
      <c r="J3638" s="411">
        <v>107.99908000000001</v>
      </c>
      <c r="K3638" s="411">
        <v>10372.60231</v>
      </c>
      <c r="L3638" s="526" t="s">
        <v>554</v>
      </c>
    </row>
    <row r="3639" spans="1:12" ht="15" x14ac:dyDescent="0.25">
      <c r="A3639">
        <v>489626</v>
      </c>
      <c r="B3639" t="str">
        <f t="shared" ref="B3639:B3702" si="146">IF($A$2=1,D3639,IF($A$2=2,F3639,IF($A$2=3,G3639,IF($A$2=4,E3639,"zadat jazyk"))))</f>
        <v>SEVROLL 02782 Beta 16 úchytová lišta 2,70m oliva</v>
      </c>
      <c r="C3639" s="198">
        <f t="shared" si="145"/>
        <v>9.4873700000000003</v>
      </c>
      <c r="D3639" s="526" t="s">
        <v>3509</v>
      </c>
      <c r="E3639" s="526" t="s">
        <v>6359</v>
      </c>
      <c r="F3639" s="526" t="s">
        <v>3509</v>
      </c>
      <c r="G3639" s="526" t="s">
        <v>6360</v>
      </c>
      <c r="H3639" s="412">
        <v>262.92128000000002</v>
      </c>
      <c r="I3639" s="411">
        <v>9.4873700000000003</v>
      </c>
      <c r="J3639" s="411">
        <v>32.986800000000002</v>
      </c>
      <c r="K3639" s="411">
        <v>3611.60079</v>
      </c>
      <c r="L3639" s="526" t="s">
        <v>554</v>
      </c>
    </row>
    <row r="3640" spans="1:12" ht="15" x14ac:dyDescent="0.25">
      <c r="A3640">
        <v>489947</v>
      </c>
      <c r="B3640" t="str">
        <f t="shared" si="146"/>
        <v/>
      </c>
      <c r="C3640" s="198">
        <f t="shared" ref="C3640:C3703" si="147">IF($A$2=1,H3640,IF($A$2=2,I3640,IF($A$2=3,J3640,IF($A$2=4,K3640,"zadat jazyk"))))</f>
        <v>33.610990000000001</v>
      </c>
      <c r="D3640" s="526" t="s">
        <v>3510</v>
      </c>
      <c r="E3640" s="526" t="s">
        <v>6361</v>
      </c>
      <c r="F3640" s="526" t="s">
        <v>71</v>
      </c>
      <c r="G3640" s="526" t="s">
        <v>6362</v>
      </c>
      <c r="H3640" s="412">
        <v>930.94137999999998</v>
      </c>
      <c r="I3640" s="411">
        <v>33.610990000000001</v>
      </c>
      <c r="J3640" s="411">
        <v>129.8562</v>
      </c>
      <c r="K3640" s="411">
        <v>12794.84043</v>
      </c>
      <c r="L3640" s="526" t="s">
        <v>554</v>
      </c>
    </row>
    <row r="3641" spans="1:12" ht="15" x14ac:dyDescent="0.25">
      <c r="A3641">
        <v>489948</v>
      </c>
      <c r="B3641" t="str">
        <f t="shared" si="146"/>
        <v>Sevroll 85622  Lux III úchytová lišta 3m oliva</v>
      </c>
      <c r="C3641" s="198">
        <f t="shared" si="147"/>
        <v>30.086300000000001</v>
      </c>
      <c r="D3641" s="526" t="s">
        <v>6363</v>
      </c>
      <c r="E3641" s="526" t="s">
        <v>6364</v>
      </c>
      <c r="F3641" s="526" t="s">
        <v>6365</v>
      </c>
      <c r="G3641" s="526" t="s">
        <v>6366</v>
      </c>
      <c r="H3641" s="412">
        <v>833.06035999999995</v>
      </c>
      <c r="I3641" s="411">
        <v>30.086300000000001</v>
      </c>
      <c r="J3641" s="411">
        <v>111.12626</v>
      </c>
      <c r="K3641" s="411">
        <v>11453.08171</v>
      </c>
      <c r="L3641" s="526" t="s">
        <v>554</v>
      </c>
    </row>
    <row r="3642" spans="1:12" ht="15" x14ac:dyDescent="0.25">
      <c r="A3642">
        <v>489949</v>
      </c>
      <c r="B3642" t="str">
        <f t="shared" si="146"/>
        <v>Sevroll 05001 Lux III úchytová lišta 3m zlatá</v>
      </c>
      <c r="C3642" s="198">
        <f t="shared" si="147"/>
        <v>30.086300000000001</v>
      </c>
      <c r="D3642" s="526" t="s">
        <v>3511</v>
      </c>
      <c r="E3642" s="526" t="s">
        <v>6367</v>
      </c>
      <c r="F3642" s="526" t="s">
        <v>3511</v>
      </c>
      <c r="G3642" s="526" t="s">
        <v>6368</v>
      </c>
      <c r="H3642" s="412">
        <v>833.06035999999995</v>
      </c>
      <c r="I3642" s="411">
        <v>30.086300000000001</v>
      </c>
      <c r="J3642" s="411">
        <v>111.12626</v>
      </c>
      <c r="K3642" s="411">
        <v>11453.08171</v>
      </c>
      <c r="L3642" s="526" t="s">
        <v>554</v>
      </c>
    </row>
    <row r="3643" spans="1:12" ht="15" x14ac:dyDescent="0.25">
      <c r="A3643">
        <v>491112</v>
      </c>
      <c r="B3643" t="str">
        <f t="shared" si="146"/>
        <v>SEVROLL 02336 okrasná lišta S10 3m čierna mat</v>
      </c>
      <c r="C3643" s="198">
        <f t="shared" si="147"/>
        <v>4.3942399999999999</v>
      </c>
      <c r="D3643" s="526" t="s">
        <v>3512</v>
      </c>
      <c r="E3643" s="526" t="s">
        <v>6369</v>
      </c>
      <c r="F3643" s="526" t="s">
        <v>6370</v>
      </c>
      <c r="G3643" s="526" t="s">
        <v>6371</v>
      </c>
      <c r="H3643" s="412">
        <v>121.67254</v>
      </c>
      <c r="I3643" s="411">
        <v>4.3942399999999999</v>
      </c>
      <c r="J3643" s="411">
        <v>15.606</v>
      </c>
      <c r="K3643" s="411">
        <v>1672.7785899999999</v>
      </c>
      <c r="L3643" s="526" t="s">
        <v>553</v>
      </c>
    </row>
    <row r="3644" spans="1:12" ht="15" x14ac:dyDescent="0.25">
      <c r="A3644">
        <v>90105</v>
      </c>
      <c r="B3644" t="str">
        <f t="shared" si="146"/>
        <v>SEVROLL 04534 Universal 18 úchytová lišta 2,7m oliva</v>
      </c>
      <c r="C3644" s="198">
        <f t="shared" si="147"/>
        <v>20.835920000000002</v>
      </c>
      <c r="D3644" s="526" t="s">
        <v>3513</v>
      </c>
      <c r="E3644" s="526" t="s">
        <v>4519</v>
      </c>
      <c r="F3644" s="526" t="s">
        <v>3513</v>
      </c>
      <c r="G3644" s="526" t="s">
        <v>4520</v>
      </c>
      <c r="H3644" s="412">
        <v>576.92645000000005</v>
      </c>
      <c r="I3644" s="411">
        <v>20.835920000000002</v>
      </c>
      <c r="J3644" s="411">
        <v>70.316999999999993</v>
      </c>
      <c r="K3644" s="411">
        <v>7931.7012500000001</v>
      </c>
      <c r="L3644" s="526" t="s">
        <v>553</v>
      </c>
    </row>
    <row r="3645" spans="1:12" ht="15" x14ac:dyDescent="0.25">
      <c r="A3645">
        <v>494743</v>
      </c>
      <c r="B3645" t="str">
        <f t="shared" si="146"/>
        <v>SEVROLL 06033 profil "U" pre lamino 18mm 3m grafit</v>
      </c>
      <c r="C3645" s="90">
        <f t="shared" si="147"/>
        <v>6.1411100000000003</v>
      </c>
      <c r="D3645" s="526" t="s">
        <v>3520</v>
      </c>
      <c r="E3645" s="526" t="s">
        <v>6372</v>
      </c>
      <c r="F3645" s="526" t="s">
        <v>6373</v>
      </c>
      <c r="G3645" s="526" t="s">
        <v>6374</v>
      </c>
      <c r="H3645" s="412">
        <v>170.04148000000001</v>
      </c>
      <c r="I3645" s="411">
        <v>6.1411100000000003</v>
      </c>
      <c r="J3645" s="411">
        <v>27.009599999999999</v>
      </c>
      <c r="K3645" s="411">
        <v>2337.7643699999999</v>
      </c>
      <c r="L3645" s="526" t="s">
        <v>553</v>
      </c>
    </row>
    <row r="3646" spans="1:12" ht="15" x14ac:dyDescent="0.25">
      <c r="A3646">
        <v>494744</v>
      </c>
      <c r="B3646" t="str">
        <f t="shared" si="146"/>
        <v>SEVROLL 06034 uholník Mini 17x11mm 1,7m grafit</v>
      </c>
      <c r="C3646" s="90">
        <f t="shared" si="147"/>
        <v>3.1479699999999999</v>
      </c>
      <c r="D3646" s="526" t="s">
        <v>3521</v>
      </c>
      <c r="E3646" s="526" t="s">
        <v>6375</v>
      </c>
      <c r="F3646" s="526" t="s">
        <v>6376</v>
      </c>
      <c r="G3646" s="526" t="s">
        <v>6377</v>
      </c>
      <c r="H3646" s="412">
        <v>87.164119999999997</v>
      </c>
      <c r="I3646" s="411">
        <v>3.1479699999999999</v>
      </c>
      <c r="J3646" s="411">
        <v>12.2094</v>
      </c>
      <c r="K3646" s="411">
        <v>1198.3500300000001</v>
      </c>
      <c r="L3646" s="526" t="s">
        <v>553</v>
      </c>
    </row>
    <row r="3647" spans="1:12" ht="15" x14ac:dyDescent="0.25">
      <c r="A3647">
        <v>494724</v>
      </c>
      <c r="B3647" t="str">
        <f t="shared" si="146"/>
        <v>SEVROLL 06035 uholník Mini 17x11mm 2,35m grafit</v>
      </c>
      <c r="C3647" s="90">
        <f t="shared" si="147"/>
        <v>4.3607100000000001</v>
      </c>
      <c r="D3647" s="526" t="s">
        <v>3522</v>
      </c>
      <c r="E3647" s="526" t="s">
        <v>6378</v>
      </c>
      <c r="F3647" s="526" t="s">
        <v>6379</v>
      </c>
      <c r="G3647" s="526" t="s">
        <v>6380</v>
      </c>
      <c r="H3647" s="412">
        <v>120.74374</v>
      </c>
      <c r="I3647" s="411">
        <v>4.3607100000000001</v>
      </c>
      <c r="J3647" s="411">
        <v>16.901399999999999</v>
      </c>
      <c r="K3647" s="411">
        <v>1660.00919</v>
      </c>
      <c r="L3647" s="526" t="s">
        <v>553</v>
      </c>
    </row>
    <row r="3648" spans="1:12" ht="15" x14ac:dyDescent="0.25">
      <c r="A3648">
        <v>494728</v>
      </c>
      <c r="B3648" t="str">
        <f t="shared" si="146"/>
        <v>SEVROLL 06036 uholník Mini 17x11mm 3m grafit</v>
      </c>
      <c r="C3648" s="90">
        <f t="shared" si="147"/>
        <v>5.5734500000000002</v>
      </c>
      <c r="D3648" s="526" t="s">
        <v>3523</v>
      </c>
      <c r="E3648" s="526" t="s">
        <v>6381</v>
      </c>
      <c r="F3648" s="526" t="s">
        <v>6382</v>
      </c>
      <c r="G3648" s="526" t="s">
        <v>6383</v>
      </c>
      <c r="H3648" s="412">
        <v>154.32336000000001</v>
      </c>
      <c r="I3648" s="411">
        <v>5.5734500000000002</v>
      </c>
      <c r="J3648" s="411">
        <v>21.583200000000001</v>
      </c>
      <c r="K3648" s="411">
        <v>2121.6687099999999</v>
      </c>
      <c r="L3648" s="526" t="s">
        <v>553</v>
      </c>
    </row>
    <row r="3649" spans="1:12" ht="15" x14ac:dyDescent="0.25">
      <c r="A3649">
        <v>495473</v>
      </c>
      <c r="B3649" t="str">
        <f t="shared" si="146"/>
        <v>SEVROLL 06037 spodná krycia lišta 1,7m 10mm grafit</v>
      </c>
      <c r="C3649" s="90">
        <f t="shared" si="147"/>
        <v>18.887799999999999</v>
      </c>
      <c r="D3649" s="526" t="s">
        <v>3524</v>
      </c>
      <c r="E3649" s="526" t="s">
        <v>6384</v>
      </c>
      <c r="F3649" s="526" t="s">
        <v>6385</v>
      </c>
      <c r="G3649" s="526" t="s">
        <v>6386</v>
      </c>
      <c r="H3649" s="412">
        <v>522.98472000000004</v>
      </c>
      <c r="I3649" s="411">
        <v>18.887799999999999</v>
      </c>
      <c r="J3649" s="411">
        <v>70.369799999999998</v>
      </c>
      <c r="K3649" s="411">
        <v>7190.0994300000002</v>
      </c>
      <c r="L3649" s="526" t="s">
        <v>554</v>
      </c>
    </row>
    <row r="3650" spans="1:12" ht="15" x14ac:dyDescent="0.25">
      <c r="A3650">
        <v>495474</v>
      </c>
      <c r="B3650" t="str">
        <f t="shared" si="146"/>
        <v>SEVROLL 06038 spod.krycia lišta 2,35m 10mm grafit</v>
      </c>
      <c r="C3650" s="90">
        <f t="shared" si="147"/>
        <v>26.086829999999999</v>
      </c>
      <c r="D3650" s="526" t="s">
        <v>3525</v>
      </c>
      <c r="E3650" s="526" t="s">
        <v>6387</v>
      </c>
      <c r="F3650" s="526" t="s">
        <v>6388</v>
      </c>
      <c r="G3650" s="526" t="s">
        <v>6389</v>
      </c>
      <c r="H3650" s="412">
        <v>722.31906000000004</v>
      </c>
      <c r="I3650" s="411">
        <v>26.086829999999999</v>
      </c>
      <c r="J3650" s="411">
        <v>97.287599999999998</v>
      </c>
      <c r="K3650" s="411">
        <v>9930.5880099999995</v>
      </c>
      <c r="L3650" s="526" t="s">
        <v>554</v>
      </c>
    </row>
    <row r="3651" spans="1:12" ht="15" x14ac:dyDescent="0.25">
      <c r="A3651">
        <v>495475</v>
      </c>
      <c r="B3651" t="str">
        <f t="shared" si="146"/>
        <v>SEVROLL 05967 spodná krycia lišta 3m 10mm grafit</v>
      </c>
      <c r="C3651" s="90">
        <f t="shared" si="147"/>
        <v>33.38908</v>
      </c>
      <c r="D3651" s="526" t="s">
        <v>3526</v>
      </c>
      <c r="E3651" s="526" t="s">
        <v>6390</v>
      </c>
      <c r="F3651" s="526" t="s">
        <v>6391</v>
      </c>
      <c r="G3651" s="526" t="s">
        <v>6392</v>
      </c>
      <c r="H3651" s="412">
        <v>924.51124000000004</v>
      </c>
      <c r="I3651" s="411">
        <v>33.38908</v>
      </c>
      <c r="J3651" s="411">
        <v>124.22580000000001</v>
      </c>
      <c r="K3651" s="411">
        <v>12710.366690000001</v>
      </c>
      <c r="L3651" s="526" t="s">
        <v>554</v>
      </c>
    </row>
    <row r="3652" spans="1:12" ht="15" x14ac:dyDescent="0.25">
      <c r="A3652">
        <v>495477</v>
      </c>
      <c r="B3652" t="str">
        <f t="shared" si="146"/>
        <v>SEVROLL 06039 horná vodiaca lišta 1,7m grafit</v>
      </c>
      <c r="C3652" s="90">
        <f t="shared" si="147"/>
        <v>10.39861</v>
      </c>
      <c r="D3652" s="526" t="s">
        <v>3527</v>
      </c>
      <c r="E3652" s="526" t="s">
        <v>6393</v>
      </c>
      <c r="F3652" s="526" t="s">
        <v>6394</v>
      </c>
      <c r="G3652" s="526" t="s">
        <v>6395</v>
      </c>
      <c r="H3652" s="412">
        <v>287.92738000000003</v>
      </c>
      <c r="I3652" s="411">
        <v>10.39861</v>
      </c>
      <c r="J3652" s="411">
        <v>59.986199999999997</v>
      </c>
      <c r="K3652" s="411">
        <v>3958.4834700000001</v>
      </c>
      <c r="L3652" s="526" t="s">
        <v>554</v>
      </c>
    </row>
    <row r="3653" spans="1:12" ht="15" x14ac:dyDescent="0.25">
      <c r="A3653">
        <v>495616</v>
      </c>
      <c r="B3653" t="str">
        <f t="shared" si="146"/>
        <v>SEVROLL 06040 horná vod.lišta 2,35m grafit</v>
      </c>
      <c r="C3653" s="90">
        <f t="shared" si="147"/>
        <v>14.398070000000001</v>
      </c>
      <c r="D3653" s="526" t="s">
        <v>3528</v>
      </c>
      <c r="E3653" s="526" t="s">
        <v>6396</v>
      </c>
      <c r="F3653" s="526" t="s">
        <v>6397</v>
      </c>
      <c r="G3653" s="526" t="s">
        <v>6398</v>
      </c>
      <c r="H3653" s="412">
        <v>398.66867999999999</v>
      </c>
      <c r="I3653" s="411">
        <v>14.398070000000001</v>
      </c>
      <c r="J3653" s="411">
        <v>82.936199999999999</v>
      </c>
      <c r="K3653" s="411">
        <v>5480.9771700000001</v>
      </c>
      <c r="L3653" s="526" t="s">
        <v>554</v>
      </c>
    </row>
    <row r="3654" spans="1:12" ht="15" x14ac:dyDescent="0.25">
      <c r="A3654">
        <v>495617</v>
      </c>
      <c r="B3654" t="str">
        <f t="shared" si="146"/>
        <v>SEVROLL 05966 horná vodiaca lišta 3m grafit</v>
      </c>
      <c r="C3654" s="90">
        <f t="shared" si="147"/>
        <v>18.371739999999999</v>
      </c>
      <c r="D3654" s="526" t="s">
        <v>3529</v>
      </c>
      <c r="E3654" s="526" t="s">
        <v>6399</v>
      </c>
      <c r="F3654" s="526" t="s">
        <v>6400</v>
      </c>
      <c r="G3654" s="526" t="s">
        <v>6401</v>
      </c>
      <c r="H3654" s="412">
        <v>508.69551999999999</v>
      </c>
      <c r="I3654" s="411">
        <v>18.371739999999999</v>
      </c>
      <c r="J3654" s="411">
        <v>105.8454</v>
      </c>
      <c r="K3654" s="411">
        <v>6993.6486299999997</v>
      </c>
      <c r="L3654" s="526" t="s">
        <v>554</v>
      </c>
    </row>
    <row r="3655" spans="1:12" ht="15" x14ac:dyDescent="0.25">
      <c r="A3655">
        <v>496358</v>
      </c>
      <c r="B3655" t="str">
        <f t="shared" si="146"/>
        <v>SEVROLL 05971 spojovacia lišta H10 3m grafit</v>
      </c>
      <c r="C3655" s="90">
        <f t="shared" si="147"/>
        <v>15.688219999999999</v>
      </c>
      <c r="D3655" s="526" t="s">
        <v>3530</v>
      </c>
      <c r="E3655" s="526" t="s">
        <v>6402</v>
      </c>
      <c r="F3655" s="526" t="s">
        <v>6403</v>
      </c>
      <c r="G3655" s="526" t="s">
        <v>6404</v>
      </c>
      <c r="H3655" s="412">
        <v>434.39168000000001</v>
      </c>
      <c r="I3655" s="411">
        <v>15.688219999999999</v>
      </c>
      <c r="J3655" s="411">
        <v>67.289400000000001</v>
      </c>
      <c r="K3655" s="411">
        <v>5972.1041699999996</v>
      </c>
      <c r="L3655" s="526" t="s">
        <v>554</v>
      </c>
    </row>
    <row r="3656" spans="1:12" ht="15" x14ac:dyDescent="0.25">
      <c r="A3656">
        <v>494727</v>
      </c>
      <c r="B3656" t="str">
        <f t="shared" si="146"/>
        <v>SEVROLL 06041 spojovacia lišta H18 3m grafit</v>
      </c>
      <c r="C3656" s="90">
        <f t="shared" si="147"/>
        <v>15.456</v>
      </c>
      <c r="D3656" s="526" t="s">
        <v>3531</v>
      </c>
      <c r="E3656" s="526" t="s">
        <v>6405</v>
      </c>
      <c r="F3656" s="526" t="s">
        <v>6406</v>
      </c>
      <c r="G3656" s="526" t="s">
        <v>6407</v>
      </c>
      <c r="H3656" s="412">
        <v>427.96154000000001</v>
      </c>
      <c r="I3656" s="411">
        <v>15.456</v>
      </c>
      <c r="J3656" s="411">
        <v>62.464799999999997</v>
      </c>
      <c r="K3656" s="411">
        <v>5883.7013900000002</v>
      </c>
      <c r="L3656" s="526" t="s">
        <v>554</v>
      </c>
    </row>
    <row r="3657" spans="1:12" ht="15" x14ac:dyDescent="0.25">
      <c r="A3657">
        <v>494667</v>
      </c>
      <c r="B3657" t="str">
        <f t="shared" si="146"/>
        <v>SEVROLL 06053 Alfa II úchytová lišta 18mm 2,7m grafit</v>
      </c>
      <c r="C3657" s="90">
        <f t="shared" si="147"/>
        <v>16.302330000000001</v>
      </c>
      <c r="D3657" s="526" t="s">
        <v>3532</v>
      </c>
      <c r="E3657" s="526" t="s">
        <v>6408</v>
      </c>
      <c r="F3657" s="526" t="s">
        <v>3532</v>
      </c>
      <c r="G3657" s="526" t="s">
        <v>6409</v>
      </c>
      <c r="H3657" s="412">
        <v>451.53872000000001</v>
      </c>
      <c r="I3657" s="411">
        <v>16.302330000000001</v>
      </c>
      <c r="J3657" s="411">
        <v>66.463200000000001</v>
      </c>
      <c r="K3657" s="411">
        <v>6205.8809199999996</v>
      </c>
      <c r="L3657" s="526" t="s">
        <v>553</v>
      </c>
    </row>
    <row r="3658" spans="1:12" ht="15" x14ac:dyDescent="0.25">
      <c r="A3658">
        <v>495587</v>
      </c>
      <c r="B3658" t="str">
        <f t="shared" si="146"/>
        <v>SEVROLL 06019 Fox II úch.lišta 2,7m čierna grafit</v>
      </c>
      <c r="C3658" s="90">
        <f t="shared" si="147"/>
        <v>21.41649</v>
      </c>
      <c r="D3658" s="526" t="s">
        <v>3533</v>
      </c>
      <c r="E3658" s="526" t="s">
        <v>6410</v>
      </c>
      <c r="F3658" s="526" t="s">
        <v>6411</v>
      </c>
      <c r="G3658" s="526" t="s">
        <v>6412</v>
      </c>
      <c r="H3658" s="412">
        <v>593.0018</v>
      </c>
      <c r="I3658" s="411">
        <v>21.41649</v>
      </c>
      <c r="J3658" s="411">
        <v>80.416799999999995</v>
      </c>
      <c r="K3658" s="411">
        <v>8152.7082</v>
      </c>
      <c r="L3658" s="526" t="s">
        <v>554</v>
      </c>
    </row>
    <row r="3659" spans="1:12" ht="15" x14ac:dyDescent="0.25">
      <c r="A3659">
        <v>494741</v>
      </c>
      <c r="B3659" t="str">
        <f t="shared" si="146"/>
        <v>SEVROLL 06042 Elegant II spodné vedenie 1,7m grafit</v>
      </c>
      <c r="C3659" s="90">
        <f t="shared" si="147"/>
        <v>10.74747</v>
      </c>
      <c r="D3659" s="526" t="s">
        <v>3534</v>
      </c>
      <c r="E3659" s="526" t="s">
        <v>6413</v>
      </c>
      <c r="F3659" s="526" t="s">
        <v>6414</v>
      </c>
      <c r="G3659" s="526" t="s">
        <v>6415</v>
      </c>
      <c r="H3659" s="412">
        <v>297.92982000000001</v>
      </c>
      <c r="I3659" s="411">
        <v>10.74747</v>
      </c>
      <c r="J3659" s="411">
        <v>40.698</v>
      </c>
      <c r="K3659" s="411">
        <v>4091.2844</v>
      </c>
      <c r="L3659" s="526" t="s">
        <v>553</v>
      </c>
    </row>
    <row r="3660" spans="1:12" ht="15" x14ac:dyDescent="0.25">
      <c r="A3660">
        <v>494692</v>
      </c>
      <c r="B3660" t="str">
        <f t="shared" si="146"/>
        <v>SEVROLL 06043 Elegant II spodné vedenie 2,35m grafit</v>
      </c>
      <c r="C3660" s="90">
        <f t="shared" si="147"/>
        <v>14.79285</v>
      </c>
      <c r="D3660" s="526" t="s">
        <v>3535</v>
      </c>
      <c r="E3660" s="526" t="s">
        <v>6416</v>
      </c>
      <c r="F3660" s="526" t="s">
        <v>6417</v>
      </c>
      <c r="G3660" s="526" t="s">
        <v>6418</v>
      </c>
      <c r="H3660" s="412">
        <v>409.38558</v>
      </c>
      <c r="I3660" s="411">
        <v>14.79285</v>
      </c>
      <c r="J3660" s="411">
        <v>56.242800000000003</v>
      </c>
      <c r="K3660" s="411">
        <v>5631.26206</v>
      </c>
      <c r="L3660" s="526" t="s">
        <v>553</v>
      </c>
    </row>
    <row r="3661" spans="1:12" ht="15" x14ac:dyDescent="0.25">
      <c r="A3661">
        <v>494739</v>
      </c>
      <c r="B3661" t="str">
        <f t="shared" si="146"/>
        <v>SEVROLL 06020 Elegant II spodné vedenie 3m grafit</v>
      </c>
      <c r="C3661" s="90">
        <f t="shared" si="147"/>
        <v>18.777889999999999</v>
      </c>
      <c r="D3661" s="526" t="s">
        <v>3536</v>
      </c>
      <c r="E3661" s="526" t="s">
        <v>6419</v>
      </c>
      <c r="F3661" s="526" t="s">
        <v>6420</v>
      </c>
      <c r="G3661" s="526" t="s">
        <v>6421</v>
      </c>
      <c r="H3661" s="412">
        <v>520.12688000000003</v>
      </c>
      <c r="I3661" s="411">
        <v>18.777889999999999</v>
      </c>
      <c r="J3661" s="411">
        <v>71.808000000000007</v>
      </c>
      <c r="K3661" s="411">
        <v>7148.2553099999996</v>
      </c>
      <c r="L3661" s="526" t="s">
        <v>553</v>
      </c>
    </row>
    <row r="3662" spans="1:12" ht="15" x14ac:dyDescent="0.25">
      <c r="A3662">
        <v>494672</v>
      </c>
      <c r="B3662" t="str">
        <f t="shared" si="146"/>
        <v>SEVROLL 06021 Elegant II spodné vedenie 4,05m grafit</v>
      </c>
      <c r="C3662" s="90">
        <f t="shared" si="147"/>
        <v>25.449750000000002</v>
      </c>
      <c r="D3662" s="526" t="s">
        <v>3537</v>
      </c>
      <c r="E3662" s="526" t="s">
        <v>6422</v>
      </c>
      <c r="F3662" s="526" t="s">
        <v>6423</v>
      </c>
      <c r="G3662" s="526" t="s">
        <v>6424</v>
      </c>
      <c r="H3662" s="412">
        <v>704.45755999999994</v>
      </c>
      <c r="I3662" s="411">
        <v>25.449750000000002</v>
      </c>
      <c r="J3662" s="411">
        <v>96.930599999999998</v>
      </c>
      <c r="K3662" s="411">
        <v>9688.0696700000008</v>
      </c>
      <c r="L3662" s="526" t="s">
        <v>553</v>
      </c>
    </row>
    <row r="3663" spans="1:12" ht="15" x14ac:dyDescent="0.25">
      <c r="A3663">
        <v>496355</v>
      </c>
      <c r="B3663" t="str">
        <f t="shared" si="146"/>
        <v>SEVROLL 06044 Elegant II spodné vedenie 6m grafit</v>
      </c>
      <c r="C3663" s="90">
        <f t="shared" si="147"/>
        <v>37.585949999999997</v>
      </c>
      <c r="D3663" s="526" t="s">
        <v>3538</v>
      </c>
      <c r="E3663" s="526" t="s">
        <v>6425</v>
      </c>
      <c r="F3663" s="526" t="s">
        <v>6426</v>
      </c>
      <c r="G3663" s="526" t="s">
        <v>6427</v>
      </c>
      <c r="H3663" s="412">
        <v>1040.96822</v>
      </c>
      <c r="I3663" s="411">
        <v>37.585949999999997</v>
      </c>
      <c r="J3663" s="411">
        <v>143.60579999999999</v>
      </c>
      <c r="K3663" s="411">
        <v>14308.00301</v>
      </c>
      <c r="L3663" s="526" t="s">
        <v>554</v>
      </c>
    </row>
    <row r="3664" spans="1:12" ht="15" x14ac:dyDescent="0.25">
      <c r="A3664">
        <v>494742</v>
      </c>
      <c r="B3664" t="str">
        <f t="shared" si="146"/>
        <v>SEVROLL 06045 Gemini horné vedenie 1,7m grafit</v>
      </c>
      <c r="C3664" s="90">
        <f t="shared" si="147"/>
        <v>18.247890000000002</v>
      </c>
      <c r="D3664" s="526" t="s">
        <v>3539</v>
      </c>
      <c r="E3664" s="526" t="s">
        <v>6428</v>
      </c>
      <c r="F3664" s="526" t="s">
        <v>6429</v>
      </c>
      <c r="G3664" s="526" t="s">
        <v>6430</v>
      </c>
      <c r="H3664" s="412">
        <v>505.12322</v>
      </c>
      <c r="I3664" s="411">
        <v>18.247890000000002</v>
      </c>
      <c r="J3664" s="411">
        <v>74.653800000000004</v>
      </c>
      <c r="K3664" s="411">
        <v>6946.5004600000002</v>
      </c>
      <c r="L3664" s="526" t="s">
        <v>553</v>
      </c>
    </row>
    <row r="3665" spans="1:12" ht="15" x14ac:dyDescent="0.25">
      <c r="A3665">
        <v>494669</v>
      </c>
      <c r="B3665" t="str">
        <f t="shared" si="146"/>
        <v>SEVROLL 06046 Gemini horné vedenie 2,35m grafit</v>
      </c>
      <c r="C3665" s="90">
        <f t="shared" si="147"/>
        <v>25.225020000000001</v>
      </c>
      <c r="D3665" s="526" t="s">
        <v>3540</v>
      </c>
      <c r="E3665" s="526" t="s">
        <v>6431</v>
      </c>
      <c r="F3665" s="526" t="s">
        <v>6432</v>
      </c>
      <c r="G3665" s="526" t="s">
        <v>6433</v>
      </c>
      <c r="H3665" s="412">
        <v>698.74188000000004</v>
      </c>
      <c r="I3665" s="411">
        <v>25.225020000000001</v>
      </c>
      <c r="J3665" s="411">
        <v>103.20359999999999</v>
      </c>
      <c r="K3665" s="411">
        <v>9602.5149299999994</v>
      </c>
      <c r="L3665" s="526" t="s">
        <v>553</v>
      </c>
    </row>
    <row r="3666" spans="1:12" ht="15" x14ac:dyDescent="0.25">
      <c r="A3666">
        <v>494730</v>
      </c>
      <c r="B3666" t="str">
        <f t="shared" si="146"/>
        <v>SEVROLL 06022 Gemini horné vedenie 3m grafit</v>
      </c>
      <c r="C3666" s="90">
        <f t="shared" si="147"/>
        <v>32.20214</v>
      </c>
      <c r="D3666" s="526" t="s">
        <v>3541</v>
      </c>
      <c r="E3666" s="526" t="s">
        <v>6434</v>
      </c>
      <c r="F3666" s="526" t="s">
        <v>6435</v>
      </c>
      <c r="G3666" s="526" t="s">
        <v>6436</v>
      </c>
      <c r="H3666" s="412">
        <v>891.64607999999998</v>
      </c>
      <c r="I3666" s="411">
        <v>32.20214</v>
      </c>
      <c r="J3666" s="411">
        <v>131.79419999999999</v>
      </c>
      <c r="K3666" s="411">
        <v>12258.529769999999</v>
      </c>
      <c r="L3666" s="526" t="s">
        <v>553</v>
      </c>
    </row>
    <row r="3667" spans="1:12" ht="15" x14ac:dyDescent="0.25">
      <c r="A3667">
        <v>494670</v>
      </c>
      <c r="B3667" t="str">
        <f t="shared" si="146"/>
        <v>SEVROLL 06023 Gemini horné vedenie  4,05m grafit</v>
      </c>
      <c r="C3667" s="90">
        <f t="shared" si="147"/>
        <v>43.47289</v>
      </c>
      <c r="D3667" s="526" t="s">
        <v>3542</v>
      </c>
      <c r="E3667" s="526" t="s">
        <v>6437</v>
      </c>
      <c r="F3667" s="526" t="s">
        <v>6438</v>
      </c>
      <c r="G3667" s="526" t="s">
        <v>6439</v>
      </c>
      <c r="H3667" s="412">
        <v>1203.7222099999999</v>
      </c>
      <c r="I3667" s="411">
        <v>43.47289</v>
      </c>
      <c r="J3667" s="411">
        <v>177.9186</v>
      </c>
      <c r="K3667" s="411">
        <v>16549.015370000001</v>
      </c>
      <c r="L3667" s="526" t="s">
        <v>553</v>
      </c>
    </row>
    <row r="3668" spans="1:12" ht="15" x14ac:dyDescent="0.25">
      <c r="A3668">
        <v>495629</v>
      </c>
      <c r="B3668" t="str">
        <f t="shared" si="146"/>
        <v>SEVROLL 06047 Gemini horné vedenie 6m grafit</v>
      </c>
      <c r="C3668" s="90">
        <f t="shared" si="147"/>
        <v>64.404290000000003</v>
      </c>
      <c r="D3668" s="526" t="s">
        <v>3543</v>
      </c>
      <c r="E3668" s="526" t="s">
        <v>6440</v>
      </c>
      <c r="F3668" s="526" t="s">
        <v>6441</v>
      </c>
      <c r="G3668" s="526" t="s">
        <v>6442</v>
      </c>
      <c r="H3668" s="412">
        <v>1783.29216</v>
      </c>
      <c r="I3668" s="411">
        <v>64.404290000000003</v>
      </c>
      <c r="J3668" s="411">
        <v>263.56799999999998</v>
      </c>
      <c r="K3668" s="411">
        <v>24517.05991</v>
      </c>
      <c r="L3668" s="526" t="s">
        <v>554</v>
      </c>
    </row>
    <row r="3669" spans="1:12" ht="15" x14ac:dyDescent="0.25">
      <c r="A3669">
        <v>496356</v>
      </c>
      <c r="B3669" t="str">
        <f t="shared" si="146"/>
        <v>SEVROLL 06048 maska Elegant II 1,7m grafit</v>
      </c>
      <c r="C3669" s="90">
        <f t="shared" si="147"/>
        <v>3.3074400000000002</v>
      </c>
      <c r="D3669" s="526" t="s">
        <v>3544</v>
      </c>
      <c r="E3669" s="526" t="s">
        <v>6443</v>
      </c>
      <c r="F3669" s="526" t="s">
        <v>3544</v>
      </c>
      <c r="G3669" s="526" t="s">
        <v>6444</v>
      </c>
      <c r="H3669" s="412">
        <v>91.450879999999998</v>
      </c>
      <c r="I3669" s="411">
        <v>3.3074400000000002</v>
      </c>
      <c r="J3669" s="411">
        <v>12.199199999999999</v>
      </c>
      <c r="K3669" s="411">
        <v>1259.0531100000001</v>
      </c>
      <c r="L3669" s="526" t="s">
        <v>553</v>
      </c>
    </row>
    <row r="3670" spans="1:12" ht="15" x14ac:dyDescent="0.25">
      <c r="A3670">
        <v>494693</v>
      </c>
      <c r="B3670" t="str">
        <f t="shared" si="146"/>
        <v>SEVROLL 06049 maska Elegant II 2,35m grafit</v>
      </c>
      <c r="C3670" s="90">
        <f t="shared" si="147"/>
        <v>4.5720400000000003</v>
      </c>
      <c r="D3670" s="526" t="s">
        <v>3545</v>
      </c>
      <c r="E3670" s="526" t="s">
        <v>6445</v>
      </c>
      <c r="F3670" s="526" t="s">
        <v>3545</v>
      </c>
      <c r="G3670" s="526" t="s">
        <v>6446</v>
      </c>
      <c r="H3670" s="412">
        <v>126.45941999999999</v>
      </c>
      <c r="I3670" s="411">
        <v>4.5720400000000003</v>
      </c>
      <c r="J3670" s="411">
        <v>16.870799999999999</v>
      </c>
      <c r="K3670" s="411">
        <v>1740.45587</v>
      </c>
      <c r="L3670" s="526" t="s">
        <v>553</v>
      </c>
    </row>
    <row r="3671" spans="1:12" ht="15" x14ac:dyDescent="0.25">
      <c r="A3671">
        <v>494740</v>
      </c>
      <c r="B3671" t="str">
        <f t="shared" si="146"/>
        <v>SEVROLL 06050 maska Elegant II 3m grafit</v>
      </c>
      <c r="C3671" s="90">
        <f t="shared" si="147"/>
        <v>5.8366499999999997</v>
      </c>
      <c r="D3671" s="526" t="s">
        <v>3546</v>
      </c>
      <c r="E3671" s="526" t="s">
        <v>6447</v>
      </c>
      <c r="F3671" s="526" t="s">
        <v>3546</v>
      </c>
      <c r="G3671" s="526" t="s">
        <v>6448</v>
      </c>
      <c r="H3671" s="412">
        <v>161.46796000000001</v>
      </c>
      <c r="I3671" s="411">
        <v>5.8366499999999997</v>
      </c>
      <c r="J3671" s="411">
        <v>21.542400000000001</v>
      </c>
      <c r="K3671" s="411">
        <v>2221.8586500000001</v>
      </c>
      <c r="L3671" s="526" t="s">
        <v>553</v>
      </c>
    </row>
    <row r="3672" spans="1:12" ht="15" x14ac:dyDescent="0.25">
      <c r="A3672">
        <v>494703</v>
      </c>
      <c r="B3672" t="str">
        <f t="shared" si="146"/>
        <v>SEVROLL 06051 maska Elegant II 4,05m grafit</v>
      </c>
      <c r="C3672" s="90">
        <f t="shared" si="147"/>
        <v>7.8794599999999999</v>
      </c>
      <c r="D3672" s="526" t="s">
        <v>3547</v>
      </c>
      <c r="E3672" s="526" t="s">
        <v>6449</v>
      </c>
      <c r="F3672" s="526" t="s">
        <v>3547</v>
      </c>
      <c r="G3672" s="526" t="s">
        <v>6450</v>
      </c>
      <c r="H3672" s="412">
        <v>217.91030000000001</v>
      </c>
      <c r="I3672" s="411">
        <v>7.8794599999999999</v>
      </c>
      <c r="J3672" s="411">
        <v>29.07</v>
      </c>
      <c r="K3672" s="411">
        <v>2999.5093700000002</v>
      </c>
      <c r="L3672" s="526" t="s">
        <v>553</v>
      </c>
    </row>
    <row r="3673" spans="1:12" ht="15" x14ac:dyDescent="0.25">
      <c r="A3673">
        <v>496357</v>
      </c>
      <c r="B3673" t="str">
        <f t="shared" si="146"/>
        <v>SEVROLL 06052 maska Elegant II 6m grafit</v>
      </c>
      <c r="C3673" s="90">
        <f t="shared" si="147"/>
        <v>11.67327</v>
      </c>
      <c r="D3673" s="526" t="s">
        <v>3548</v>
      </c>
      <c r="E3673" s="526" t="s">
        <v>6451</v>
      </c>
      <c r="F3673" s="526" t="s">
        <v>3548</v>
      </c>
      <c r="G3673" s="526" t="s">
        <v>6452</v>
      </c>
      <c r="H3673" s="412">
        <v>322.93592000000001</v>
      </c>
      <c r="I3673" s="411">
        <v>11.67327</v>
      </c>
      <c r="J3673" s="411">
        <v>43.084800000000001</v>
      </c>
      <c r="K3673" s="411">
        <v>4443.7172700000001</v>
      </c>
      <c r="L3673" s="526" t="s">
        <v>554</v>
      </c>
    </row>
    <row r="3674" spans="1:12" ht="15" x14ac:dyDescent="0.25">
      <c r="A3674">
        <v>489289</v>
      </c>
      <c r="B3674" t="str">
        <f t="shared" si="146"/>
        <v>SEVROLL 05786 Porto GM 18 úchytová lišta 2,7m oliva</v>
      </c>
      <c r="C3674" s="90">
        <f t="shared" si="147"/>
        <v>26.577089999999998</v>
      </c>
      <c r="D3674" s="526" t="s">
        <v>6302</v>
      </c>
      <c r="E3674" s="526" t="s">
        <v>6303</v>
      </c>
      <c r="F3674" s="526" t="s">
        <v>6302</v>
      </c>
      <c r="G3674" s="526" t="s">
        <v>6304</v>
      </c>
      <c r="H3674" s="412">
        <v>735.89380000000006</v>
      </c>
      <c r="I3674" s="411">
        <v>26.577089999999998</v>
      </c>
      <c r="J3674" s="411">
        <v>90.810599999999994</v>
      </c>
      <c r="K3674" s="411">
        <v>10117.216200000001</v>
      </c>
      <c r="L3674" s="526" t="s">
        <v>554</v>
      </c>
    </row>
    <row r="3675" spans="1:12" ht="15" x14ac:dyDescent="0.25">
      <c r="A3675">
        <v>489288</v>
      </c>
      <c r="B3675" t="str">
        <f t="shared" si="146"/>
        <v>SEVROLL 05787 Porto GM 18 úchytová lišta 2,7m oliva</v>
      </c>
      <c r="C3675" s="90">
        <f t="shared" si="147"/>
        <v>29.51219</v>
      </c>
      <c r="D3675" s="526" t="s">
        <v>6298</v>
      </c>
      <c r="E3675" s="526" t="s">
        <v>6299</v>
      </c>
      <c r="F3675" s="526" t="s">
        <v>6300</v>
      </c>
      <c r="G3675" s="526" t="s">
        <v>6301</v>
      </c>
      <c r="H3675" s="412">
        <v>817.34223999999995</v>
      </c>
      <c r="I3675" s="411">
        <v>29.51219</v>
      </c>
      <c r="J3675" s="411">
        <v>100.90860000000001</v>
      </c>
      <c r="K3675" s="411">
        <v>11234.530419999999</v>
      </c>
      <c r="L3675" s="526" t="s">
        <v>554</v>
      </c>
    </row>
    <row r="3676" spans="1:12" ht="15" x14ac:dyDescent="0.25">
      <c r="A3676">
        <v>489286</v>
      </c>
      <c r="B3676" t="str">
        <f t="shared" si="146"/>
        <v>SEVROLL 05784 Porto GM 18 úchytová lišta 2,7m strieborn</v>
      </c>
      <c r="C3676" s="90">
        <f t="shared" si="147"/>
        <v>21.261669999999999</v>
      </c>
      <c r="D3676" s="526" t="s">
        <v>6290</v>
      </c>
      <c r="E3676" s="526" t="s">
        <v>6291</v>
      </c>
      <c r="F3676" s="526" t="s">
        <v>6292</v>
      </c>
      <c r="G3676" s="526" t="s">
        <v>6293</v>
      </c>
      <c r="H3676" s="412">
        <v>588.71504000000004</v>
      </c>
      <c r="I3676" s="411">
        <v>21.261669999999999</v>
      </c>
      <c r="J3676" s="411">
        <v>78.988799999999998</v>
      </c>
      <c r="K3676" s="411">
        <v>8093.7728900000002</v>
      </c>
      <c r="L3676" s="526" t="s">
        <v>554</v>
      </c>
    </row>
    <row r="3677" spans="1:12" ht="15" x14ac:dyDescent="0.25">
      <c r="A3677">
        <v>489287</v>
      </c>
      <c r="B3677" t="str">
        <f t="shared" si="146"/>
        <v>SEVROLL 05785 Porto GM 18 úchytová lišta 3m strieborn</v>
      </c>
      <c r="C3677" s="90">
        <f t="shared" si="147"/>
        <v>23.609749999999998</v>
      </c>
      <c r="D3677" s="526" t="s">
        <v>6294</v>
      </c>
      <c r="E3677" s="526" t="s">
        <v>6295</v>
      </c>
      <c r="F3677" s="526" t="s">
        <v>6296</v>
      </c>
      <c r="G3677" s="526" t="s">
        <v>6297</v>
      </c>
      <c r="H3677" s="412">
        <v>653.73090000000002</v>
      </c>
      <c r="I3677" s="411">
        <v>23.609749999999998</v>
      </c>
      <c r="J3677" s="411">
        <v>87.771000000000001</v>
      </c>
      <c r="K3677" s="411">
        <v>8987.6241000000009</v>
      </c>
      <c r="L3677" s="526" t="s">
        <v>553</v>
      </c>
    </row>
    <row r="3678" spans="1:12" ht="15" x14ac:dyDescent="0.25">
      <c r="A3678">
        <v>489291</v>
      </c>
      <c r="B3678" t="str">
        <f t="shared" si="146"/>
        <v>SEVROLL 05791 Prosper GM 18 úch lišta 2 7m oliva</v>
      </c>
      <c r="C3678" s="90">
        <f t="shared" si="147"/>
        <v>28.060759999999998</v>
      </c>
      <c r="D3678" s="526" t="s">
        <v>6309</v>
      </c>
      <c r="E3678" s="526" t="s">
        <v>6310</v>
      </c>
      <c r="F3678" s="526" t="s">
        <v>6311</v>
      </c>
      <c r="G3678" s="526" t="s">
        <v>6312</v>
      </c>
      <c r="H3678" s="412">
        <v>777.33248000000003</v>
      </c>
      <c r="I3678" s="411">
        <v>28.060759999999998</v>
      </c>
      <c r="J3678" s="411">
        <v>95.262100000000004</v>
      </c>
      <c r="K3678" s="411">
        <v>10682.01245</v>
      </c>
      <c r="L3678" s="526" t="s">
        <v>554</v>
      </c>
    </row>
    <row r="3679" spans="1:12" ht="15" x14ac:dyDescent="0.25">
      <c r="A3679">
        <v>489290</v>
      </c>
      <c r="B3679" t="str">
        <f t="shared" si="146"/>
        <v>SEVROLL 05790 Prosper GM 18 úch.lišta 2,7m strieborná</v>
      </c>
      <c r="C3679" s="90">
        <f t="shared" si="147"/>
        <v>22.448609999999999</v>
      </c>
      <c r="D3679" s="526" t="s">
        <v>6305</v>
      </c>
      <c r="E3679" s="526" t="s">
        <v>6306</v>
      </c>
      <c r="F3679" s="526" t="s">
        <v>6307</v>
      </c>
      <c r="G3679" s="526" t="s">
        <v>6308</v>
      </c>
      <c r="H3679" s="412">
        <v>621.58019999999999</v>
      </c>
      <c r="I3679" s="411">
        <v>22.448609999999999</v>
      </c>
      <c r="J3679" s="411">
        <v>78.988799999999998</v>
      </c>
      <c r="K3679" s="411">
        <v>8545.6098000000002</v>
      </c>
      <c r="L3679" s="526" t="s">
        <v>553</v>
      </c>
    </row>
    <row r="3680" spans="1:12" ht="15" x14ac:dyDescent="0.25">
      <c r="A3680">
        <v>489293</v>
      </c>
      <c r="B3680" t="str">
        <f t="shared" si="146"/>
        <v>SEVROLL 05789 Arte GM 18 úch.lišta 2,7m oliva</v>
      </c>
      <c r="C3680" s="90">
        <f t="shared" si="147"/>
        <v>28.067229999999999</v>
      </c>
      <c r="D3680" s="526" t="s">
        <v>6317</v>
      </c>
      <c r="E3680" s="526" t="s">
        <v>6318</v>
      </c>
      <c r="F3680" s="526" t="s">
        <v>6319</v>
      </c>
      <c r="G3680" s="526" t="s">
        <v>6320</v>
      </c>
      <c r="H3680" s="412">
        <v>777.33248000000003</v>
      </c>
      <c r="I3680" s="411">
        <v>28.067229999999999</v>
      </c>
      <c r="J3680" s="411">
        <v>95.262100000000004</v>
      </c>
      <c r="K3680" s="411">
        <v>10684.46811</v>
      </c>
      <c r="L3680" s="526" t="s">
        <v>554</v>
      </c>
    </row>
    <row r="3681" spans="1:12" ht="15" x14ac:dyDescent="0.25">
      <c r="A3681">
        <v>489294</v>
      </c>
      <c r="B3681" t="str">
        <f t="shared" si="146"/>
        <v>SEVROLL 05910 Arte GM 18 úchytová lišta 2,7m čierna mat</v>
      </c>
      <c r="C3681" s="90">
        <f t="shared" si="147"/>
        <v>29.105779999999999</v>
      </c>
      <c r="D3681" s="526" t="s">
        <v>6321</v>
      </c>
      <c r="E3681" s="526" t="s">
        <v>6322</v>
      </c>
      <c r="F3681" s="526" t="s">
        <v>6323</v>
      </c>
      <c r="G3681" s="526" t="s">
        <v>6324</v>
      </c>
      <c r="H3681" s="412">
        <v>805.91088000000002</v>
      </c>
      <c r="I3681" s="411">
        <v>29.105779999999999</v>
      </c>
      <c r="J3681" s="411">
        <v>102.68340000000001</v>
      </c>
      <c r="K3681" s="411">
        <v>11079.82497</v>
      </c>
      <c r="L3681" s="526" t="s">
        <v>554</v>
      </c>
    </row>
    <row r="3682" spans="1:12" ht="15" x14ac:dyDescent="0.25">
      <c r="A3682">
        <v>489292</v>
      </c>
      <c r="B3682" t="str">
        <f t="shared" si="146"/>
        <v>SEVROLL 05788 Arte GM 18 úch.lišta 2,7m strieborná</v>
      </c>
      <c r="C3682" s="90">
        <f t="shared" si="147"/>
        <v>22.453779999999998</v>
      </c>
      <c r="D3682" s="526" t="s">
        <v>6313</v>
      </c>
      <c r="E3682" s="526" t="s">
        <v>6314</v>
      </c>
      <c r="F3682" s="526" t="s">
        <v>6315</v>
      </c>
      <c r="G3682" s="526" t="s">
        <v>6316</v>
      </c>
      <c r="H3682" s="412">
        <v>621.58019999999999</v>
      </c>
      <c r="I3682" s="411">
        <v>22.453779999999998</v>
      </c>
      <c r="J3682" s="411">
        <v>78.988799999999998</v>
      </c>
      <c r="K3682" s="411">
        <v>8547.5743299999995</v>
      </c>
      <c r="L3682" s="526" t="s">
        <v>553</v>
      </c>
    </row>
    <row r="3683" spans="1:12" ht="15" x14ac:dyDescent="0.25">
      <c r="A3683">
        <v>496946</v>
      </c>
      <c r="B3683" t="str">
        <f t="shared" si="146"/>
        <v>SEVROLL 05801 GM 18 spodná krycia lišta 1,7m 18mm oliva</v>
      </c>
      <c r="C3683" s="90">
        <f t="shared" si="147"/>
        <v>25.364350000000002</v>
      </c>
      <c r="D3683" s="526" t="s">
        <v>3550</v>
      </c>
      <c r="E3683" s="526" t="s">
        <v>6453</v>
      </c>
      <c r="F3683" s="526" t="s">
        <v>6454</v>
      </c>
      <c r="G3683" s="526" t="s">
        <v>6455</v>
      </c>
      <c r="H3683" s="412">
        <v>702.31417999999996</v>
      </c>
      <c r="I3683" s="411">
        <v>25.364350000000002</v>
      </c>
      <c r="J3683" s="411">
        <v>86.131799999999998</v>
      </c>
      <c r="K3683" s="411">
        <v>9655.5566699999999</v>
      </c>
      <c r="L3683" s="526" t="s">
        <v>554</v>
      </c>
    </row>
    <row r="3684" spans="1:12" ht="15" x14ac:dyDescent="0.25">
      <c r="A3684">
        <v>496947</v>
      </c>
      <c r="B3684" t="str">
        <f t="shared" si="146"/>
        <v>SEVROLL 05913 GM 18 spodná krycí lišta 2,35m 18mm</v>
      </c>
      <c r="C3684" s="90">
        <f t="shared" si="147"/>
        <v>35.040469999999999</v>
      </c>
      <c r="D3684" s="526" t="s">
        <v>6456</v>
      </c>
      <c r="E3684" s="526" t="s">
        <v>6457</v>
      </c>
      <c r="F3684" s="526" t="s">
        <v>6458</v>
      </c>
      <c r="G3684" s="526" t="s">
        <v>6459</v>
      </c>
      <c r="H3684" s="412">
        <v>970.23667999999998</v>
      </c>
      <c r="I3684" s="411">
        <v>35.040469999999999</v>
      </c>
      <c r="J3684" s="411">
        <v>119.0607</v>
      </c>
      <c r="K3684" s="411">
        <v>13339.009169999999</v>
      </c>
      <c r="L3684" s="526" t="s">
        <v>554</v>
      </c>
    </row>
    <row r="3685" spans="1:12" ht="15" x14ac:dyDescent="0.25">
      <c r="A3685">
        <v>496951</v>
      </c>
      <c r="B3685" t="str">
        <f t="shared" si="146"/>
        <v>SEVROLL 05803 GM 18 spodná krycia lišta 3m 18mm oliva</v>
      </c>
      <c r="C3685" s="90">
        <f t="shared" si="147"/>
        <v>44.742400000000004</v>
      </c>
      <c r="D3685" s="526" t="s">
        <v>3551</v>
      </c>
      <c r="E3685" s="526" t="s">
        <v>6460</v>
      </c>
      <c r="F3685" s="526" t="s">
        <v>6461</v>
      </c>
      <c r="G3685" s="526" t="s">
        <v>6462</v>
      </c>
      <c r="H3685" s="412">
        <v>1238.87364</v>
      </c>
      <c r="I3685" s="411">
        <v>44.742400000000004</v>
      </c>
      <c r="J3685" s="411">
        <v>151.9896</v>
      </c>
      <c r="K3685" s="411">
        <v>17032.28429</v>
      </c>
      <c r="L3685" s="526" t="s">
        <v>554</v>
      </c>
    </row>
    <row r="3686" spans="1:12" ht="15" x14ac:dyDescent="0.25">
      <c r="A3686">
        <v>496952</v>
      </c>
      <c r="B3686" t="str">
        <f t="shared" si="146"/>
        <v>SEVROLL 05912 GM 18 spodná krycia lišta 1,7m 18mm čierna mat</v>
      </c>
      <c r="C3686" s="90">
        <f t="shared" si="147"/>
        <v>27.247969999999999</v>
      </c>
      <c r="D3686" s="526" t="s">
        <v>6463</v>
      </c>
      <c r="E3686" s="526" t="s">
        <v>6464</v>
      </c>
      <c r="F3686" s="526" t="s">
        <v>6465</v>
      </c>
      <c r="G3686" s="526" t="s">
        <v>6466</v>
      </c>
      <c r="H3686" s="412">
        <v>754.46975999999995</v>
      </c>
      <c r="I3686" s="411">
        <v>27.247969999999999</v>
      </c>
      <c r="J3686" s="411">
        <v>91.999600000000001</v>
      </c>
      <c r="K3686" s="411">
        <v>10372.60231</v>
      </c>
      <c r="L3686" s="526" t="s">
        <v>554</v>
      </c>
    </row>
    <row r="3687" spans="1:12" ht="15" x14ac:dyDescent="0.25">
      <c r="A3687">
        <v>496955</v>
      </c>
      <c r="B3687" t="str">
        <f t="shared" si="146"/>
        <v>SEVROLL 05913 GM 18 spodná krycí lišta 2,35m 18mm čierna mat</v>
      </c>
      <c r="C3687" s="90">
        <f t="shared" si="147"/>
        <v>37.64658</v>
      </c>
      <c r="D3687" s="526" t="s">
        <v>3552</v>
      </c>
      <c r="E3687" s="526" t="s">
        <v>6467</v>
      </c>
      <c r="F3687" s="526" t="s">
        <v>6468</v>
      </c>
      <c r="G3687" s="526" t="s">
        <v>6469</v>
      </c>
      <c r="H3687" s="412">
        <v>1042.39714</v>
      </c>
      <c r="I3687" s="411">
        <v>37.64658</v>
      </c>
      <c r="J3687" s="411">
        <v>127.1741</v>
      </c>
      <c r="K3687" s="411">
        <v>14331.085789999999</v>
      </c>
      <c r="L3687" s="526" t="s">
        <v>554</v>
      </c>
    </row>
    <row r="3688" spans="1:12" ht="15" x14ac:dyDescent="0.25">
      <c r="A3688">
        <v>496957</v>
      </c>
      <c r="B3688" t="str">
        <f t="shared" si="146"/>
        <v>SEVROLL 05803 GM 18 spodná krycia lišta 3m 18mm čierna mat</v>
      </c>
      <c r="C3688" s="90">
        <f t="shared" si="147"/>
        <v>48.070990000000002</v>
      </c>
      <c r="D3688" s="526" t="s">
        <v>3553</v>
      </c>
      <c r="E3688" s="526" t="s">
        <v>6470</v>
      </c>
      <c r="F3688" s="526" t="s">
        <v>6471</v>
      </c>
      <c r="G3688" s="526" t="s">
        <v>6472</v>
      </c>
      <c r="H3688" s="412">
        <v>1331.03898</v>
      </c>
      <c r="I3688" s="411">
        <v>48.070990000000002</v>
      </c>
      <c r="J3688" s="411">
        <v>162.35890000000001</v>
      </c>
      <c r="K3688" s="411">
        <v>18299.391869999999</v>
      </c>
      <c r="L3688" s="526" t="s">
        <v>554</v>
      </c>
    </row>
    <row r="3689" spans="1:12" ht="15" x14ac:dyDescent="0.25">
      <c r="A3689">
        <v>496369</v>
      </c>
      <c r="B3689" t="str">
        <f t="shared" si="146"/>
        <v>SEVROLL 05798 GM 18 spodná krycia lišta 1,7m 18mm strieborná</v>
      </c>
      <c r="C3689" s="90">
        <f t="shared" si="147"/>
        <v>20.95204</v>
      </c>
      <c r="D3689" s="526" t="s">
        <v>6473</v>
      </c>
      <c r="E3689" s="526" t="s">
        <v>6474</v>
      </c>
      <c r="F3689" s="526" t="s">
        <v>6475</v>
      </c>
      <c r="G3689" s="526" t="s">
        <v>6476</v>
      </c>
      <c r="H3689" s="412">
        <v>580.14152000000001</v>
      </c>
      <c r="I3689" s="411">
        <v>20.95204</v>
      </c>
      <c r="J3689" s="411">
        <v>70.771299999999997</v>
      </c>
      <c r="K3689" s="411">
        <v>7975.9026299999996</v>
      </c>
      <c r="L3689" s="526" t="s">
        <v>553</v>
      </c>
    </row>
    <row r="3690" spans="1:12" ht="15" x14ac:dyDescent="0.25">
      <c r="A3690">
        <v>496370</v>
      </c>
      <c r="B3690" t="str">
        <f t="shared" si="146"/>
        <v>SEVROLL 05799 GM 18 spod.krycia lišta 2,35m 18mm strieborná</v>
      </c>
      <c r="C3690" s="90">
        <f t="shared" si="147"/>
        <v>28.950970000000002</v>
      </c>
      <c r="D3690" s="526" t="s">
        <v>6477</v>
      </c>
      <c r="E3690" s="526" t="s">
        <v>6478</v>
      </c>
      <c r="F3690" s="526" t="s">
        <v>6479</v>
      </c>
      <c r="G3690" s="526" t="s">
        <v>6480</v>
      </c>
      <c r="H3690" s="412">
        <v>801.62411999999995</v>
      </c>
      <c r="I3690" s="411">
        <v>28.950970000000002</v>
      </c>
      <c r="J3690" s="411">
        <v>97.829400000000007</v>
      </c>
      <c r="K3690" s="411">
        <v>11020.89003</v>
      </c>
      <c r="L3690" s="526" t="s">
        <v>553</v>
      </c>
    </row>
    <row r="3691" spans="1:12" ht="15" x14ac:dyDescent="0.25">
      <c r="A3691">
        <v>496371</v>
      </c>
      <c r="B3691" t="str">
        <f t="shared" si="146"/>
        <v>SEVROLL 05800 GM 18 spod.krycia lišta 3m 18mm strieborná</v>
      </c>
      <c r="C3691" s="90">
        <f t="shared" si="147"/>
        <v>36.975700000000003</v>
      </c>
      <c r="D3691" s="526" t="s">
        <v>6481</v>
      </c>
      <c r="E3691" s="526" t="s">
        <v>6482</v>
      </c>
      <c r="F3691" s="526" t="s">
        <v>6483</v>
      </c>
      <c r="G3691" s="526" t="s">
        <v>6484</v>
      </c>
      <c r="H3691" s="412">
        <v>1023.82118</v>
      </c>
      <c r="I3691" s="411">
        <v>36.975700000000003</v>
      </c>
      <c r="J3691" s="411">
        <v>124.8875</v>
      </c>
      <c r="K3691" s="411">
        <v>14075.69967</v>
      </c>
      <c r="L3691" s="526" t="s">
        <v>553</v>
      </c>
    </row>
    <row r="3692" spans="1:12" ht="15" x14ac:dyDescent="0.25">
      <c r="A3692">
        <v>496970</v>
      </c>
      <c r="B3692" t="str">
        <f t="shared" si="146"/>
        <v>SEVROLL 05795 GM 18 vodiaca lišta 1,7m oliva</v>
      </c>
      <c r="C3692" s="90">
        <f t="shared" si="147"/>
        <v>17.520240000000001</v>
      </c>
      <c r="D3692" s="526" t="s">
        <v>3554</v>
      </c>
      <c r="E3692" s="526" t="s">
        <v>6485</v>
      </c>
      <c r="F3692" s="526" t="s">
        <v>6486</v>
      </c>
      <c r="G3692" s="526" t="s">
        <v>6487</v>
      </c>
      <c r="H3692" s="412">
        <v>485.11833999999999</v>
      </c>
      <c r="I3692" s="411">
        <v>17.520240000000001</v>
      </c>
      <c r="J3692" s="411">
        <v>59.350499999999997</v>
      </c>
      <c r="K3692" s="411">
        <v>6669.5045899999996</v>
      </c>
      <c r="L3692" s="526" t="s">
        <v>554</v>
      </c>
    </row>
    <row r="3693" spans="1:12" ht="15" x14ac:dyDescent="0.25">
      <c r="A3693">
        <v>496971</v>
      </c>
      <c r="B3693" t="str">
        <f t="shared" si="146"/>
        <v>SEVROLL 05796 GM 18 vodiaca lišta 2,35m oliva</v>
      </c>
      <c r="C3693" s="90">
        <f t="shared" si="147"/>
        <v>24.177409999999998</v>
      </c>
      <c r="D3693" s="526" t="s">
        <v>3555</v>
      </c>
      <c r="E3693" s="526" t="s">
        <v>6488</v>
      </c>
      <c r="F3693" s="526" t="s">
        <v>6489</v>
      </c>
      <c r="G3693" s="526" t="s">
        <v>6490</v>
      </c>
      <c r="H3693" s="412">
        <v>669.44902000000002</v>
      </c>
      <c r="I3693" s="411">
        <v>24.177409999999998</v>
      </c>
      <c r="J3693" s="411">
        <v>82.055199999999999</v>
      </c>
      <c r="K3693" s="411">
        <v>9203.7201299999997</v>
      </c>
      <c r="L3693" s="526" t="s">
        <v>554</v>
      </c>
    </row>
    <row r="3694" spans="1:12" ht="15" x14ac:dyDescent="0.25">
      <c r="A3694">
        <v>496972</v>
      </c>
      <c r="B3694" t="str">
        <f t="shared" si="146"/>
        <v>SEVROLL 05797 GM 18 vodiaca lišta 3m oliva</v>
      </c>
      <c r="C3694" s="90">
        <f t="shared" si="147"/>
        <v>30.886189999999999</v>
      </c>
      <c r="D3694" s="526" t="s">
        <v>6491</v>
      </c>
      <c r="E3694" s="526" t="s">
        <v>6492</v>
      </c>
      <c r="F3694" s="526" t="s">
        <v>6493</v>
      </c>
      <c r="G3694" s="526" t="s">
        <v>6494</v>
      </c>
      <c r="H3694" s="412">
        <v>855.20862</v>
      </c>
      <c r="I3694" s="411">
        <v>30.886189999999999</v>
      </c>
      <c r="J3694" s="411">
        <v>104.7381</v>
      </c>
      <c r="K3694" s="411">
        <v>11757.580529999999</v>
      </c>
      <c r="L3694" s="526" t="s">
        <v>554</v>
      </c>
    </row>
    <row r="3695" spans="1:12" ht="15" x14ac:dyDescent="0.25">
      <c r="A3695">
        <v>496974</v>
      </c>
      <c r="B3695" t="str">
        <f t="shared" si="146"/>
        <v>SEVROLL 05918 GM 18 vodiaca lišta 1,7m čierna mat</v>
      </c>
      <c r="C3695" s="90">
        <f t="shared" si="147"/>
        <v>17.804069999999999</v>
      </c>
      <c r="D3695" s="526" t="s">
        <v>3556</v>
      </c>
      <c r="E3695" s="526" t="s">
        <v>6495</v>
      </c>
      <c r="F3695" s="526" t="s">
        <v>6496</v>
      </c>
      <c r="G3695" s="526" t="s">
        <v>6497</v>
      </c>
      <c r="H3695" s="412">
        <v>492.97739999999999</v>
      </c>
      <c r="I3695" s="411">
        <v>17.804069999999999</v>
      </c>
      <c r="J3695" s="411">
        <v>62.791200000000003</v>
      </c>
      <c r="K3695" s="411">
        <v>6777.5526</v>
      </c>
      <c r="L3695" s="526" t="s">
        <v>554</v>
      </c>
    </row>
    <row r="3696" spans="1:12" ht="15" x14ac:dyDescent="0.25">
      <c r="A3696">
        <v>496977</v>
      </c>
      <c r="B3696" t="str">
        <f t="shared" si="146"/>
        <v>SEVROLL 05919 GM 18 vodiaca lišta 2,35m čierna mat</v>
      </c>
      <c r="C3696" s="90">
        <f t="shared" si="147"/>
        <v>24.616060000000001</v>
      </c>
      <c r="D3696" s="526" t="s">
        <v>3557</v>
      </c>
      <c r="E3696" s="526" t="s">
        <v>6498</v>
      </c>
      <c r="F3696" s="526" t="s">
        <v>6499</v>
      </c>
      <c r="G3696" s="526" t="s">
        <v>6500</v>
      </c>
      <c r="H3696" s="412">
        <v>681.59483999999998</v>
      </c>
      <c r="I3696" s="411">
        <v>24.616060000000001</v>
      </c>
      <c r="J3696" s="411">
        <v>86.802000000000007</v>
      </c>
      <c r="K3696" s="411">
        <v>9370.7030900000009</v>
      </c>
      <c r="L3696" s="526" t="s">
        <v>554</v>
      </c>
    </row>
    <row r="3697" spans="1:12" ht="15" x14ac:dyDescent="0.25">
      <c r="A3697">
        <v>496979</v>
      </c>
      <c r="B3697" t="str">
        <f t="shared" si="146"/>
        <v>SEVROLL 05920 GM 18 vodiaca lišta 3m čierna mat</v>
      </c>
      <c r="C3697" s="90">
        <f t="shared" si="147"/>
        <v>31.428049999999999</v>
      </c>
      <c r="D3697" s="526" t="s">
        <v>3558</v>
      </c>
      <c r="E3697" s="526" t="s">
        <v>6501</v>
      </c>
      <c r="F3697" s="526" t="s">
        <v>6502</v>
      </c>
      <c r="G3697" s="526" t="s">
        <v>6503</v>
      </c>
      <c r="H3697" s="412">
        <v>870.21227999999996</v>
      </c>
      <c r="I3697" s="411">
        <v>31.428049999999999</v>
      </c>
      <c r="J3697" s="411">
        <v>110.8026</v>
      </c>
      <c r="K3697" s="411">
        <v>11963.853569999999</v>
      </c>
      <c r="L3697" s="526" t="s">
        <v>554</v>
      </c>
    </row>
    <row r="3698" spans="1:12" ht="15" x14ac:dyDescent="0.25">
      <c r="A3698">
        <v>496366</v>
      </c>
      <c r="B3698" t="str">
        <f t="shared" si="146"/>
        <v>SEVROLL 05792 GM 18 vodiaca lišta 1,7m strieborná</v>
      </c>
      <c r="C3698" s="90">
        <f t="shared" si="147"/>
        <v>14.475479999999999</v>
      </c>
      <c r="D3698" s="526" t="s">
        <v>6504</v>
      </c>
      <c r="E3698" s="526" t="s">
        <v>6505</v>
      </c>
      <c r="F3698" s="526" t="s">
        <v>6506</v>
      </c>
      <c r="G3698" s="526" t="s">
        <v>6507</v>
      </c>
      <c r="H3698" s="412">
        <v>400.81205999999997</v>
      </c>
      <c r="I3698" s="411">
        <v>14.475479999999999</v>
      </c>
      <c r="J3698" s="411">
        <v>48.770499999999998</v>
      </c>
      <c r="K3698" s="411">
        <v>5510.4450100000004</v>
      </c>
      <c r="L3698" s="526" t="s">
        <v>553</v>
      </c>
    </row>
    <row r="3699" spans="1:12" ht="15" x14ac:dyDescent="0.25">
      <c r="A3699">
        <v>496367</v>
      </c>
      <c r="B3699" t="str">
        <f t="shared" si="146"/>
        <v>SEVROLL 05793 GM 18 vod. Lišta 2,35m strieborná</v>
      </c>
      <c r="C3699" s="90">
        <f t="shared" si="147"/>
        <v>19.971520000000002</v>
      </c>
      <c r="D3699" s="526" t="s">
        <v>6508</v>
      </c>
      <c r="E3699" s="526" t="s">
        <v>6509</v>
      </c>
      <c r="F3699" s="526" t="s">
        <v>6510</v>
      </c>
      <c r="G3699" s="526" t="s">
        <v>6511</v>
      </c>
      <c r="H3699" s="412">
        <v>552.99203999999997</v>
      </c>
      <c r="I3699" s="411">
        <v>19.971520000000002</v>
      </c>
      <c r="J3699" s="411">
        <v>67.4238</v>
      </c>
      <c r="K3699" s="411">
        <v>7602.6458899999998</v>
      </c>
      <c r="L3699" s="526" t="s">
        <v>553</v>
      </c>
    </row>
    <row r="3700" spans="1:12" ht="15" x14ac:dyDescent="0.25">
      <c r="A3700">
        <v>496368</v>
      </c>
      <c r="B3700" t="str">
        <f t="shared" si="146"/>
        <v>SEVROLL 05794 GM 18 VOD.LIŠTA 3 M STRIEBORNA</v>
      </c>
      <c r="C3700" s="90">
        <f t="shared" si="147"/>
        <v>25.493359999999999</v>
      </c>
      <c r="D3700" s="526" t="s">
        <v>6512</v>
      </c>
      <c r="E3700" s="526" t="s">
        <v>6513</v>
      </c>
      <c r="F3700" s="526" t="s">
        <v>6514</v>
      </c>
      <c r="G3700" s="526" t="s">
        <v>6515</v>
      </c>
      <c r="H3700" s="412">
        <v>705.88648000000001</v>
      </c>
      <c r="I3700" s="411">
        <v>25.493359999999999</v>
      </c>
      <c r="J3700" s="411">
        <v>86.066800000000001</v>
      </c>
      <c r="K3700" s="411">
        <v>9704.6693699999996</v>
      </c>
      <c r="L3700" s="526" t="s">
        <v>553</v>
      </c>
    </row>
    <row r="3701" spans="1:12" ht="15" x14ac:dyDescent="0.25">
      <c r="A3701">
        <v>496986</v>
      </c>
      <c r="B3701" t="str">
        <f t="shared" si="146"/>
        <v>SEVROLL 05805 GM 18 spojovacia lišta H18 3m oliva</v>
      </c>
      <c r="C3701" s="90">
        <f t="shared" si="147"/>
        <v>15.043150000000001</v>
      </c>
      <c r="D3701" s="526" t="s">
        <v>3559</v>
      </c>
      <c r="E3701" s="526" t="s">
        <v>6516</v>
      </c>
      <c r="F3701" s="526" t="s">
        <v>6517</v>
      </c>
      <c r="G3701" s="526" t="s">
        <v>6518</v>
      </c>
      <c r="H3701" s="412">
        <v>416.53017999999997</v>
      </c>
      <c r="I3701" s="411">
        <v>15.043150000000001</v>
      </c>
      <c r="J3701" s="411">
        <v>55.253399999999999</v>
      </c>
      <c r="K3701" s="411">
        <v>5726.5406700000003</v>
      </c>
      <c r="L3701" s="526" t="s">
        <v>554</v>
      </c>
    </row>
    <row r="3702" spans="1:12" ht="15" x14ac:dyDescent="0.25">
      <c r="A3702">
        <v>496987</v>
      </c>
      <c r="B3702" t="str">
        <f t="shared" si="146"/>
        <v>SEVROLL 05924 GM 18 spojovacia lišta H18 3m čierna mat</v>
      </c>
      <c r="C3702" s="90">
        <f t="shared" si="147"/>
        <v>17.41703</v>
      </c>
      <c r="D3702" s="526" t="s">
        <v>3560</v>
      </c>
      <c r="E3702" s="526" t="s">
        <v>6519</v>
      </c>
      <c r="F3702" s="526" t="s">
        <v>6520</v>
      </c>
      <c r="G3702" s="526" t="s">
        <v>6521</v>
      </c>
      <c r="H3702" s="412">
        <v>482.26049999999998</v>
      </c>
      <c r="I3702" s="411">
        <v>17.41703</v>
      </c>
      <c r="J3702" s="411">
        <v>62.454599999999999</v>
      </c>
      <c r="K3702" s="411">
        <v>6630.2145</v>
      </c>
      <c r="L3702" s="526" t="s">
        <v>554</v>
      </c>
    </row>
    <row r="3703" spans="1:12" ht="15" x14ac:dyDescent="0.25">
      <c r="A3703">
        <v>496942</v>
      </c>
      <c r="B3703" t="str">
        <f t="shared" ref="B3703:B3716" si="148">IF($A$2=1,D3703,IF($A$2=2,F3703,IF($A$2=3,G3703,IF($A$2=4,E3703,"zadat jazyk"))))</f>
        <v>SEVROLL 05804 GM 18 SPOJ.LIŠTA H18 3m str.</v>
      </c>
      <c r="C3703" s="90">
        <f t="shared" si="147"/>
        <v>12.51446</v>
      </c>
      <c r="D3703" s="526" t="s">
        <v>3561</v>
      </c>
      <c r="E3703" s="526" t="s">
        <v>6522</v>
      </c>
      <c r="F3703" s="526" t="s">
        <v>6523</v>
      </c>
      <c r="G3703" s="526" t="s">
        <v>6524</v>
      </c>
      <c r="H3703" s="412">
        <v>346.51310000000001</v>
      </c>
      <c r="I3703" s="411">
        <v>12.51446</v>
      </c>
      <c r="J3703" s="411">
        <v>48.042000000000002</v>
      </c>
      <c r="K3703" s="411">
        <v>4763.9318999999996</v>
      </c>
      <c r="L3703" s="526" t="s">
        <v>553</v>
      </c>
    </row>
    <row r="3704" spans="1:12" ht="15" x14ac:dyDescent="0.25">
      <c r="A3704">
        <v>496990</v>
      </c>
      <c r="B3704" t="str">
        <f t="shared" si="148"/>
        <v>SEVROLL 05807 GM 18 spojovacia lišta H25 3m oliva</v>
      </c>
      <c r="C3704" s="90">
        <f t="shared" ref="C3704:C3717" si="149">IF($A$2=1,H3704,IF($A$2=2,I3704,IF($A$2=3,J3704,IF($A$2=4,K3704,"zadat jazyk"))))</f>
        <v>28.151070000000001</v>
      </c>
      <c r="D3704" s="526" t="s">
        <v>3562</v>
      </c>
      <c r="E3704" s="526" t="s">
        <v>6525</v>
      </c>
      <c r="F3704" s="526" t="s">
        <v>6526</v>
      </c>
      <c r="G3704" s="526" t="s">
        <v>6527</v>
      </c>
      <c r="H3704" s="412">
        <v>779.47586000000001</v>
      </c>
      <c r="I3704" s="411">
        <v>28.151070000000001</v>
      </c>
      <c r="J3704" s="411">
        <v>95.5167</v>
      </c>
      <c r="K3704" s="411">
        <v>10716.39121</v>
      </c>
      <c r="L3704" s="526" t="s">
        <v>554</v>
      </c>
    </row>
    <row r="3705" spans="1:12" ht="15" x14ac:dyDescent="0.25">
      <c r="A3705">
        <v>496996</v>
      </c>
      <c r="B3705" t="str">
        <f t="shared" si="148"/>
        <v>SEVROLL 05926 GM 18 spojovacia lišta H25 3m čierna mat</v>
      </c>
      <c r="C3705" s="90">
        <f t="shared" si="149"/>
        <v>28.61553</v>
      </c>
      <c r="D3705" s="526" t="s">
        <v>3563</v>
      </c>
      <c r="E3705" s="526" t="s">
        <v>6528</v>
      </c>
      <c r="F3705" s="526" t="s">
        <v>6529</v>
      </c>
      <c r="G3705" s="526" t="s">
        <v>6530</v>
      </c>
      <c r="H3705" s="412">
        <v>792.33614</v>
      </c>
      <c r="I3705" s="411">
        <v>28.61553</v>
      </c>
      <c r="J3705" s="411">
        <v>101.0412</v>
      </c>
      <c r="K3705" s="411">
        <v>10893.19679</v>
      </c>
      <c r="L3705" s="526" t="s">
        <v>554</v>
      </c>
    </row>
    <row r="3706" spans="1:12" ht="15" x14ac:dyDescent="0.25">
      <c r="A3706">
        <v>496924</v>
      </c>
      <c r="B3706" t="str">
        <f t="shared" si="148"/>
        <v>SEVROLL 05806 GM 18 SPOJ.LIŠTA H25 3m str.</v>
      </c>
      <c r="C3706" s="90">
        <f t="shared" si="149"/>
        <v>23.2485</v>
      </c>
      <c r="D3706" s="526" t="s">
        <v>3564</v>
      </c>
      <c r="E3706" s="526" t="s">
        <v>6531</v>
      </c>
      <c r="F3706" s="526" t="s">
        <v>6532</v>
      </c>
      <c r="G3706" s="526" t="s">
        <v>6533</v>
      </c>
      <c r="H3706" s="412">
        <v>643.72846000000004</v>
      </c>
      <c r="I3706" s="411">
        <v>23.2485</v>
      </c>
      <c r="J3706" s="411">
        <v>78.486000000000004</v>
      </c>
      <c r="K3706" s="411">
        <v>8850.1086099999993</v>
      </c>
      <c r="L3706" s="526" t="s">
        <v>553</v>
      </c>
    </row>
    <row r="3707" spans="1:12" ht="15" x14ac:dyDescent="0.25">
      <c r="A3707">
        <v>496944</v>
      </c>
      <c r="B3707" t="str">
        <f t="shared" si="148"/>
        <v>SEVROLL 05689 GM 18 board horný vozík 18mm - 2ks</v>
      </c>
      <c r="C3707" s="90">
        <f t="shared" si="149"/>
        <v>4.7735599999999998</v>
      </c>
      <c r="D3707" s="526" t="s">
        <v>3565</v>
      </c>
      <c r="E3707" s="526" t="s">
        <v>6534</v>
      </c>
      <c r="F3707" s="526" t="s">
        <v>6535</v>
      </c>
      <c r="G3707" s="526" t="s">
        <v>6536</v>
      </c>
      <c r="H3707" s="412">
        <v>140.25774999999999</v>
      </c>
      <c r="I3707" s="411">
        <v>4.7735599999999998</v>
      </c>
      <c r="J3707" s="411">
        <v>16.1568</v>
      </c>
      <c r="K3707" s="411">
        <v>1854.2550000000001</v>
      </c>
      <c r="L3707" s="526" t="s">
        <v>553</v>
      </c>
    </row>
    <row r="3708" spans="1:12" ht="15" x14ac:dyDescent="0.25">
      <c r="A3708">
        <v>496997</v>
      </c>
      <c r="B3708" t="str">
        <f t="shared" si="148"/>
        <v>SEVROLL 05689 GM 18 horný vozík 18mm - 2ks</v>
      </c>
      <c r="C3708" s="90">
        <f t="shared" si="149"/>
        <v>4.7735599999999998</v>
      </c>
      <c r="D3708" s="526" t="s">
        <v>3566</v>
      </c>
      <c r="E3708" s="526" t="s">
        <v>6537</v>
      </c>
      <c r="F3708" s="526" t="s">
        <v>6538</v>
      </c>
      <c r="G3708" s="526" t="s">
        <v>6536</v>
      </c>
      <c r="H3708" s="412">
        <v>140.25774999999999</v>
      </c>
      <c r="I3708" s="411">
        <v>4.7735599999999998</v>
      </c>
      <c r="J3708" s="411">
        <v>16.1568</v>
      </c>
      <c r="K3708" s="411">
        <v>1854.2550000000001</v>
      </c>
      <c r="L3708" s="526" t="s">
        <v>553</v>
      </c>
    </row>
    <row r="3709" spans="1:12" ht="15" x14ac:dyDescent="0.25">
      <c r="A3709">
        <v>496998</v>
      </c>
      <c r="B3709" t="str">
        <f t="shared" si="148"/>
        <v>SEVROLL 05691 GM 18 horný vozík 18mm - 2ks</v>
      </c>
      <c r="C3709" s="90">
        <f t="shared" si="149"/>
        <v>5.7024600000000003</v>
      </c>
      <c r="D3709" s="526" t="s">
        <v>3567</v>
      </c>
      <c r="E3709" s="526" t="s">
        <v>6539</v>
      </c>
      <c r="F3709" s="526" t="s">
        <v>6540</v>
      </c>
      <c r="G3709" s="526" t="s">
        <v>6536</v>
      </c>
      <c r="H3709" s="412">
        <v>167.55115000000001</v>
      </c>
      <c r="I3709" s="411">
        <v>5.7024600000000003</v>
      </c>
      <c r="J3709" s="411">
        <v>23.174399999999999</v>
      </c>
      <c r="K3709" s="411">
        <v>2215.0830799999999</v>
      </c>
      <c r="L3709" s="526" t="s">
        <v>553</v>
      </c>
    </row>
    <row r="3710" spans="1:12" ht="15" x14ac:dyDescent="0.25">
      <c r="A3710">
        <v>494207</v>
      </c>
      <c r="B3710" t="str">
        <f t="shared" si="148"/>
        <v>SEVROLL vzorkovník Úchytkové lišty 2023 - šanon</v>
      </c>
      <c r="D3710" s="526" t="s">
        <v>6557</v>
      </c>
      <c r="E3710" s="526" t="s">
        <v>6559</v>
      </c>
      <c r="F3710" s="526" t="s">
        <v>6558</v>
      </c>
      <c r="G3710" s="526" t="s">
        <v>6560</v>
      </c>
      <c r="H3710" s="412">
        <v>799</v>
      </c>
      <c r="I3710" s="411">
        <v>39.99</v>
      </c>
      <c r="J3710" s="411">
        <v>173.74601999999999</v>
      </c>
      <c r="K3710" s="411">
        <v>11990</v>
      </c>
      <c r="L3710" s="526" t="s">
        <v>556</v>
      </c>
    </row>
    <row r="3711" spans="1:12" ht="15" x14ac:dyDescent="0.25">
      <c r="A3711">
        <v>497670</v>
      </c>
      <c r="B3711" t="str">
        <f t="shared" si="148"/>
        <v>SEVROLL 05942 horná vodiaca lišta 1,7m biela mat</v>
      </c>
      <c r="C3711" s="90">
        <f t="shared" si="149"/>
        <v>10.39861</v>
      </c>
      <c r="D3711" s="526" t="s">
        <v>3586</v>
      </c>
      <c r="E3711" s="526" t="s">
        <v>6541</v>
      </c>
      <c r="F3711" s="526" t="s">
        <v>6542</v>
      </c>
      <c r="G3711" s="526" t="s">
        <v>6543</v>
      </c>
      <c r="H3711" s="412">
        <v>287.92738000000003</v>
      </c>
      <c r="I3711" s="411">
        <v>10.39861</v>
      </c>
      <c r="J3711" s="411">
        <v>59.986199999999997</v>
      </c>
      <c r="K3711" s="411">
        <v>3958.4834700000001</v>
      </c>
      <c r="L3711" s="526" t="s">
        <v>554</v>
      </c>
    </row>
    <row r="3712" spans="1:12" ht="15" x14ac:dyDescent="0.25">
      <c r="A3712">
        <v>497672</v>
      </c>
      <c r="B3712" t="str">
        <f t="shared" si="148"/>
        <v>SEVROLL 05943 horná vodiaca lišta 2,35m biela mat</v>
      </c>
      <c r="C3712" s="90">
        <f t="shared" si="149"/>
        <v>14.398070000000001</v>
      </c>
      <c r="D3712" s="526" t="s">
        <v>3587</v>
      </c>
      <c r="E3712" s="526" t="s">
        <v>6544</v>
      </c>
      <c r="F3712" s="526" t="s">
        <v>6545</v>
      </c>
      <c r="G3712" s="526" t="s">
        <v>6546</v>
      </c>
      <c r="H3712" s="412">
        <v>398.66867999999999</v>
      </c>
      <c r="I3712" s="411">
        <v>14.398070000000001</v>
      </c>
      <c r="J3712" s="411">
        <v>82.936199999999999</v>
      </c>
      <c r="K3712" s="411">
        <v>5480.9771700000001</v>
      </c>
      <c r="L3712" s="526" t="s">
        <v>554</v>
      </c>
    </row>
    <row r="3713" spans="1:12" ht="15" x14ac:dyDescent="0.25">
      <c r="A3713">
        <v>497673</v>
      </c>
      <c r="B3713" t="str">
        <f t="shared" si="148"/>
        <v>SEVROLL 00169 horná vodiaca lišta 3m biela mat</v>
      </c>
      <c r="C3713" s="90">
        <f t="shared" si="149"/>
        <v>18.371739999999999</v>
      </c>
      <c r="D3713" s="526" t="s">
        <v>3588</v>
      </c>
      <c r="E3713" s="526" t="s">
        <v>6547</v>
      </c>
      <c r="F3713" s="526" t="s">
        <v>6548</v>
      </c>
      <c r="G3713" s="526" t="s">
        <v>6549</v>
      </c>
      <c r="H3713" s="412">
        <v>508.69551999999999</v>
      </c>
      <c r="I3713" s="411">
        <v>18.371739999999999</v>
      </c>
      <c r="J3713" s="411">
        <v>105.8454</v>
      </c>
      <c r="K3713" s="411">
        <v>6993.6486299999997</v>
      </c>
      <c r="L3713" s="526" t="s">
        <v>554</v>
      </c>
    </row>
    <row r="3714" spans="1:12" ht="15" x14ac:dyDescent="0.25">
      <c r="A3714">
        <v>497666</v>
      </c>
      <c r="B3714" t="str">
        <f t="shared" si="148"/>
        <v>SEVROLL 05939 Gemini 10 spodná krycia lišta 1,7m 10mm biela mat</v>
      </c>
      <c r="C3714" s="90">
        <f t="shared" si="149"/>
        <v>18.887799999999999</v>
      </c>
      <c r="D3714" s="526" t="s">
        <v>3590</v>
      </c>
      <c r="E3714" s="526" t="s">
        <v>3591</v>
      </c>
      <c r="F3714" s="526" t="s">
        <v>3593</v>
      </c>
      <c r="G3714" s="526" t="s">
        <v>3592</v>
      </c>
      <c r="H3714" s="412">
        <v>522.98472000000004</v>
      </c>
      <c r="I3714" s="411">
        <v>18.887799999999999</v>
      </c>
      <c r="J3714" s="411">
        <v>70.369799999999998</v>
      </c>
      <c r="K3714" s="411">
        <v>7190.0994300000002</v>
      </c>
      <c r="L3714" s="526" t="s">
        <v>554</v>
      </c>
    </row>
    <row r="3715" spans="1:12" ht="15" x14ac:dyDescent="0.25">
      <c r="A3715">
        <v>497668</v>
      </c>
      <c r="B3715" t="str">
        <f t="shared" si="148"/>
        <v>SEVROLL 05940 Gemini 10 spodná krycia lišta 2,35m 10mm biela mat</v>
      </c>
      <c r="C3715" s="90">
        <f t="shared" si="149"/>
        <v>26.086829999999999</v>
      </c>
      <c r="D3715" s="526" t="s">
        <v>3594</v>
      </c>
      <c r="E3715" s="526" t="s">
        <v>3595</v>
      </c>
      <c r="F3715" s="526" t="s">
        <v>3597</v>
      </c>
      <c r="G3715" s="526" t="s">
        <v>3596</v>
      </c>
      <c r="H3715" s="412">
        <v>722.31906000000004</v>
      </c>
      <c r="I3715" s="411">
        <v>26.086829999999999</v>
      </c>
      <c r="J3715" s="411">
        <v>97.287599999999998</v>
      </c>
      <c r="K3715" s="411">
        <v>9930.5880099999995</v>
      </c>
      <c r="L3715" s="526" t="s">
        <v>554</v>
      </c>
    </row>
    <row r="3716" spans="1:12" ht="15" x14ac:dyDescent="0.25">
      <c r="A3716">
        <v>497669</v>
      </c>
      <c r="B3716" t="str">
        <f t="shared" si="148"/>
        <v>SEVROLL 05941 Gemini 10 spodná krycia lišta 3m 10mm biela mat</v>
      </c>
      <c r="C3716" s="90">
        <f t="shared" si="149"/>
        <v>33.38908</v>
      </c>
      <c r="D3716" s="526" t="s">
        <v>3598</v>
      </c>
      <c r="E3716" s="526" t="s">
        <v>3599</v>
      </c>
      <c r="F3716" s="526" t="s">
        <v>3601</v>
      </c>
      <c r="G3716" s="526" t="s">
        <v>3600</v>
      </c>
      <c r="H3716" s="412">
        <v>924.51124000000004</v>
      </c>
      <c r="I3716" s="411">
        <v>33.38908</v>
      </c>
      <c r="J3716" s="411">
        <v>124.22580000000001</v>
      </c>
      <c r="K3716" s="411">
        <v>12710.366690000001</v>
      </c>
      <c r="L3716" s="526" t="s">
        <v>554</v>
      </c>
    </row>
    <row r="3717" spans="1:12" ht="15" x14ac:dyDescent="0.25">
      <c r="A3717">
        <v>497953</v>
      </c>
      <c r="B3717" t="str">
        <f t="shared" ref="B3717" si="150">IF($A$2=1,D3717,IF($A$2=2,F3717,IF($A$2=3,G3717,IF($A$2=4,E3717,"zadat jazyk"))))</f>
        <v>SEVROLL 05181 spojovacia lišta H10 3m biela mat</v>
      </c>
      <c r="C3717" s="90">
        <f t="shared" si="149"/>
        <v>15.688219999999999</v>
      </c>
      <c r="D3717" s="526" t="s">
        <v>3602</v>
      </c>
      <c r="E3717" s="526" t="s">
        <v>6550</v>
      </c>
      <c r="F3717" s="526" t="s">
        <v>6551</v>
      </c>
      <c r="G3717" s="526" t="s">
        <v>6552</v>
      </c>
      <c r="H3717" s="412">
        <v>434.39168000000001</v>
      </c>
      <c r="I3717" s="411">
        <v>15.688219999999999</v>
      </c>
      <c r="J3717" s="411">
        <v>67.289400000000001</v>
      </c>
      <c r="K3717" s="411">
        <v>5972.1041699999996</v>
      </c>
      <c r="L3717" s="526" t="s">
        <v>554</v>
      </c>
    </row>
  </sheetData>
  <autoFilter ref="A1:T944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206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8"/>
  <sheetViews>
    <sheetView showGridLines="0" zoomScale="80" zoomScaleNormal="80" workbookViewId="0">
      <selection activeCell="B4" sqref="B4"/>
    </sheetView>
  </sheetViews>
  <sheetFormatPr defaultColWidth="0" defaultRowHeight="12.75" customHeight="1" zeroHeight="1" x14ac:dyDescent="0.2"/>
  <cols>
    <col min="1" max="1" width="38.7109375" style="5" customWidth="1"/>
    <col min="2" max="2" width="15.7109375" style="5" customWidth="1"/>
    <col min="3" max="3" width="41" style="5" customWidth="1"/>
    <col min="4" max="4" width="14.140625" style="5" customWidth="1"/>
    <col min="5" max="7" width="14.7109375" style="5" customWidth="1"/>
    <col min="8" max="8" width="4.7109375" style="5" customWidth="1"/>
    <col min="9" max="9" width="24.7109375" style="6" customWidth="1"/>
    <col min="10" max="10" width="12.28515625" style="6" hidden="1" customWidth="1"/>
    <col min="11" max="11" width="19.140625" style="6" hidden="1" customWidth="1"/>
    <col min="12" max="12" width="9.140625" style="5" hidden="1" customWidth="1"/>
    <col min="13" max="13" width="18.42578125" style="5" hidden="1" customWidth="1"/>
    <col min="14" max="14" width="7.42578125" style="5" hidden="1" customWidth="1"/>
    <col min="15" max="15" width="5.710937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22" ht="13.5" customHeight="1" thickBot="1" x14ac:dyDescent="0.25">
      <c r="A1" s="422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">
      <c r="A2" s="523" t="s">
        <v>81</v>
      </c>
      <c r="B2" s="419" t="str">
        <f>profil!T7</f>
        <v>Zákazník:,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6.25" thickBot="1" x14ac:dyDescent="0.25">
      <c r="A3" s="524" t="str">
        <f>CONCATENATE(texty!A243," ",5,".",50)</f>
        <v>katalóg kovania 2018 str. 5.50</v>
      </c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421" t="str">
        <f>+System10!D3</f>
        <v>počet dverí:</v>
      </c>
      <c r="E3" s="421" t="str">
        <f>+System10!E3</f>
        <v>farba</v>
      </c>
      <c r="F3" s="420" t="str">
        <f>texty!A38</f>
        <v>typ spodného vedenia</v>
      </c>
      <c r="G3" s="24"/>
      <c r="H3" s="24"/>
      <c r="I3" s="24"/>
      <c r="L3" s="6"/>
    </row>
    <row r="4" spans="1:22" ht="24" customHeight="1" x14ac:dyDescent="0.2">
      <c r="A4" s="423" t="str">
        <f>+System10!$A$4</f>
        <v>VNÚTORNÝ ROZMER SKRINE:</v>
      </c>
      <c r="B4" s="456"/>
      <c r="C4" s="456"/>
      <c r="D4" s="457"/>
      <c r="E4" s="458"/>
      <c r="F4" s="458"/>
      <c r="G4" s="644"/>
      <c r="H4" s="644"/>
      <c r="I4" s="644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">
      <c r="B5" s="640" t="str">
        <f>IF(barva=texty!A129,texty!A3,System10!B5)</f>
        <v>vypíšte týchto 5 políčok !!! Údaje v mm</v>
      </c>
      <c r="C5" s="640"/>
      <c r="D5" s="640"/>
      <c r="E5" s="640"/>
      <c r="F5" s="640"/>
      <c r="G5" s="644"/>
      <c r="H5" s="644"/>
      <c r="I5" s="644"/>
      <c r="K5" s="190"/>
      <c r="L5" s="23" t="str">
        <f>CONCATENATE(L4,"-",E4)</f>
        <v>1700-</v>
      </c>
      <c r="M5" s="21"/>
      <c r="N5" s="23" t="str">
        <f>CONCATENATE(N4,"-",E4,", ",F4)</f>
        <v xml:space="preserve">1700-, </v>
      </c>
    </row>
    <row r="6" spans="1:22" ht="18" customHeight="1" x14ac:dyDescent="0.2">
      <c r="A6" s="423"/>
      <c r="B6" s="431" t="str">
        <f>IF(D4=4,texty!A227,"")</f>
        <v/>
      </c>
      <c r="C6" s="21"/>
      <c r="D6" s="443">
        <v>3</v>
      </c>
      <c r="E6" s="17"/>
      <c r="F6" s="17"/>
      <c r="G6" s="644"/>
      <c r="H6" s="644"/>
      <c r="I6" s="644"/>
      <c r="K6" s="190"/>
      <c r="L6" s="6"/>
      <c r="R6" s="636" t="s">
        <v>557</v>
      </c>
      <c r="S6" s="636" t="s">
        <v>558</v>
      </c>
      <c r="T6" s="636" t="s">
        <v>559</v>
      </c>
      <c r="U6" s="636" t="s">
        <v>560</v>
      </c>
    </row>
    <row r="7" spans="1:22" ht="12.75" customHeight="1" x14ac:dyDescent="0.2">
      <c r="A7" s="423" t="str">
        <f>texty!A71</f>
        <v>krídlo dverí:</v>
      </c>
      <c r="B7" s="57">
        <f>+B4-40</f>
        <v>-40</v>
      </c>
      <c r="C7" s="59" t="e">
        <f>+((C4-3+(36*(D4-1)))/D4+IF(AND(D4=4,D6=2),M1,0))</f>
        <v>#DIV/0!</v>
      </c>
      <c r="D7" s="17"/>
      <c r="E7" s="17"/>
      <c r="F7" s="17"/>
      <c r="G7" s="434" t="str">
        <f>texty!$A$39</f>
        <v>V prípade použitia skla ako výplne</v>
      </c>
      <c r="H7" s="24"/>
      <c r="I7" s="24"/>
      <c r="L7" s="6"/>
      <c r="O7" s="17" t="e">
        <f>IF(L11="jiné",M12,L11)</f>
        <v>#DIV/0!</v>
      </c>
      <c r="P7" s="21">
        <f>+E4</f>
        <v>0</v>
      </c>
      <c r="R7" s="636"/>
      <c r="S7" s="636"/>
      <c r="T7" s="636"/>
      <c r="U7" s="636"/>
    </row>
    <row r="8" spans="1:22" ht="12.75" customHeight="1" x14ac:dyDescent="0.2">
      <c r="A8" s="423" t="str">
        <f>texty!A72</f>
        <v>rozmer výplne 10 mm:</v>
      </c>
      <c r="B8" s="57">
        <f>+B7-64</f>
        <v>-104</v>
      </c>
      <c r="C8" s="59" t="e">
        <f>+C7-20</f>
        <v>#DIV/0!</v>
      </c>
      <c r="D8" s="17"/>
      <c r="E8" s="17"/>
      <c r="F8" s="17"/>
      <c r="G8" s="434" t="str">
        <f>texty!$A$40</f>
        <v>je treba použiť bezpečnostné sklo</v>
      </c>
      <c r="H8" s="24"/>
      <c r="I8" s="24"/>
      <c r="L8" s="6" t="s">
        <v>60</v>
      </c>
      <c r="M8" s="5" t="s">
        <v>61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">
      <c r="A9" s="423" t="str">
        <f>texty!A73</f>
        <v>rozmer zrkadla / skla</v>
      </c>
      <c r="B9" s="57">
        <f>+B8</f>
        <v>-104</v>
      </c>
      <c r="C9" s="59" t="e">
        <f>+C8-4</f>
        <v>#DIV/0!</v>
      </c>
      <c r="D9" s="17"/>
      <c r="E9" s="17"/>
      <c r="F9" s="17"/>
      <c r="G9" s="434" t="str">
        <f>texty!$A$41</f>
        <v>alebo sklo zabezpečiť ochrannou fóliou</v>
      </c>
      <c r="H9" s="24"/>
      <c r="I9" s="24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562</v>
      </c>
    </row>
    <row r="10" spans="1:22" ht="12.75" customHeight="1" x14ac:dyDescent="0.2">
      <c r="A10" s="423" t="str">
        <f>texty!A74</f>
        <v>dĺžka vodiacej a krycej lišty krídla</v>
      </c>
      <c r="B10" s="57"/>
      <c r="C10" s="60" t="e">
        <f>+C7-37</f>
        <v>#DIV/0!</v>
      </c>
      <c r="D10" s="17"/>
      <c r="E10" s="17"/>
      <c r="F10" s="17"/>
      <c r="G10" s="435"/>
      <c r="H10" s="24"/>
      <c r="I10" s="24"/>
      <c r="L10" s="5" t="s">
        <v>59</v>
      </c>
      <c r="O10" s="17" t="e">
        <f>IF(L11="jiné",M13,"")</f>
        <v>#DIV/0!</v>
      </c>
      <c r="P10" s="21">
        <f>+E4</f>
        <v>0</v>
      </c>
      <c r="Q10" s="5">
        <v>3</v>
      </c>
      <c r="R10" s="159" t="e">
        <f t="shared" si="0"/>
        <v>#DIV/0!</v>
      </c>
    </row>
    <row r="11" spans="1:22" ht="12.75" customHeight="1" x14ac:dyDescent="0.2">
      <c r="A11" s="423" t="str">
        <f>texty!A75</f>
        <v>Horný/spodný profil</v>
      </c>
      <c r="B11" s="57"/>
      <c r="C11" s="189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I11" s="24"/>
      <c r="L11" s="36" t="e">
        <f>IF((L9+M9)&lt;1700,1700,IF((L9+M9)&lt;2350,2350,IF((L9+M9)&lt;3000,3000,"jiné")))</f>
        <v>#DIV/0!</v>
      </c>
      <c r="N11" s="5" t="s">
        <v>62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">
      <c r="A12" s="423" t="str">
        <f>texty!A76</f>
        <v>úchytková lišta</v>
      </c>
      <c r="B12" s="488">
        <f>+B7</f>
        <v>-40</v>
      </c>
      <c r="C12" s="489"/>
      <c r="D12" s="17"/>
      <c r="E12" s="17"/>
      <c r="F12" s="17"/>
      <c r="G12" s="24"/>
      <c r="H12" s="24"/>
      <c r="I12" s="24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">
      <c r="A13" s="423" t="str">
        <f>texty!A77</f>
        <v>dĺžka tesnenia na sklo na jednom krídle</v>
      </c>
      <c r="B13" s="64"/>
      <c r="C13" s="491" t="e">
        <f>ROUND(B8*2+C9*2,0)</f>
        <v>#DIV/0!</v>
      </c>
      <c r="D13" s="17"/>
      <c r="E13" s="17"/>
      <c r="F13" s="17"/>
      <c r="G13" s="24"/>
      <c r="H13" s="24"/>
      <c r="I13" s="24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4" x14ac:dyDescent="0.2">
      <c r="A14" s="635" t="str">
        <f>IF(SUM(D47:D48)&gt;0,texty!A245,"")</f>
        <v/>
      </c>
      <c r="B14" s="635"/>
      <c r="C14" s="490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I14" s="24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">
      <c r="A15" s="635"/>
      <c r="B15" s="635"/>
      <c r="C15" s="490"/>
      <c r="D15" s="17"/>
      <c r="E15" s="17"/>
      <c r="F15" s="17"/>
      <c r="G15" s="24"/>
      <c r="H15" s="24"/>
      <c r="I15" s="24"/>
      <c r="L15" s="6"/>
      <c r="R15" s="159"/>
    </row>
    <row r="16" spans="1:22" x14ac:dyDescent="0.2">
      <c r="A16" s="422"/>
      <c r="B16" s="17"/>
      <c r="C16" s="490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">
      <c r="B17" s="17"/>
      <c r="C17" s="433"/>
      <c r="D17" s="17"/>
      <c r="E17" s="17"/>
      <c r="F17" s="17"/>
      <c r="G17" s="24"/>
      <c r="H17" s="24"/>
      <c r="I17" s="24"/>
      <c r="L17" s="6"/>
      <c r="M17" s="5" t="e">
        <f>M14-C4</f>
        <v>#DIV/0!</v>
      </c>
      <c r="Q17" s="5" t="s">
        <v>561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">
      <c r="A18" s="422"/>
      <c r="B18" s="17"/>
      <c r="C18" s="433"/>
      <c r="D18" s="17"/>
      <c r="E18" s="17"/>
      <c r="F18" s="17"/>
      <c r="G18" s="24"/>
      <c r="H18" s="24"/>
      <c r="I18" s="24"/>
      <c r="L18" s="6"/>
    </row>
    <row r="19" spans="1:22" ht="14.25" customHeight="1" x14ac:dyDescent="0.2">
      <c r="A19" s="422"/>
      <c r="B19" s="484" t="str">
        <f>texty!A242</f>
        <v>dilatácia 4 mm</v>
      </c>
      <c r="C19" s="119"/>
      <c r="D19" s="17"/>
      <c r="E19" s="17"/>
      <c r="F19" s="17"/>
      <c r="G19" s="24"/>
      <c r="H19" s="24"/>
      <c r="I19" s="638" t="s">
        <v>993</v>
      </c>
      <c r="L19" s="6"/>
    </row>
    <row r="20" spans="1:22" ht="16.5" customHeight="1" x14ac:dyDescent="0.2">
      <c r="A20" s="422"/>
      <c r="B20" s="17"/>
      <c r="C20" s="17"/>
      <c r="D20" s="21"/>
      <c r="E20" s="17"/>
      <c r="F20" s="17"/>
      <c r="G20" s="24"/>
      <c r="H20" s="24"/>
      <c r="I20" s="638"/>
      <c r="L20" s="6"/>
      <c r="M20" s="6"/>
      <c r="R20" s="5" t="s">
        <v>581</v>
      </c>
      <c r="S20" s="5" t="s">
        <v>580</v>
      </c>
      <c r="T20" s="5">
        <v>1700</v>
      </c>
      <c r="U20" s="5">
        <v>2350</v>
      </c>
      <c r="V20" s="5">
        <v>3000</v>
      </c>
    </row>
    <row r="21" spans="1:22" ht="16.5" customHeight="1" x14ac:dyDescent="0.2">
      <c r="A21" s="422"/>
      <c r="B21" s="17"/>
      <c r="C21" s="17"/>
      <c r="D21" s="382"/>
      <c r="E21" s="17"/>
      <c r="F21" s="17"/>
      <c r="G21" s="24"/>
      <c r="H21" s="24"/>
      <c r="I21" s="639" t="s">
        <v>994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">
      <c r="A22" s="422"/>
      <c r="B22" s="17"/>
      <c r="C22" s="17"/>
      <c r="D22" s="17"/>
      <c r="E22" s="17"/>
      <c r="F22" s="17"/>
      <c r="G22" s="24"/>
      <c r="H22" s="24"/>
      <c r="I22" s="639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">
      <c r="A23" s="422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">
      <c r="A24" s="422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1700-0</v>
      </c>
      <c r="M24" s="6" t="e">
        <f>SUM(T21:T32)</f>
        <v>#DIV/0!</v>
      </c>
      <c r="N24" s="5">
        <v>1700</v>
      </c>
      <c r="P24" s="5" t="s">
        <v>563</v>
      </c>
      <c r="Q24" s="162" t="s">
        <v>564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">
      <c r="A25" s="422"/>
      <c r="B25" s="17"/>
      <c r="C25" s="21"/>
      <c r="D25" s="17"/>
      <c r="E25" s="17"/>
      <c r="F25" s="17"/>
      <c r="G25" s="438" t="str">
        <f>texty!$A$21</f>
        <v>partnerská zľava:</v>
      </c>
      <c r="H25" s="24"/>
      <c r="I25" s="24"/>
      <c r="L25" s="5" t="str">
        <f>CONCATENATE(N25,"-",$P$7)</f>
        <v>2350-0</v>
      </c>
      <c r="M25" s="6" t="e">
        <f>SUM(U21:U32)</f>
        <v>#DIV/0!</v>
      </c>
      <c r="N25" s="5">
        <v>2350</v>
      </c>
      <c r="Q25" s="5" t="s">
        <v>576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">
      <c r="A26" s="427" t="str">
        <f>+System10!$A$26</f>
        <v>Objednávacie kódy, ceny:</v>
      </c>
      <c r="B26" s="17"/>
      <c r="C26" s="21"/>
      <c r="D26" s="17"/>
      <c r="E26" s="17"/>
      <c r="F26" s="17"/>
      <c r="G26" s="374">
        <f>profil!C15</f>
        <v>0</v>
      </c>
      <c r="H26" s="440" t="s">
        <v>57</v>
      </c>
      <c r="I26" s="24"/>
      <c r="L26" s="5" t="str">
        <f>CONCATENATE(N26,"-",$P$7)</f>
        <v>3000-0</v>
      </c>
      <c r="M26" s="6" t="e">
        <f>SUM(V21:V32)</f>
        <v>#DIV/0!</v>
      </c>
      <c r="N26" s="5">
        <v>3000</v>
      </c>
      <c r="O26" s="160"/>
      <c r="Q26" s="5" t="s">
        <v>565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">
      <c r="A27" s="422"/>
      <c r="B27" s="19" t="s">
        <v>3</v>
      </c>
      <c r="C27" s="20" t="str">
        <f>texty!$A$16</f>
        <v>názov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celkom</v>
      </c>
      <c r="G27" s="20" t="str">
        <f>texty!$A$20</f>
        <v>celkom netto:</v>
      </c>
      <c r="H27" s="24"/>
      <c r="I27" s="20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566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">
      <c r="A28" s="422" t="str">
        <f>+System10!$A$28</f>
        <v>Horný profil:</v>
      </c>
      <c r="B28" s="16" t="e">
        <f>+VLOOKUP(L5,data!$C$196:$D$254,2,0)</f>
        <v>#N/A</v>
      </c>
      <c r="C28" s="25" t="e">
        <f>+VLOOKUP(B28,cennik!$A:$G,2,FALSE)</f>
        <v>#N/A</v>
      </c>
      <c r="D28" s="17" t="e">
        <f>IF(B28="N/A",0,1)</f>
        <v>#N/A</v>
      </c>
      <c r="E28" s="91" t="e">
        <f>+VLOOKUP(B28,cennik!$A:$G,3,FALSE)</f>
        <v>#N/A</v>
      </c>
      <c r="F28" s="91" t="e">
        <f t="shared" ref="F28:F39" si="1">+E28*D28</f>
        <v>#N/A</v>
      </c>
      <c r="G28" s="92" t="e">
        <f>+F28*(100-$G$26)/100</f>
        <v>#N/A</v>
      </c>
      <c r="H28" s="24" t="str">
        <f>cennik!$B$2</f>
        <v>EUR</v>
      </c>
      <c r="I28" s="469" t="str">
        <f>IFERROR(IF((VLOOKUP(B28,cennik!A:L,12,0))="O",texty!$A$250,""),"")</f>
        <v/>
      </c>
      <c r="K28" s="191" t="e">
        <f>IF(D28&gt;0,IF(VLOOKUP(B28,cennik!A:L,12,FALSE)="O",1,""),"")</f>
        <v>#N/A</v>
      </c>
      <c r="L28" s="6"/>
      <c r="M28" s="160"/>
      <c r="N28" s="160"/>
      <c r="O28" s="160"/>
      <c r="Q28" s="5" t="s">
        <v>577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">
      <c r="A29" s="422" t="str">
        <f>+System10!$A$29</f>
        <v>spodný profil:</v>
      </c>
      <c r="B29" s="16" t="e">
        <f>+VLOOKUP(N5,data!$C$4:$D$98,2,0)</f>
        <v>#N/A</v>
      </c>
      <c r="C29" s="25" t="e">
        <f>IF($B$29=data!$D$64,texty!$A$239,+VLOOKUP($B$29,cennik!$A:$G,2,FALSE))</f>
        <v>#N/A</v>
      </c>
      <c r="D29" s="17">
        <v>1</v>
      </c>
      <c r="E29" s="91" t="e">
        <f>IF(B29=data!$D$73,0,+VLOOKUP(B29,cennik!$A:$G,3,FALSE))</f>
        <v>#N/A</v>
      </c>
      <c r="F29" s="91" t="e">
        <f t="shared" si="1"/>
        <v>#N/A</v>
      </c>
      <c r="G29" s="92" t="e">
        <f>+F29*(100-$F$26)/100</f>
        <v>#N/A</v>
      </c>
      <c r="H29" s="24" t="str">
        <f>cennik!$B$2</f>
        <v>EUR</v>
      </c>
      <c r="I29" s="469" t="str">
        <f>IFERROR(IF((VLOOKUP(B29,cennik!A:L,12,0))="O",texty!$A$250,""),"")</f>
        <v/>
      </c>
      <c r="K29" s="191" t="e">
        <f>IF(D29&gt;0,IF(VLOOKUP(B29,cennik!A:L,12,FALSE)="O",1,""),"")</f>
        <v>#N/A</v>
      </c>
      <c r="L29" s="6" t="s">
        <v>567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578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">
      <c r="A30" s="422" t="str">
        <f>+System10!$A$30</f>
        <v>krycí profil (maska):</v>
      </c>
      <c r="B30" s="16" t="e">
        <f>+VLOOKUP(N5,data!$C$105:$D$195,2,0)</f>
        <v>#N/A</v>
      </c>
      <c r="C30" s="25" t="e">
        <f>IF($B$30=data!$D$64,texty!$A$239,+VLOOKUP($B$30,cennik!$A:$G,2,FALSE))</f>
        <v>#N/A</v>
      </c>
      <c r="D30" s="17">
        <v>1</v>
      </c>
      <c r="E30" s="91" t="e">
        <f>IF(B30=data!$D$73,0,+VLOOKUP(B30,cennik!$A:$G,3,FALSE))</f>
        <v>#N/A</v>
      </c>
      <c r="F30" s="91" t="e">
        <f t="shared" si="1"/>
        <v>#N/A</v>
      </c>
      <c r="G30" s="92" t="e">
        <f t="shared" ref="G30:G39" si="2">+F30*(100-$G$26)/100</f>
        <v>#N/A</v>
      </c>
      <c r="H30" s="24" t="str">
        <f>cennik!$B$2</f>
        <v>EUR</v>
      </c>
      <c r="I30" s="469" t="str">
        <f>IFERROR(IF((VLOOKUP(B30,cennik!A:L,12,0))="O",texty!$A$250,""),"")</f>
        <v/>
      </c>
      <c r="K30" s="191" t="e">
        <f>IF(D30&gt;0,IF(VLOOKUP(B30,cennik!A:L,12,FALSE)="O",1,""),"")</f>
        <v>#N/A</v>
      </c>
      <c r="L30" s="6" t="s">
        <v>568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569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">
      <c r="A31" s="422" t="str">
        <f>+System10!$A$31</f>
        <v>horné vozíky (sady)</v>
      </c>
      <c r="B31" s="16">
        <v>89265</v>
      </c>
      <c r="C31" s="25" t="str">
        <f>+VLOOKUP(B31,cennik!$A$3:$G$984,2,FALSE)</f>
        <v>SEVROLL 10202 horný vozík 10mm asymetrický L+P</v>
      </c>
      <c r="D31" s="17">
        <f>IF((D50+D51)&gt;D4,0,D4-(D50+D51))</f>
        <v>0</v>
      </c>
      <c r="E31" s="91">
        <f>+VLOOKUP(B31,cennik!$A:$G,3,FALSE)</f>
        <v>5.55023</v>
      </c>
      <c r="F31" s="91">
        <f t="shared" si="1"/>
        <v>0</v>
      </c>
      <c r="G31" s="92">
        <f t="shared" si="2"/>
        <v>0</v>
      </c>
      <c r="H31" s="24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579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">
      <c r="A32" s="422" t="str">
        <f>+System10!$A$32</f>
        <v>spodné vozíky (sada)</v>
      </c>
      <c r="B32" s="16">
        <f>IF(F4=M68,328321,229441)</f>
        <v>229441</v>
      </c>
      <c r="C32" s="25" t="str">
        <f>+VLOOKUP(B32,cennik!$A:$G,2,FALSE)</f>
        <v>SEVROLL 10200 spodný vozík WD 10C HI-TEC - 2ks</v>
      </c>
      <c r="D32" s="17">
        <f>+D4</f>
        <v>0</v>
      </c>
      <c r="E32" s="91">
        <f>+VLOOKUP(B32,cennik!$A:$G,3,FALSE)</f>
        <v>6.5952500000000001</v>
      </c>
      <c r="F32" s="91">
        <f t="shared" si="1"/>
        <v>0</v>
      </c>
      <c r="G32" s="92">
        <f t="shared" si="2"/>
        <v>0</v>
      </c>
      <c r="H32" s="24" t="str">
        <f>cennik!$B$2</f>
        <v>EUR</v>
      </c>
      <c r="I32" s="469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570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">
      <c r="A33" s="422" t="str">
        <f>+System10!$A$33</f>
        <v>dorazový kartáč</v>
      </c>
      <c r="B33" s="16" t="e">
        <f>+VLOOKUP(L48,data!$C$790:$D$810,2,0)</f>
        <v>#N/A</v>
      </c>
      <c r="C33" s="25" t="e">
        <f>+VLOOKUP(B33,cennik!$A:$G,2,FALSE)</f>
        <v>#N/A</v>
      </c>
      <c r="D33" s="17">
        <f>CEILING((B4*D4*2/1000),1)</f>
        <v>0</v>
      </c>
      <c r="E33" s="91" t="e">
        <f>+VLOOKUP(B33,cennik!$A:$G,3,FALSE)</f>
        <v>#N/A</v>
      </c>
      <c r="F33" s="91" t="e">
        <f t="shared" si="1"/>
        <v>#N/A</v>
      </c>
      <c r="G33" s="92" t="e">
        <f t="shared" si="2"/>
        <v>#N/A</v>
      </c>
      <c r="H33" s="24" t="str">
        <f>cennik!$B$2</f>
        <v>EUR</v>
      </c>
      <c r="I33" s="469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">
      <c r="A34" s="422" t="str">
        <f>+System10!$A$34</f>
        <v>úchytková lišta</v>
      </c>
      <c r="B34" s="16" t="e">
        <f>+VLOOKUP(P7,data!$C$667:$D$677,2,0)</f>
        <v>#N/A</v>
      </c>
      <c r="C34" s="25" t="e">
        <f>+VLOOKUP(B34,cennik!$A:$G,2,FALSE)</f>
        <v>#N/A</v>
      </c>
      <c r="D34" s="17">
        <f>IF(B12&lt;=1347,D4*2/2,D4*2)</f>
        <v>0</v>
      </c>
      <c r="E34" s="91" t="e">
        <f>+VLOOKUP(B34,cennik!$A:$G,3,FALSE)</f>
        <v>#N/A</v>
      </c>
      <c r="F34" s="91" t="e">
        <f t="shared" si="1"/>
        <v>#N/A</v>
      </c>
      <c r="G34" s="92" t="e">
        <f t="shared" si="2"/>
        <v>#N/A</v>
      </c>
      <c r="H34" s="24" t="str">
        <f>cennik!$B$2</f>
        <v>EUR</v>
      </c>
      <c r="I34" s="469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">
      <c r="A35" s="422" t="str">
        <f>+System10!$A$35</f>
        <v>spojovacia skrutka</v>
      </c>
      <c r="B35" s="16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 t="shared" si="1"/>
        <v>0</v>
      </c>
      <c r="G35" s="92">
        <f t="shared" si="2"/>
        <v>0</v>
      </c>
      <c r="H35" s="24" t="str">
        <f>cennik!$B$2</f>
        <v>EUR</v>
      </c>
      <c r="I35" s="469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">
      <c r="A36" s="422" t="str">
        <f>+System10!$A$36</f>
        <v>horný profil rámu (vodiaca lišta)</v>
      </c>
      <c r="B36" s="16" t="e">
        <f>+VLOOKUP(M29,data!C305:D345,2,0)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24" t="str">
        <f>cennik!$B$2</f>
        <v>EUR</v>
      </c>
      <c r="I36" s="469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13</v>
      </c>
    </row>
    <row r="37" spans="1:12" ht="12.75" customHeight="1" x14ac:dyDescent="0.2">
      <c r="A37" s="422" t="str">
        <f>+System10!$A$36</f>
        <v>horný profil rámu (vodiaca lišta)</v>
      </c>
      <c r="B37" s="24" t="e">
        <f>IF(M30&lt;&gt;"jiné",+VLOOKUP(M30,data!C305:D345,2,0),"")</f>
        <v>#DIV/0!</v>
      </c>
      <c r="C37" s="446" t="e">
        <f>IF(M30&lt;&gt;"jiné",+VLOOKUP(B37,cennik!$A:$G,2,FALSE),texty!$A$2)</f>
        <v>#DIV/0!</v>
      </c>
      <c r="D37" s="64" t="e">
        <f>N30</f>
        <v>#DIV/0!</v>
      </c>
      <c r="E37" s="447" t="e">
        <f>IF(M30&lt;&gt;"jiné",+VLOOKUP(B37,cennik!$A:$G,3,FALSE),0)</f>
        <v>#DIV/0!</v>
      </c>
      <c r="F37" s="91" t="e">
        <f t="shared" si="1"/>
        <v>#DIV/0!</v>
      </c>
      <c r="G37" s="92" t="e">
        <f t="shared" si="2"/>
        <v>#DIV/0!</v>
      </c>
      <c r="H37" s="24" t="str">
        <f>cennik!$B$2</f>
        <v>EUR</v>
      </c>
      <c r="I37" s="469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13</v>
      </c>
    </row>
    <row r="38" spans="1:12" ht="12.75" customHeight="1" x14ac:dyDescent="0.2">
      <c r="A38" s="422" t="str">
        <f>+System10!A38</f>
        <v>horizontálny spodný profil rámu</v>
      </c>
      <c r="B38" s="16" t="e">
        <f>+VLOOKUP(M29,data!$C$370:$D$410,2,0)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24" t="str">
        <f>cennik!$B$2</f>
        <v>EUR</v>
      </c>
      <c r="I38" s="469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13</v>
      </c>
    </row>
    <row r="39" spans="1:12" ht="12.75" customHeight="1" x14ac:dyDescent="0.2">
      <c r="A39" s="422" t="str">
        <f>+System10!A39</f>
        <v>horizontálny spodný profil rámu</v>
      </c>
      <c r="B39" s="24" t="e">
        <f>IF(M30&lt;&gt;"jiné",+VLOOKUP(M30,data!$C$370:$D$410,2,0),"")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47" t="e">
        <f>IF(M30&lt;&gt;"jiné",+VLOOKUP(B39,cennik!$A:$G,3,FALSE),0)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24" t="str">
        <f>cennik!$B$2</f>
        <v>EUR</v>
      </c>
      <c r="I39" s="469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13</v>
      </c>
    </row>
    <row r="40" spans="1:12" ht="12.75" customHeight="1" x14ac:dyDescent="0.2">
      <c r="A40" s="21"/>
      <c r="B40" s="21"/>
      <c r="C40" s="21"/>
      <c r="D40" s="21"/>
      <c r="E40" s="361"/>
      <c r="F40" s="361"/>
      <c r="G40" s="361"/>
      <c r="H40" s="24"/>
      <c r="I40" s="469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14</v>
      </c>
    </row>
    <row r="41" spans="1:12" ht="12.75" customHeight="1" x14ac:dyDescent="0.2">
      <c r="A41" s="427" t="str">
        <f>texty!$A$66</f>
        <v>Voliteľné príslušenstvo:</v>
      </c>
      <c r="B41" s="16"/>
      <c r="C41" s="21"/>
      <c r="D41" s="448" t="str">
        <f>System10!$D$41</f>
        <v>zadajte počet:</v>
      </c>
      <c r="E41" s="91"/>
      <c r="F41" s="91"/>
      <c r="G41" s="361"/>
      <c r="H41" s="24"/>
      <c r="I41" s="469" t="str">
        <f>IFERROR(IF((VLOOKUP(B41,cennik!A:L,12,0))="O",texty!$A$250,""),"")</f>
        <v/>
      </c>
      <c r="K41" s="191"/>
      <c r="L41" s="3" t="s">
        <v>14</v>
      </c>
    </row>
    <row r="42" spans="1:12" ht="12.75" customHeight="1" x14ac:dyDescent="0.2">
      <c r="A42" s="422" t="str">
        <f>texty!$A$88</f>
        <v>pozicionér do horného vedenia</v>
      </c>
      <c r="B42" s="16">
        <v>298035</v>
      </c>
      <c r="C42" s="25" t="str">
        <f>+VLOOKUP(B42,cennik!$A:$G,2,FALSE)</f>
        <v>SEVROLL 20326 Fix pozicionér pre horný vozík transparentný</v>
      </c>
      <c r="D42" s="373"/>
      <c r="E42" s="91">
        <f>+VLOOKUP(B42,cennik!$A:$G,3,FALSE)</f>
        <v>1.0837300000000001</v>
      </c>
      <c r="F42" s="96">
        <f t="shared" ref="F42:F51" si="3">+CEILING(D42,1)*E42</f>
        <v>0</v>
      </c>
      <c r="G42" s="92">
        <f t="shared" ref="G42:G48" si="4">+F42*(100-$G$26)/100</f>
        <v>0</v>
      </c>
      <c r="H42" s="24" t="str">
        <f>cennik!$B$2</f>
        <v>EUR</v>
      </c>
      <c r="I42" s="469" t="str">
        <f>IFERROR(IF((VLOOKUP(B42,cennik!A:L,12,0))="O",texty!$A$250,""),"")</f>
        <v/>
      </c>
      <c r="K42" s="191"/>
      <c r="L42" s="3"/>
    </row>
    <row r="43" spans="1:12" ht="12.75" customHeight="1" x14ac:dyDescent="0.2">
      <c r="A43" s="422" t="str">
        <f>+System10!$A$43</f>
        <v xml:space="preserve">pozicionér </v>
      </c>
      <c r="B43" s="16">
        <f>IF(F4="Gemini",387424,89063)</f>
        <v>89063</v>
      </c>
      <c r="C43" s="25" t="str">
        <f>+VLOOKUP(B43,cennik!$A:$G,2,FALSE)</f>
        <v>SEVROLL 20080 pozicionér spodného vozíka HI-TEC</v>
      </c>
      <c r="D43" s="373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24" t="str">
        <f>cennik!$B$2</f>
        <v>EUR</v>
      </c>
      <c r="I43" s="469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">
      <c r="A44" s="422" t="str">
        <f>texty!$A$228</f>
        <v> Tlmič dorazu MINI do 25 kg (pár)</v>
      </c>
      <c r="B44" s="16">
        <v>318662</v>
      </c>
      <c r="C44" s="25" t="str">
        <f>+VLOOKUP(B44,cennik!$A:$G,2,FALSE)</f>
        <v>SEVROLL 20368-SV tlmič dorazu Mini SV25 (14-25kg)</v>
      </c>
      <c r="D44" s="373"/>
      <c r="E44" s="91">
        <f>+VLOOKUP(B44,cennik!$A:$G,3,FALSE)</f>
        <v>22.75825</v>
      </c>
      <c r="F44" s="96">
        <f t="shared" si="3"/>
        <v>0</v>
      </c>
      <c r="G44" s="92">
        <f t="shared" si="4"/>
        <v>0</v>
      </c>
      <c r="H44" s="24" t="str">
        <f>cennik!$B$2</f>
        <v>EUR</v>
      </c>
      <c r="I44" s="469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">
      <c r="A45" s="422" t="str">
        <f>texty!$A$229</f>
        <v> Tlmič dorazu MINI do 40 kg (pár)</v>
      </c>
      <c r="B45" s="24">
        <v>283956</v>
      </c>
      <c r="C45" s="25" t="str">
        <f>+VLOOKUP(B45,cennik!$A:$G,2,FALSE)</f>
        <v>SEVROLL 20258-SV tlmič dorazu Mini SV40 (25 - 40kg)</v>
      </c>
      <c r="D45" s="373"/>
      <c r="E45" s="91">
        <f>+VLOOKUP(B45,cennik!$A:$G,3,FALSE)</f>
        <v>22.75825</v>
      </c>
      <c r="F45" s="96">
        <f t="shared" si="3"/>
        <v>0</v>
      </c>
      <c r="G45" s="92">
        <f t="shared" si="4"/>
        <v>0</v>
      </c>
      <c r="H45" s="24" t="str">
        <f>cennik!$B$2</f>
        <v>EUR</v>
      </c>
      <c r="I45" s="469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">
      <c r="A46" s="422" t="str">
        <f>texty!$A$230</f>
        <v> Tlmič dorazu MINI do 60 kg (pár)</v>
      </c>
      <c r="B46" s="24">
        <v>351743</v>
      </c>
      <c r="C46" s="25" t="str">
        <f>+VLOOKUP(B46,cennik!$A:$G,2,FALSE)</f>
        <v>SEVROLL 20339-SV tlmič dorazu Mini SV60 (40 - 60kg)</v>
      </c>
      <c r="D46" s="373"/>
      <c r="E46" s="91">
        <f>+VLOOKUP(B46,cennik!$A:$G,3,FALSE)</f>
        <v>22.75825</v>
      </c>
      <c r="F46" s="96">
        <f t="shared" si="3"/>
        <v>0</v>
      </c>
      <c r="G46" s="92">
        <f t="shared" si="4"/>
        <v>0</v>
      </c>
      <c r="H46" s="24" t="str">
        <f>cennik!$B$2</f>
        <v>EUR</v>
      </c>
      <c r="I46" s="469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">
      <c r="A47" s="422" t="str">
        <f>texty!$A$231</f>
        <v> Tlmič pre stredné krídlo do 25 kg</v>
      </c>
      <c r="B47" s="24">
        <v>318663</v>
      </c>
      <c r="C47" s="25" t="str">
        <f>+VLOOKUP(B47,cennik!$A:$G,2,FALSE)</f>
        <v>SEVROLL 20363-SV tlmič Central 10/18mm obojstranný 25kg</v>
      </c>
      <c r="D47" s="373"/>
      <c r="E47" s="91">
        <f>+VLOOKUP(B47,cennik!$A:$G,3,FALSE)</f>
        <v>48.741869999999999</v>
      </c>
      <c r="F47" s="96">
        <f t="shared" si="3"/>
        <v>0</v>
      </c>
      <c r="G47" s="92">
        <f t="shared" si="4"/>
        <v>0</v>
      </c>
      <c r="H47" s="24" t="str">
        <f>cennik!$B$2</f>
        <v>EUR</v>
      </c>
      <c r="I47" s="469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">
      <c r="A48" s="422" t="str">
        <f>texty!$A$232</f>
        <v> Tlmič pre stredné krídlo do 40 kg</v>
      </c>
      <c r="B48" s="24">
        <v>283955</v>
      </c>
      <c r="C48" s="25" t="str">
        <f>+VLOOKUP(B48,cennik!$A:$G,2,FALSE)</f>
        <v>SEVROLL 20319-SV tlmič Central 10/18mm obojstranný 25-40kg</v>
      </c>
      <c r="D48" s="373"/>
      <c r="E48" s="91">
        <f>+VLOOKUP(B48,cennik!$A:$G,3,FALSE)</f>
        <v>48.741869999999999</v>
      </c>
      <c r="F48" s="96">
        <f t="shared" si="3"/>
        <v>0</v>
      </c>
      <c r="G48" s="92">
        <f t="shared" si="4"/>
        <v>0</v>
      </c>
      <c r="H48" s="24" t="str">
        <f>cennik!$B$2</f>
        <v>EUR</v>
      </c>
      <c r="I48" s="469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</v>
      </c>
    </row>
    <row r="49" spans="1:12" ht="12.75" customHeight="1" x14ac:dyDescent="0.2">
      <c r="A49" s="422" t="str">
        <f>CONCATENATE(texty!A179,)</f>
        <v>skrutka k spodnémi vedeniu</v>
      </c>
      <c r="B49" s="16">
        <v>98019</v>
      </c>
      <c r="C49" s="25" t="str">
        <f>+VLOOKUP(B49,cennik!$A:$G,2,FALSE)</f>
        <v>SEVROLL 20041 skrutka 2,5x18mm polguľatá hlava zinok biely</v>
      </c>
      <c r="D49" s="373"/>
      <c r="E49" s="91">
        <f>+VLOOKUP(B49,cennik!$A:$G,3,FALSE)</f>
        <v>2.9159999999999998E-2</v>
      </c>
      <c r="F49" s="96">
        <f t="shared" si="3"/>
        <v>0</v>
      </c>
      <c r="G49" s="92">
        <f t="shared" ref="G49:G55" si="5">+F49*(100-$G$26)/100</f>
        <v>0</v>
      </c>
      <c r="H49" s="24" t="str">
        <f>cennik!$B$2</f>
        <v>EUR</v>
      </c>
      <c r="I49" s="469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">
      <c r="A50" s="422" t="str">
        <f>System10!A49</f>
        <v>tlmič dorazu (pár) 25 kg</v>
      </c>
      <c r="B50" s="24">
        <v>227185</v>
      </c>
      <c r="C50" s="25" t="str">
        <f>+VLOOKUP(B50,cennik!$A:$G,2,FALSE)</f>
        <v>K-SEVROLL tlmič dorazu 10/18mm 14-25kg L+P</v>
      </c>
      <c r="D50" s="373"/>
      <c r="E50" s="91">
        <f>+VLOOKUP(B50,cennik!$A:$G,3,FALSE)</f>
        <v>0</v>
      </c>
      <c r="F50" s="96">
        <f t="shared" si="3"/>
        <v>0</v>
      </c>
      <c r="G50" s="92">
        <f t="shared" si="5"/>
        <v>0</v>
      </c>
      <c r="H50" s="24" t="str">
        <f>cennik!$B$2</f>
        <v>EUR</v>
      </c>
      <c r="I50" s="469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" customHeight="1" x14ac:dyDescent="0.2">
      <c r="A51" s="422" t="str">
        <f>texty!$A$98</f>
        <v>tlmič dorazu (pár) 50 kg</v>
      </c>
      <c r="B51" s="24">
        <v>227187</v>
      </c>
      <c r="C51" s="25" t="str">
        <f>+VLOOKUP(B51,cennik!$A:$G,2,FALSE)</f>
        <v>K-SEVROLL tlmič dorazu 10/18mm 25-50kg L+P</v>
      </c>
      <c r="D51" s="373"/>
      <c r="E51" s="91">
        <f>+VLOOKUP(B51,cennik!$A:$G,3,FALSE)</f>
        <v>0</v>
      </c>
      <c r="F51" s="96">
        <f t="shared" si="3"/>
        <v>0</v>
      </c>
      <c r="G51" s="92">
        <f t="shared" si="5"/>
        <v>0</v>
      </c>
      <c r="H51" s="24" t="str">
        <f>cennik!$B$2</f>
        <v>EUR</v>
      </c>
      <c r="I51" s="469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">
      <c r="A52" s="422" t="str">
        <f>System10!A51</f>
        <v>spojovací profil H10-3metre</v>
      </c>
      <c r="B52" s="16" t="e">
        <f>+VLOOKUP(P7,data!C457:D468,2,0)</f>
        <v>#N/A</v>
      </c>
      <c r="C52" s="25" t="e">
        <f>+VLOOKUP(B52,cennik!$A:$G,2,FALSE)</f>
        <v>#N/A</v>
      </c>
      <c r="D52" s="459"/>
      <c r="E52" s="91" t="e">
        <f>+VLOOKUP(B52,cennik!$A:$G,3,FALSE)</f>
        <v>#N/A</v>
      </c>
      <c r="F52" s="91" t="e">
        <f>+E52*D52</f>
        <v>#N/A</v>
      </c>
      <c r="G52" s="92" t="e">
        <f t="shared" si="5"/>
        <v>#N/A</v>
      </c>
      <c r="H52" s="24" t="str">
        <f>cennik!$B$2</f>
        <v>EUR</v>
      </c>
      <c r="I52" s="469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">
      <c r="A53" s="422" t="str">
        <f>System10!A52</f>
        <v>spojovací profil H30-3metre</v>
      </c>
      <c r="B53" s="17" t="str">
        <f>IFERROR(VLOOKUP(P7,data!C468:D476,2,0),"N/A")</f>
        <v>N/A</v>
      </c>
      <c r="C53" s="25" t="str">
        <f>IF($B$53=data!$D$64,texty!$A$239,+VLOOKUP($B$53,cennik!$A:$G,2,FALSE))</f>
        <v> v tejto farbe a dĺžke sa daný profil nevyrába</v>
      </c>
      <c r="D53" s="373"/>
      <c r="E53" s="474">
        <f>IF(B53=data!$D$73,0,+VLOOKUP(B53,cennik!$A:$G,3,FALSE))</f>
        <v>0</v>
      </c>
      <c r="F53" s="474">
        <f>+E53*D53</f>
        <v>0</v>
      </c>
      <c r="G53" s="475">
        <f t="shared" si="5"/>
        <v>0</v>
      </c>
      <c r="H53" s="24" t="str">
        <f>cennik!$B$2</f>
        <v>EUR</v>
      </c>
      <c r="I53" s="469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">
      <c r="A54" s="422" t="str">
        <f>texty!$A$92</f>
        <v>spojovacia skrutka</v>
      </c>
      <c r="B54" s="16">
        <v>89244</v>
      </c>
      <c r="C54" s="25" t="str">
        <f>+VLOOKUP(B54,cennik!$A:$G,2,FALSE)</f>
        <v>SEVROLL 20001 skrutkovrut 6,3x32 SEVROLL a Simple</v>
      </c>
      <c r="D54" s="459"/>
      <c r="E54" s="91">
        <f>+VLOOKUP(B54,cennik!$A:$G,3,FALSE)</f>
        <v>0.15482000000000001</v>
      </c>
      <c r="F54" s="91">
        <f>+E54*D54</f>
        <v>0</v>
      </c>
      <c r="G54" s="92">
        <f t="shared" si="5"/>
        <v>0</v>
      </c>
      <c r="H54" s="24" t="str">
        <f>cennik!$B$2</f>
        <v>EUR</v>
      </c>
      <c r="I54" s="469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12.75" customHeight="1" x14ac:dyDescent="0.2">
      <c r="A55" s="422" t="str">
        <f>System10!A55</f>
        <v>protiprachový kartáč</v>
      </c>
      <c r="B55" s="17">
        <v>95946</v>
      </c>
      <c r="C55" s="25" t="str">
        <f>+VLOOKUP(B55,cennik!$A:$G,2,FALSE)</f>
        <v>SEVROLL protiprach.kartáč zásuvný 4,8x13mm</v>
      </c>
      <c r="D55" s="459"/>
      <c r="E55" s="91">
        <f>+VLOOKUP(B55,cennik!$A:$G,3,FALSE)</f>
        <v>0.18106</v>
      </c>
      <c r="F55" s="91">
        <f>+E55*D55</f>
        <v>0</v>
      </c>
      <c r="G55" s="92">
        <f t="shared" si="5"/>
        <v>0</v>
      </c>
      <c r="H55" s="24" t="str">
        <f>cennik!$B$2</f>
        <v>EUR</v>
      </c>
      <c r="I55" s="469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12.75" customHeight="1" x14ac:dyDescent="0.2">
      <c r="A56" s="422" t="str">
        <f>texty!A240</f>
        <v>zámok posuvných dverí</v>
      </c>
      <c r="B56" s="17">
        <v>216363</v>
      </c>
      <c r="C56" s="25" t="str">
        <f>+VLOOKUP(B56,cennik!$A:$G,2,FALSE)</f>
        <v>SEVROLL 20356 zámok na posuvné dvere 10/18mm</v>
      </c>
      <c r="D56" s="459"/>
      <c r="E56" s="91">
        <f>+VLOOKUP(B56,cennik!$A:$G,3,FALSE)</f>
        <v>15.72176</v>
      </c>
      <c r="F56" s="91">
        <f>+E56*D56</f>
        <v>0</v>
      </c>
      <c r="G56" s="92">
        <f>+F56*(100-$G$26)/100</f>
        <v>0</v>
      </c>
      <c r="H56" s="24" t="str">
        <f>cennik!$B$2</f>
        <v>EUR</v>
      </c>
      <c r="I56" s="469" t="str">
        <f>IFERROR(IF((VLOOKUP(B56,cennik!A:L,12,0))="O",texty!$A$250,""),"")</f>
        <v/>
      </c>
      <c r="J56" s="439" t="str">
        <f>IF(D56&gt;0,IF(VLOOKUP(B56,cennik!A:L,12,FALSE)="O",1,""),"")</f>
        <v/>
      </c>
      <c r="K56" s="24"/>
    </row>
    <row r="57" spans="1:12" s="21" customFormat="1" ht="12.75" customHeight="1" x14ac:dyDescent="0.2">
      <c r="A57" s="422"/>
      <c r="B57" s="17"/>
      <c r="C57" s="25"/>
      <c r="D57" s="91"/>
      <c r="E57" s="91"/>
      <c r="F57" s="91"/>
      <c r="G57" s="92"/>
      <c r="H57" s="24"/>
      <c r="I57" s="469" t="str">
        <f>IFERROR(IF((VLOOKUP(B57,cennik!A:L,12,0))="O",texty!$A$250,""),"")</f>
        <v/>
      </c>
      <c r="J57" s="439"/>
      <c r="K57" s="24"/>
    </row>
    <row r="58" spans="1:12" ht="12.75" customHeight="1" x14ac:dyDescent="0.2">
      <c r="A58" s="429" t="e">
        <f>CONCATENATE(texty!$A$6,ROUND((C13/1000),1),texty!$A$8)</f>
        <v>#DIV/0!</v>
      </c>
      <c r="B58" s="42"/>
      <c r="C58" s="43"/>
      <c r="D58" s="42"/>
      <c r="E58" s="97"/>
      <c r="F58" s="97"/>
      <c r="G58" s="97"/>
      <c r="H58" s="361"/>
      <c r="I58" s="469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">
      <c r="A59" s="21"/>
      <c r="B59" s="21"/>
      <c r="C59" s="442" t="str">
        <f>texty!$A$10</f>
        <v>Potrebná dĺžka tesnenia pri celkovom presklení (nutné objednať celé metre)</v>
      </c>
      <c r="D59" s="439" t="e">
        <f>CEILING(((B9+C9)*2/1000*D4),1)</f>
        <v>#DIV/0!</v>
      </c>
      <c r="E59" s="361"/>
      <c r="F59" s="361"/>
      <c r="G59" s="361"/>
      <c r="H59" s="361"/>
      <c r="I59" s="469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">
      <c r="A60" s="450" t="str">
        <f>texty!$A$12</f>
        <v>(pri kombináciach s H profilmi je nutné pripočítať potrebnú dĺžku - tesnenie musí byť po celom odvode každého skla</v>
      </c>
      <c r="B60" s="451"/>
      <c r="C60" s="452"/>
      <c r="D60" s="451"/>
      <c r="E60" s="441"/>
      <c r="F60" s="441"/>
      <c r="G60" s="441"/>
      <c r="H60" s="361"/>
      <c r="I60" s="469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">
      <c r="A61" s="422" t="str">
        <f>System10!A59</f>
        <v>tesnenie na sklo 4mm</v>
      </c>
      <c r="B61" s="17">
        <v>89238</v>
      </c>
      <c r="C61" s="25" t="str">
        <f>+VLOOKUP(B61,cennik!$A:$G,2,FALSE)</f>
        <v>SEVROLL 20031-SV tesnenie na sklo 10/4mm</v>
      </c>
      <c r="D61" s="460"/>
      <c r="E61" s="91">
        <f>+VLOOKUP(B61,cennik!$A:$G,3,FALSE)</f>
        <v>0.79988999999999999</v>
      </c>
      <c r="F61" s="96">
        <f>+CEILING(D61,1)*E61</f>
        <v>0</v>
      </c>
      <c r="G61" s="92">
        <f>+F61*(100-$G$26)/100</f>
        <v>0</v>
      </c>
      <c r="H61" s="24" t="str">
        <f>cennik!$B$2</f>
        <v>EUR</v>
      </c>
      <c r="I61" s="469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2.75" customHeight="1" x14ac:dyDescent="0.2">
      <c r="A62" s="422" t="str">
        <f>texty!A103</f>
        <v>tesnenie na sklo 4,5 mm</v>
      </c>
      <c r="B62" s="17">
        <v>135164</v>
      </c>
      <c r="C62" s="25" t="str">
        <f>+VLOOKUP(B62,cennik!$A:$G,2,FALSE)</f>
        <v>SEVROLL 20032-SV tesnenie na sklo 10/4,5mm</v>
      </c>
      <c r="D62" s="460"/>
      <c r="E62" s="91">
        <f>+VLOOKUP(B62,cennik!$A:$G,3,FALSE)</f>
        <v>0.79988999999999999</v>
      </c>
      <c r="F62" s="96">
        <f>+CEILING(D62,1)*E62</f>
        <v>0</v>
      </c>
      <c r="G62" s="92">
        <f>+F62*(100-$G$26)/100</f>
        <v>0</v>
      </c>
      <c r="H62" s="24" t="str">
        <f>cennik!$B$2</f>
        <v>EUR</v>
      </c>
      <c r="I62" s="469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12.75" customHeight="1" x14ac:dyDescent="0.2">
      <c r="A63" s="422" t="str">
        <f>System10!A61</f>
        <v>tesnenie na sklo 6mm</v>
      </c>
      <c r="B63" s="17">
        <v>89243</v>
      </c>
      <c r="C63" s="25" t="str">
        <f>+VLOOKUP(B63,cennik!$A:$G,2,FALSE)</f>
        <v>SEVROLL 20033-SV tesnenie na sklo 10/6mm</v>
      </c>
      <c r="D63" s="460"/>
      <c r="E63" s="91">
        <f>+VLOOKUP(B63,cennik!$A:$G,3,FALSE)</f>
        <v>0.79988999999999999</v>
      </c>
      <c r="F63" s="96">
        <f>+CEILING(D63,1)*E63</f>
        <v>0</v>
      </c>
      <c r="G63" s="92">
        <f>+F63*(100-$G$26)/100</f>
        <v>0</v>
      </c>
      <c r="H63" s="24" t="str">
        <f>cennik!$B$2</f>
        <v>EUR</v>
      </c>
      <c r="I63" s="469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">
      <c r="A64" s="271" t="str">
        <f>texty!$A$190</f>
        <v>Ďalšie príslušenstvo</v>
      </c>
      <c r="B64" s="21"/>
      <c r="C64" s="21"/>
      <c r="D64" s="21"/>
      <c r="E64" s="361"/>
      <c r="F64" s="361"/>
      <c r="G64" s="361"/>
      <c r="H64" s="24"/>
      <c r="I64" s="469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">
      <c r="A65" s="271" t="str">
        <f>texty!$A$244</f>
        <v>Technický nákres tohoto systému</v>
      </c>
      <c r="B65" s="470">
        <v>129677</v>
      </c>
      <c r="C65" s="453" t="str">
        <f>VLOOKUP(B65,cennik!A:C,2,0)</f>
        <v>SEVROLL 20173 montážny prípravok pre lamino 10mm malý</v>
      </c>
      <c r="D65" s="460"/>
      <c r="E65" s="91">
        <f>+VLOOKUP(B65,cennik!$A:$G,3,FALSE)</f>
        <v>5.0214600000000003</v>
      </c>
      <c r="F65" s="96">
        <f>+CEILING(D65,1)*E65</f>
        <v>0</v>
      </c>
      <c r="G65" s="92">
        <f>+F65</f>
        <v>0</v>
      </c>
      <c r="H65" s="24" t="str">
        <f>cennik!$B$2</f>
        <v>EUR</v>
      </c>
      <c r="I65" s="469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">
      <c r="A66" s="21"/>
      <c r="B66" s="470">
        <v>128842</v>
      </c>
      <c r="C66" s="453" t="str">
        <f>VLOOKUP(B66,cennik!A:C,2,0)</f>
        <v>SEVROLL 20144 vrták stupňovitý 6,5/9,5mm</v>
      </c>
      <c r="D66" s="460"/>
      <c r="E66" s="91">
        <f>+VLOOKUP(B66,cennik!$A:$G,3,FALSE)</f>
        <v>26.752659999999999</v>
      </c>
      <c r="F66" s="96">
        <f>+CEILING(D66,1)*E66</f>
        <v>0</v>
      </c>
      <c r="G66" s="92">
        <f>+F66</f>
        <v>0</v>
      </c>
      <c r="H66" s="24" t="str">
        <f>cennik!$B$2</f>
        <v>EUR</v>
      </c>
      <c r="I66" s="469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">
      <c r="A67" s="637" t="str">
        <f>IF(SUM(D50:D51)&gt;0,IF(C7&lt;(B4/3),texty!$A$212,""),"")</f>
        <v/>
      </c>
      <c r="B67" s="637"/>
      <c r="C67" s="637"/>
      <c r="D67" s="637"/>
      <c r="E67" s="637"/>
      <c r="F67" s="637"/>
      <c r="G67" s="637"/>
      <c r="H67" s="637"/>
      <c r="I67" s="637"/>
      <c r="J67" s="272"/>
      <c r="K67" s="134"/>
    </row>
    <row r="68" spans="1:14" ht="12.75" customHeight="1" x14ac:dyDescent="0.2">
      <c r="A68" s="21"/>
      <c r="B68" s="17"/>
      <c r="C68" s="17"/>
      <c r="D68" s="455" t="str">
        <f>texty!$A$15</f>
        <v>CELKOM  (bez DPH)</v>
      </c>
      <c r="E68" s="441"/>
      <c r="F68" s="101" t="e">
        <f>SUM(F28:F66)</f>
        <v>#N/A</v>
      </c>
      <c r="G68" s="101" t="e">
        <f>SUM(G28:G66)</f>
        <v>#N/A</v>
      </c>
      <c r="H68" s="24" t="str">
        <f>cennik!$B$2</f>
        <v>EUR</v>
      </c>
      <c r="I68" s="24"/>
      <c r="J68" s="181"/>
      <c r="K68" s="181"/>
      <c r="L68" s="5" t="str">
        <f>data!J4</f>
        <v xml:space="preserve">strieborná </v>
      </c>
      <c r="M68" s="21" t="s">
        <v>987</v>
      </c>
    </row>
    <row r="69" spans="1:14" ht="12.75" customHeight="1" x14ac:dyDescent="0.2">
      <c r="A69" s="442" t="str">
        <f>System10!$A$67</f>
        <v>Vaša poznámka:</v>
      </c>
      <c r="B69" s="641"/>
      <c r="C69" s="642"/>
      <c r="D69" s="642"/>
      <c r="E69" s="642"/>
      <c r="F69" s="642"/>
      <c r="G69" s="643"/>
      <c r="H69" s="24"/>
      <c r="I69" s="24"/>
      <c r="L69" s="5" t="str">
        <f>data!J5</f>
        <v>zlatá</v>
      </c>
      <c r="M69" s="21" t="s">
        <v>43</v>
      </c>
    </row>
    <row r="70" spans="1:14" ht="12.75" customHeight="1" x14ac:dyDescent="0.2">
      <c r="A70" s="630">
        <f>profil!$U$15</f>
        <v>0</v>
      </c>
      <c r="B70" s="631"/>
      <c r="C70" s="631"/>
      <c r="D70" s="631"/>
      <c r="E70" s="631"/>
      <c r="F70" s="631"/>
      <c r="G70" s="631"/>
      <c r="H70" s="631"/>
      <c r="I70" s="24"/>
      <c r="L70" s="5" t="str">
        <f>data!J6</f>
        <v>oliva</v>
      </c>
      <c r="M70" s="21"/>
    </row>
    <row r="71" spans="1:14" ht="12.75" customHeight="1" x14ac:dyDescent="0.2">
      <c r="A71" s="632">
        <f>IF(N71=1,texty!$A$215,IF(K71&gt;0,texty!$A$214,""))</f>
        <v>0</v>
      </c>
      <c r="B71" s="632"/>
      <c r="C71" s="632"/>
      <c r="D71" s="632"/>
      <c r="E71" s="632"/>
      <c r="F71" s="632"/>
      <c r="G71" s="632"/>
      <c r="H71" s="632"/>
      <c r="I71" s="24"/>
      <c r="K71" s="6" t="e">
        <f>SUM(K28:K66)</f>
        <v>#N/A</v>
      </c>
      <c r="L71" s="5" t="str">
        <f>data!J7</f>
        <v>oliva kartáčovaná</v>
      </c>
      <c r="N71" s="5">
        <f>IF(ISERROR(K71),1,0)</f>
        <v>1</v>
      </c>
    </row>
    <row r="72" spans="1:14" ht="12.75" customHeight="1" x14ac:dyDescent="0.2">
      <c r="L72" s="5" t="str">
        <f>data!J8</f>
        <v>kart. tm. oliva</v>
      </c>
    </row>
    <row r="73" spans="1:14" ht="12.75" hidden="1" customHeight="1" x14ac:dyDescent="0.2">
      <c r="L73" s="5" t="str">
        <f>data!J9</f>
        <v>kart. čierna</v>
      </c>
    </row>
    <row r="74" spans="1:14" ht="12.75" hidden="1" customHeight="1" x14ac:dyDescent="0.2">
      <c r="L74" s="5" t="str">
        <f>data!J15</f>
        <v>biela lesk</v>
      </c>
    </row>
    <row r="75" spans="1:14" ht="12.75" hidden="1" customHeight="1" x14ac:dyDescent="0.2">
      <c r="L75" s="5" t="str">
        <f>data!J16</f>
        <v>čierna lesk</v>
      </c>
    </row>
    <row r="76" spans="1:14" ht="12.75" hidden="1" customHeight="1" x14ac:dyDescent="0.2">
      <c r="L76" s="5" t="str">
        <f>data!J17</f>
        <v>čierna mat</v>
      </c>
    </row>
    <row r="77" spans="1:14" ht="12.75" hidden="1" customHeight="1" x14ac:dyDescent="0.2">
      <c r="L77" s="5" t="str">
        <f>data!J12</f>
        <v>grafit</v>
      </c>
    </row>
    <row r="78" spans="1:14" ht="12.75" hidden="1" customHeight="1" x14ac:dyDescent="0.2">
      <c r="L78" s="5" t="str">
        <f>data!J18</f>
        <v>biela mat</v>
      </c>
    </row>
  </sheetData>
  <sheetProtection algorithmName="SHA-512" hashValue="klC+ZHbmHAFXpNZWpwZpkb9xx5qdKP0uFBl0VDbprV75B9k2OJ90Jh5K08JQX4Yrz20EyHJbNepuwmEK/jFrqA==" saltValue="zzcerMx7XcnXpS6Ez3B2Jw==" spinCount="100000" sheet="1" objects="1" scenarios="1" selectLockedCell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05" priority="3">
      <formula>SUM($D$47:$D$48)&gt;0</formula>
    </cfRule>
  </conditionalFormatting>
  <conditionalFormatting sqref="D6">
    <cfRule type="expression" dxfId="203" priority="9">
      <formula>$D$4=4</formula>
    </cfRule>
    <cfRule type="expression" dxfId="202" priority="10">
      <formula>$D$4&lt;&gt;4</formula>
    </cfRule>
  </conditionalFormatting>
  <conditionalFormatting sqref="D54">
    <cfRule type="expression" dxfId="201" priority="11" stopIfTrue="1">
      <formula>IF($D$53&gt;0,IF($D$54=0,1,0),0)</formula>
    </cfRule>
  </conditionalFormatting>
  <conditionalFormatting sqref="G4">
    <cfRule type="expression" dxfId="200" priority="8">
      <formula>$D$4=4</formula>
    </cfRule>
  </conditionalFormatting>
  <conditionalFormatting sqref="I19:I20">
    <cfRule type="expression" dxfId="199" priority="5">
      <formula>$F$4=$M$69</formula>
    </cfRule>
  </conditionalFormatting>
  <conditionalFormatting sqref="I21:I22">
    <cfRule type="expression" dxfId="198" priority="6">
      <formula>$F$4=$M$68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6:F6" xr:uid="{00000000-0002-0000-0900-000002000000}">
      <formula1>"stříbrná,zlatá,oliva"</formula1>
      <formula2>0</formula2>
    </dataValidation>
    <dataValidation type="list" allowBlank="1" showInputMessage="1" showErrorMessage="1" sqref="E4" xr:uid="{00000000-0002-0000-0900-000003000000}">
      <formula1>$L$68:$L$78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$M$68:$M$69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3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9.7109375" style="5" customWidth="1"/>
    <col min="2" max="2" width="15.7109375" style="5" customWidth="1"/>
    <col min="3" max="3" width="46.42578125" style="5" customWidth="1"/>
    <col min="4" max="4" width="13.7109375" style="5" customWidth="1"/>
    <col min="5" max="7" width="15.2851562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22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-8.25</v>
      </c>
    </row>
    <row r="2" spans="1:22" ht="18.75" customHeight="1" x14ac:dyDescent="0.2">
      <c r="A2" s="523" t="s">
        <v>845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2" ht="26.25" thickBot="1" x14ac:dyDescent="0.25">
      <c r="A3" s="524" t="str">
        <f>CONCATENATE(texty!A243," ",5,".",50)</f>
        <v>katalóg kovania 2018 str. 5.50</v>
      </c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20" t="str">
        <f>texty!A38</f>
        <v>typ spodného vedenia</v>
      </c>
      <c r="G3" s="6"/>
      <c r="H3" s="6"/>
      <c r="L3" s="6"/>
    </row>
    <row r="4" spans="1:22" ht="18" customHeight="1" x14ac:dyDescent="0.2">
      <c r="A4" s="10" t="str">
        <f>+System10!A4</f>
        <v>VNÚTORNÝ ROZMER SKRINE:</v>
      </c>
      <c r="B4" s="56"/>
      <c r="C4" s="56"/>
      <c r="D4" s="22"/>
      <c r="E4" s="22"/>
      <c r="F4" s="458"/>
      <c r="G4" s="647"/>
      <c r="H4" s="647"/>
      <c r="I4" s="647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">
      <c r="A5" s="10"/>
      <c r="B5" s="651" t="str">
        <f>+System10!B5</f>
        <v>vypíšte týchto 5 políčok !!! Údaje v mm</v>
      </c>
      <c r="C5" s="651"/>
      <c r="D5" s="651"/>
      <c r="E5" s="651"/>
      <c r="F5" s="651"/>
      <c r="G5" s="647"/>
      <c r="H5" s="647"/>
      <c r="I5" s="647"/>
      <c r="K5" s="190"/>
      <c r="L5" s="23" t="str">
        <f>CONCATENATE(L4,"-",E4)</f>
        <v>1700-</v>
      </c>
      <c r="M5" s="21"/>
      <c r="N5" s="23" t="str">
        <f>CONCATENATE(N4,"-",E4,", ",F4)</f>
        <v xml:space="preserve">1700-, </v>
      </c>
    </row>
    <row r="6" spans="1:22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R6" s="636" t="s">
        <v>557</v>
      </c>
      <c r="S6" s="636" t="s">
        <v>558</v>
      </c>
      <c r="T6" s="636" t="s">
        <v>559</v>
      </c>
      <c r="U6" s="636" t="s">
        <v>560</v>
      </c>
    </row>
    <row r="7" spans="1:22" ht="12.75" customHeight="1" x14ac:dyDescent="0.2">
      <c r="A7" s="10" t="str">
        <f>texty!A71</f>
        <v>krídlo dverí:</v>
      </c>
      <c r="B7" s="57">
        <f>+B4-40</f>
        <v>-40</v>
      </c>
      <c r="C7" s="59" t="e">
        <f>+(C4-3+(30*(D4-1)))/D4+IF(AND(D4=4,D6=2),M1,0)</f>
        <v>#DIV/0!</v>
      </c>
      <c r="D7" s="8"/>
      <c r="E7" s="8"/>
      <c r="F7" s="8"/>
      <c r="G7" s="50" t="str">
        <f>texty!$A$39</f>
        <v>V prípade použitia skla ako výplne</v>
      </c>
      <c r="H7" s="6"/>
      <c r="L7" s="6"/>
      <c r="O7" s="17" t="e">
        <f>IF(L11="jiné",M12,L11)</f>
        <v>#DIV/0!</v>
      </c>
      <c r="P7" s="21">
        <f>+E4</f>
        <v>0</v>
      </c>
      <c r="R7" s="636"/>
      <c r="S7" s="636"/>
      <c r="T7" s="636"/>
      <c r="U7" s="636"/>
    </row>
    <row r="8" spans="1:22" ht="12.75" customHeight="1" x14ac:dyDescent="0.2">
      <c r="A8" s="10" t="str">
        <f>texty!A72</f>
        <v>rozmer výplne 10 mm:</v>
      </c>
      <c r="B8" s="57">
        <f>+B7-64</f>
        <v>-104</v>
      </c>
      <c r="C8" s="59" t="e">
        <f>+C7-41</f>
        <v>#DIV/0!</v>
      </c>
      <c r="D8" s="8"/>
      <c r="E8" s="8"/>
      <c r="F8" s="8"/>
      <c r="G8" s="50" t="str">
        <f>texty!$A$40</f>
        <v>je treba použiť bezpečnostné sklo</v>
      </c>
      <c r="H8" s="6"/>
      <c r="L8" s="6" t="s">
        <v>60</v>
      </c>
      <c r="M8" s="5" t="s">
        <v>61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">
      <c r="A9" s="10" t="str">
        <f>texty!A73</f>
        <v>rozmer zrkadla / skla</v>
      </c>
      <c r="B9" s="57">
        <f>+B8</f>
        <v>-104</v>
      </c>
      <c r="C9" s="59" t="e">
        <f>+C8-4</f>
        <v>#DIV/0!</v>
      </c>
      <c r="D9" s="8"/>
      <c r="E9" s="8"/>
      <c r="F9" s="8"/>
      <c r="G9" s="50" t="str">
        <f>texty!$A$41</f>
        <v>alebo sklo zabezpečiť ochrannou fóliou</v>
      </c>
      <c r="H9" s="6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562</v>
      </c>
    </row>
    <row r="10" spans="1:22" ht="12.75" customHeight="1" x14ac:dyDescent="0.2">
      <c r="A10" s="10" t="str">
        <f>texty!A74</f>
        <v>dĺžka vodiacej a krycej lišty krídla</v>
      </c>
      <c r="B10" s="57"/>
      <c r="C10" s="60" t="e">
        <f>+C7-58</f>
        <v>#DIV/0!</v>
      </c>
      <c r="D10" s="8"/>
      <c r="E10" s="8"/>
      <c r="F10" s="8"/>
      <c r="G10" s="49"/>
      <c r="H10" s="6"/>
      <c r="L10" s="5" t="s">
        <v>59</v>
      </c>
      <c r="O10" s="17" t="e">
        <f>IF(L11="jiné",M13,"")</f>
        <v>#DIV/0!</v>
      </c>
      <c r="P10" s="21">
        <f>+E4</f>
        <v>0</v>
      </c>
      <c r="Q10" s="5">
        <v>3</v>
      </c>
      <c r="R10" s="159" t="e">
        <f t="shared" si="0"/>
        <v>#DIV/0!</v>
      </c>
    </row>
    <row r="11" spans="1:22" ht="12.75" customHeight="1" x14ac:dyDescent="0.2">
      <c r="A11" s="10" t="str">
        <f>texty!A75</f>
        <v>Horný/spodný profil</v>
      </c>
      <c r="B11" s="57"/>
      <c r="C11" s="189">
        <f>+C4</f>
        <v>0</v>
      </c>
      <c r="D11" s="8"/>
      <c r="E11" s="8"/>
      <c r="F11" s="8"/>
      <c r="G11" s="3" t="str">
        <f>texty!$A$43</f>
        <v>Maximálna hmotnosť krídla je 50 kg</v>
      </c>
      <c r="H11" s="6"/>
      <c r="L11" s="36" t="e">
        <f>IF((L9+M9)&lt;1700,1700,IF((L9+M9)&lt;2350,2350,IF((L9+M9)&lt;3000,3000,"jiné")))</f>
        <v>#DIV/0!</v>
      </c>
      <c r="N11" s="5" t="s">
        <v>62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">
      <c r="A12" s="10" t="str">
        <f>texty!A76</f>
        <v>úchytková lišta</v>
      </c>
      <c r="B12" s="488">
        <f>+B7</f>
        <v>-40</v>
      </c>
      <c r="C12" s="489"/>
      <c r="D12" s="8"/>
      <c r="E12" s="8"/>
      <c r="F12" s="8"/>
      <c r="G12" s="6"/>
      <c r="H12" s="6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">
      <c r="A13" s="10" t="str">
        <f>texty!A77</f>
        <v>dĺžka tesnenia na sklo na jednom krídle</v>
      </c>
      <c r="B13" s="58"/>
      <c r="C13" s="144" t="e">
        <f>ROUND(B8*2+C9*2,0)</f>
        <v>#DIV/0!</v>
      </c>
      <c r="D13" s="8"/>
      <c r="E13" s="8"/>
      <c r="F13" s="8"/>
      <c r="G13" s="6"/>
      <c r="H13" s="6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4" customHeight="1" x14ac:dyDescent="0.2">
      <c r="A14" s="635" t="str">
        <f>IF(SUM(D47:D48)&gt;0,texty!A245,"")</f>
        <v/>
      </c>
      <c r="B14" s="635"/>
      <c r="C14" s="490" t="str">
        <f>texty!A78</f>
        <v>dodatočné odpočty výšky vypočítaných výplní pri použití deliacich profilov výplne:</v>
      </c>
      <c r="D14" s="8"/>
      <c r="E14" s="8"/>
      <c r="F14" s="8"/>
      <c r="G14" s="6"/>
      <c r="H14" s="6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">
      <c r="A15" s="635"/>
      <c r="B15" s="635"/>
      <c r="C15" s="490"/>
      <c r="D15" s="8"/>
      <c r="E15" s="8"/>
      <c r="F15" s="8"/>
      <c r="G15" s="6"/>
      <c r="H15" s="6"/>
      <c r="L15" s="6"/>
      <c r="R15" s="159"/>
    </row>
    <row r="16" spans="1:22" x14ac:dyDescent="0.2">
      <c r="A16" s="422"/>
      <c r="B16" s="17"/>
      <c r="C16" s="490"/>
      <c r="D16" s="8"/>
      <c r="E16" s="8"/>
      <c r="F16" s="8"/>
      <c r="G16" s="6"/>
      <c r="H16" s="6"/>
      <c r="L16" s="6"/>
      <c r="R16" s="159"/>
    </row>
    <row r="17" spans="1:22" ht="12.75" customHeight="1" x14ac:dyDescent="0.2">
      <c r="B17" s="17"/>
      <c r="C17" s="433"/>
      <c r="D17" s="8"/>
      <c r="E17" s="8"/>
      <c r="F17" s="8"/>
      <c r="G17" s="6"/>
      <c r="H17" s="6"/>
      <c r="L17" s="6"/>
      <c r="M17" s="5" t="e">
        <f>M14-C4</f>
        <v>#DIV/0!</v>
      </c>
      <c r="Q17" s="5" t="s">
        <v>561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">
      <c r="A18" s="422"/>
      <c r="B18" s="17"/>
      <c r="C18" s="433"/>
      <c r="D18" s="8"/>
      <c r="E18" s="8"/>
      <c r="F18" s="8"/>
      <c r="G18" s="6"/>
      <c r="H18" s="6"/>
      <c r="L18" s="6"/>
    </row>
    <row r="19" spans="1:22" ht="14.25" customHeight="1" x14ac:dyDescent="0.2">
      <c r="A19" s="422"/>
      <c r="B19" s="484" t="str">
        <f>texty!A242</f>
        <v>dilatácia 4 mm</v>
      </c>
      <c r="C19" s="119"/>
      <c r="D19" s="8"/>
      <c r="E19" s="8"/>
      <c r="F19" s="8"/>
      <c r="G19" s="6"/>
      <c r="H19" s="6"/>
      <c r="I19" s="638" t="s">
        <v>993</v>
      </c>
      <c r="L19" s="6"/>
    </row>
    <row r="20" spans="1:22" ht="16.5" customHeight="1" x14ac:dyDescent="0.2">
      <c r="A20" s="7"/>
      <c r="B20" s="8"/>
      <c r="C20" s="8"/>
      <c r="E20" s="8"/>
      <c r="F20" s="8"/>
      <c r="G20" s="6"/>
      <c r="H20" s="6"/>
      <c r="I20" s="638"/>
      <c r="L20" s="6"/>
      <c r="M20" s="6"/>
      <c r="R20" s="5" t="s">
        <v>581</v>
      </c>
      <c r="S20" s="5" t="s">
        <v>580</v>
      </c>
      <c r="T20" s="5">
        <v>1700</v>
      </c>
      <c r="U20" s="5">
        <v>2350</v>
      </c>
      <c r="V20" s="5">
        <v>3000</v>
      </c>
    </row>
    <row r="21" spans="1:22" ht="16.5" customHeight="1" x14ac:dyDescent="0.2">
      <c r="A21" s="7"/>
      <c r="B21" s="8"/>
      <c r="C21" s="8"/>
      <c r="D21" s="13"/>
      <c r="E21" s="8"/>
      <c r="F21" s="8"/>
      <c r="G21" s="6"/>
      <c r="H21" s="6"/>
      <c r="I21" s="639" t="s">
        <v>994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">
      <c r="A22" s="7"/>
      <c r="B22" s="8"/>
      <c r="C22" s="8"/>
      <c r="D22" s="8"/>
      <c r="E22" s="8"/>
      <c r="F22" s="8"/>
      <c r="G22" s="6"/>
      <c r="H22" s="6"/>
      <c r="I22" s="639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">
      <c r="A23" s="7"/>
      <c r="B23" s="8"/>
      <c r="C23" s="8"/>
      <c r="D23" s="8"/>
      <c r="E23" s="8"/>
      <c r="F23" s="8"/>
      <c r="G23" s="6"/>
      <c r="H23" s="6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1700-0</v>
      </c>
      <c r="M24" s="6" t="e">
        <f>SUM(T21:T32)</f>
        <v>#DIV/0!</v>
      </c>
      <c r="N24" s="5">
        <v>1700</v>
      </c>
      <c r="P24" s="5" t="s">
        <v>563</v>
      </c>
      <c r="Q24" s="162" t="s">
        <v>564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">
      <c r="A25" s="7"/>
      <c r="B25" s="8"/>
      <c r="D25" s="8"/>
      <c r="E25" s="8"/>
      <c r="F25" s="8"/>
      <c r="G25" s="130" t="str">
        <f>+System10!G25</f>
        <v>partnerská zľava:</v>
      </c>
      <c r="H25" s="6"/>
      <c r="L25" s="5" t="str">
        <f>CONCATENATE(N25,"-",$P$7)</f>
        <v>2350-0</v>
      </c>
      <c r="M25" s="6" t="e">
        <f>SUM(U21:U32)</f>
        <v>#DIV/0!</v>
      </c>
      <c r="N25" s="5">
        <v>2350</v>
      </c>
      <c r="Q25" s="5" t="s">
        <v>576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">
      <c r="A26" s="14" t="str">
        <f>+System10!A26</f>
        <v>Objednávacie kódy, ceny:</v>
      </c>
      <c r="B26" s="8"/>
      <c r="D26" s="8"/>
      <c r="E26" s="8"/>
      <c r="F26" s="8"/>
      <c r="G26" s="142">
        <f>profil!C15</f>
        <v>0</v>
      </c>
      <c r="H26" s="28"/>
      <c r="L26" s="5" t="str">
        <f>CONCATENATE(N26,"-",$P$7)</f>
        <v>3000-0</v>
      </c>
      <c r="M26" s="6" t="e">
        <f>SUM(V21:V32)</f>
        <v>#DIV/0!</v>
      </c>
      <c r="N26" s="5">
        <v>3000</v>
      </c>
      <c r="O26" s="160"/>
      <c r="Q26" s="5" t="s">
        <v>565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">
      <c r="A27" s="7"/>
      <c r="B27" s="19" t="str">
        <f>+'Romeo II'!B27</f>
        <v>kód</v>
      </c>
      <c r="C27" s="18" t="str">
        <f>+'Romeo II'!C27</f>
        <v>názov</v>
      </c>
      <c r="D27" s="19" t="str">
        <f>+'Romeo II'!D27</f>
        <v>ks</v>
      </c>
      <c r="E27" s="19" t="str">
        <f>+'Romeo II'!E27</f>
        <v>cena/ks</v>
      </c>
      <c r="F27" s="19" t="str">
        <f>+'Romeo II'!F27</f>
        <v>cena celkom</v>
      </c>
      <c r="G27" s="20" t="str">
        <f>+'Romeo II'!G27</f>
        <v>celkom netto:</v>
      </c>
      <c r="H27" s="6"/>
      <c r="I27" s="18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566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">
      <c r="A28" s="7" t="str">
        <f>+System10!A28</f>
        <v>Horný profil:</v>
      </c>
      <c r="B28" s="16" t="e">
        <f>+VLOOKUP(L5,data!$C$196:$D$235,2,0)</f>
        <v>#N/A</v>
      </c>
      <c r="C28" s="25" t="e">
        <f>+VLOOKUP(B28,cennik!$A$3:$G$701,2,FALSE)</f>
        <v>#N/A</v>
      </c>
      <c r="D28" s="17" t="e">
        <f>IF(B28="N/A",0,1)</f>
        <v>#N/A</v>
      </c>
      <c r="E28" s="91" t="e">
        <f>+VLOOKUP(B28,cennik!$A:$G,3,FALSE)</f>
        <v>#N/A</v>
      </c>
      <c r="F28" s="91" t="e">
        <f t="shared" ref="F28:F39" si="1">+E28*D28</f>
        <v>#N/A</v>
      </c>
      <c r="G28" s="92" t="e">
        <f>+F28*(100-$G$26)/100</f>
        <v>#N/A</v>
      </c>
      <c r="H28" s="6" t="str">
        <f>cennik!$B$2</f>
        <v>EUR</v>
      </c>
      <c r="I28" s="469" t="str">
        <f>IFERROR(IF((VLOOKUP(B28,cennik!A:L,12,0))="O",texty!$A$250,""),"")</f>
        <v/>
      </c>
      <c r="K28" s="191" t="e">
        <f>IF(D28&gt;0,IF(VLOOKUP(B28,cennik!A:L,12,FALSE)="O",1,""),"")</f>
        <v>#N/A</v>
      </c>
      <c r="L28" s="6"/>
      <c r="M28" s="160"/>
      <c r="N28" s="160"/>
      <c r="O28" s="160"/>
      <c r="Q28" s="5" t="s">
        <v>577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">
      <c r="A29" s="7" t="str">
        <f>+System10!A29</f>
        <v>spodný profil:</v>
      </c>
      <c r="B29" s="16" t="e">
        <f>+VLOOKUP(N5,data!$C$4:$D$83,2,0)</f>
        <v>#N/A</v>
      </c>
      <c r="C29" s="25" t="e">
        <f>IF($B$29=data!$D$64,texty!$A$239,+VLOOKUP($B$29,cennik!$A$3:$G$907,2,FALSE))</f>
        <v>#N/A</v>
      </c>
      <c r="D29" s="17">
        <v>1</v>
      </c>
      <c r="E29" s="91" t="e">
        <f>IF(B29=data!$D$73,0,+VLOOKUP(B29,cennik!$A$3:$G$907,3,FALSE))</f>
        <v>#N/A</v>
      </c>
      <c r="F29" s="91" t="e">
        <f t="shared" si="1"/>
        <v>#N/A</v>
      </c>
      <c r="G29" s="92" t="e">
        <f>+F29*(100-$F$26)/100</f>
        <v>#N/A</v>
      </c>
      <c r="H29" s="6" t="str">
        <f>cennik!$B$2</f>
        <v>EUR</v>
      </c>
      <c r="I29" s="469" t="str">
        <f>IFERROR(IF((VLOOKUP(B29,cennik!A:L,12,0))="O",texty!$A$250,""),"")</f>
        <v/>
      </c>
      <c r="K29" s="191" t="e">
        <f>IF(D29&gt;0,IF(VLOOKUP(B29,cennik!A:L,12,FALSE)="O",1,""),"")</f>
        <v>#N/A</v>
      </c>
      <c r="L29" s="6" t="s">
        <v>567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578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">
      <c r="A30" s="7" t="str">
        <f>+System10!A30</f>
        <v>krycí profil (maska):</v>
      </c>
      <c r="B30" s="16" t="e">
        <f>+VLOOKUP(N5,data!$C$105:$D$195,2,0)</f>
        <v>#N/A</v>
      </c>
      <c r="C30" s="25" t="e">
        <f>IF($B$30=data!$D$64,texty!$A$239,+VLOOKUP($B$30,cennik!$A$3:$G$907,2,FALSE))</f>
        <v>#N/A</v>
      </c>
      <c r="D30" s="17">
        <v>1</v>
      </c>
      <c r="E30" s="91" t="e">
        <f>IF(B30=data!$D$73,0,+VLOOKUP(B30,cennik!$A$3:$G$907,3,FALSE))</f>
        <v>#N/A</v>
      </c>
      <c r="F30" s="91" t="e">
        <f t="shared" si="1"/>
        <v>#N/A</v>
      </c>
      <c r="G30" s="92" t="e">
        <f t="shared" ref="G30:G39" si="2">+F30*(100-$G$26)/100</f>
        <v>#N/A</v>
      </c>
      <c r="H30" s="6" t="str">
        <f>cennik!$B$2</f>
        <v>EUR</v>
      </c>
      <c r="I30" s="469" t="str">
        <f>IFERROR(IF((VLOOKUP(B30,cennik!A:L,12,0))="O",texty!$A$250,""),"")</f>
        <v/>
      </c>
      <c r="K30" s="191" t="e">
        <f>IF(D30&gt;0,IF(VLOOKUP(B30,cennik!A:L,12,FALSE)="O",1,""),"")</f>
        <v>#N/A</v>
      </c>
      <c r="L30" s="6" t="s">
        <v>568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569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">
      <c r="A31" s="7" t="str">
        <f>+System10!A31</f>
        <v>horné vozíky (sady)</v>
      </c>
      <c r="B31" s="16">
        <v>228009</v>
      </c>
      <c r="C31" s="25" t="str">
        <f>+VLOOKUP(B31,cennik!$A:$G,2,FALSE)</f>
        <v>SEVROLL 10204 horný vozík Gemini symetrický 10mm - 2ks</v>
      </c>
      <c r="D31" s="17">
        <f>IF((D50+D51)&gt;D4,0,D4-(D50+D51))</f>
        <v>0</v>
      </c>
      <c r="E31" s="91">
        <f>+VLOOKUP(B31,cennik!$A:$G,3,FALSE)</f>
        <v>5.1322099999999997</v>
      </c>
      <c r="F31" s="91">
        <f t="shared" si="1"/>
        <v>0</v>
      </c>
      <c r="G31" s="92">
        <f t="shared" si="2"/>
        <v>0</v>
      </c>
      <c r="H31" s="6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579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">
      <c r="A32" s="7" t="str">
        <f>+System10!A32</f>
        <v>spodné vozíky (sada)</v>
      </c>
      <c r="B32" s="16">
        <f>IF(F4=M67,328321,229441)</f>
        <v>229441</v>
      </c>
      <c r="C32" s="25" t="str">
        <f>+VLOOKUP(B32,cennik!$A:$G,2,FALSE)</f>
        <v>SEVROLL 10200 spodný vozík WD 10C HI-TEC - 2ks</v>
      </c>
      <c r="D32" s="17">
        <f>+D4</f>
        <v>0</v>
      </c>
      <c r="E32" s="91">
        <f>+VLOOKUP(B32,cennik!$A:$G,3,FALSE)</f>
        <v>6.5952500000000001</v>
      </c>
      <c r="F32" s="91">
        <f t="shared" si="1"/>
        <v>0</v>
      </c>
      <c r="G32" s="92">
        <f t="shared" si="2"/>
        <v>0</v>
      </c>
      <c r="H32" s="6" t="str">
        <f>cennik!$B$2</f>
        <v>EUR</v>
      </c>
      <c r="I32" s="469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570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">
      <c r="A33" s="7" t="str">
        <f>+System10!A33</f>
        <v>dorazový kartáč</v>
      </c>
      <c r="B33" s="16">
        <v>98067</v>
      </c>
      <c r="C33" s="25" t="str">
        <f>+VLOOKUP(B33,cennik!$A:$G,2,FALSE)</f>
        <v>SEVROLL dorazová kefa zásuvná 14x4mm sivá</v>
      </c>
      <c r="D33" s="17">
        <f>CEILING((B4*D4*2/1000),1)</f>
        <v>0</v>
      </c>
      <c r="E33" s="91">
        <f>+VLOOKUP(B33,cennik!$A:$G,3,FALSE)</f>
        <v>0.19361999999999999</v>
      </c>
      <c r="F33" s="91">
        <f t="shared" si="1"/>
        <v>0</v>
      </c>
      <c r="G33" s="92">
        <f t="shared" si="2"/>
        <v>0</v>
      </c>
      <c r="H33" s="6" t="str">
        <f>cennik!$B$2</f>
        <v>EUR</v>
      </c>
      <c r="I33" s="469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">
      <c r="A34" s="7" t="str">
        <f>+System10!A34</f>
        <v>úchytková lišta</v>
      </c>
      <c r="B34" s="16" t="e">
        <f>+VLOOKUP(P7,data!$C$498:$D$499,2,0)</f>
        <v>#N/A</v>
      </c>
      <c r="C34" s="25" t="e">
        <f>+VLOOKUP(B34,cennik!$A:$G,2,FALSE)</f>
        <v>#N/A</v>
      </c>
      <c r="D34" s="17">
        <f>IF(B12&lt;=1347,D4*2/2,D4*2)</f>
        <v>0</v>
      </c>
      <c r="E34" s="91" t="e">
        <f>+VLOOKUP(B34,cennik!$A:$G,3,FALSE)</f>
        <v>#N/A</v>
      </c>
      <c r="F34" s="91" t="e">
        <f t="shared" si="1"/>
        <v>#N/A</v>
      </c>
      <c r="G34" s="92" t="e">
        <f t="shared" si="2"/>
        <v>#N/A</v>
      </c>
      <c r="H34" s="6" t="str">
        <f>cennik!$B$2</f>
        <v>EUR</v>
      </c>
      <c r="I34" s="469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">
      <c r="A35" s="7" t="str">
        <f>+System10!A35</f>
        <v>spojovacia skrutka</v>
      </c>
      <c r="B35" s="6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 t="shared" si="1"/>
        <v>0</v>
      </c>
      <c r="G35" s="92">
        <f t="shared" si="2"/>
        <v>0</v>
      </c>
      <c r="H35" s="6" t="str">
        <f>cennik!$B$2</f>
        <v>EUR</v>
      </c>
      <c r="I35" s="469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">
      <c r="A36" s="7" t="str">
        <f>+System10!A36</f>
        <v>horný profil rámu (vodiaca lišta)</v>
      </c>
      <c r="B36" s="16" t="e">
        <f>+VLOOKUP(O8,data!C305:D322,2,0)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6" t="str">
        <f>cennik!$B$2</f>
        <v>EUR</v>
      </c>
      <c r="I36" s="469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13</v>
      </c>
    </row>
    <row r="37" spans="1:12" ht="12.75" customHeight="1" x14ac:dyDescent="0.2">
      <c r="A37" s="7" t="str">
        <f>+System10!A37</f>
        <v>horný profil rámu (vodiaca lišta)</v>
      </c>
      <c r="B37" s="16" t="e">
        <f>IF(M30&lt;&gt;"jiné",+VLOOKUP(M30,data!C305:D333,2,0),"")</f>
        <v>#DIV/0!</v>
      </c>
      <c r="C37" s="38" t="e">
        <f>IF(M30&lt;&gt;"jiné",+VLOOKUP(B37,cennik!$A$3:$G$701,2,FALSE),texty!$A$2)</f>
        <v>#DIV/0!</v>
      </c>
      <c r="D37" s="64" t="e">
        <f>N30</f>
        <v>#DIV/0!</v>
      </c>
      <c r="E37" s="93" t="e">
        <f>IF(M30&lt;&gt;"jiné",+VLOOKUP(B37,cennik!$A:$G,3,FALSE),0)</f>
        <v>#DIV/0!</v>
      </c>
      <c r="F37" s="91" t="e">
        <f t="shared" si="1"/>
        <v>#DIV/0!</v>
      </c>
      <c r="G37" s="92" t="e">
        <f t="shared" si="2"/>
        <v>#DIV/0!</v>
      </c>
      <c r="H37" s="6" t="str">
        <f>cennik!$B$2</f>
        <v>EUR</v>
      </c>
      <c r="I37" s="469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13</v>
      </c>
    </row>
    <row r="38" spans="1:12" ht="12.75" customHeight="1" x14ac:dyDescent="0.2">
      <c r="A38" s="7" t="str">
        <f>+System10!A38</f>
        <v>horizontálny spodný profil rámu</v>
      </c>
      <c r="B38" s="6" t="e">
        <f>+VLOOKUP(O8,data!$C$370:$D$384,2,0)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6" t="str">
        <f>cennik!$B$2</f>
        <v>EUR</v>
      </c>
      <c r="I38" s="469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13</v>
      </c>
    </row>
    <row r="39" spans="1:12" ht="12.75" customHeight="1" x14ac:dyDescent="0.2">
      <c r="A39" s="7" t="str">
        <f>+System10!A39</f>
        <v>horizontálny spodný profil rámu</v>
      </c>
      <c r="B39" s="16" t="e">
        <f>IF(M30&lt;&gt;"jiné",+VLOOKUP(M30,data!$C$370:$D$398,2,0),"")</f>
        <v>#DIV/0!</v>
      </c>
      <c r="C39" s="25" t="e">
        <f>IF(M30&lt;&gt;"jiné",+VLOOKUP(B39,cennik!$A$3:$G$701,2,FALSE),texty!A2)</f>
        <v>#DIV/0!</v>
      </c>
      <c r="D39" s="64" t="e">
        <f>N30</f>
        <v>#DIV/0!</v>
      </c>
      <c r="E39" s="93" t="e">
        <f>IF(M30&lt;&gt;"jiné",+VLOOKUP(B39,cennik!$A:$G,3,FALSE),0)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6" t="str">
        <f>cennik!$B$2</f>
        <v>EUR</v>
      </c>
      <c r="I39" s="469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13</v>
      </c>
    </row>
    <row r="40" spans="1:12" ht="12.75" customHeight="1" x14ac:dyDescent="0.2">
      <c r="E40" s="94"/>
      <c r="F40" s="94"/>
      <c r="G40" s="94"/>
      <c r="H40" s="6"/>
      <c r="I40" s="469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14</v>
      </c>
    </row>
    <row r="41" spans="1:12" ht="12.75" customHeight="1" x14ac:dyDescent="0.2">
      <c r="A41" s="14" t="str">
        <f>texty!$A$66</f>
        <v>Voliteľné príslušenstvo:</v>
      </c>
      <c r="B41" s="15"/>
      <c r="D41" s="26" t="str">
        <f>System10!$D$41</f>
        <v>zadajte počet:</v>
      </c>
      <c r="E41" s="95"/>
      <c r="F41" s="95"/>
      <c r="G41" s="94"/>
      <c r="H41" s="6"/>
      <c r="I41" s="469" t="str">
        <f>IFERROR(IF((VLOOKUP(B41,cennik!A:L,12,0))="O",texty!$A$250,""),"")</f>
        <v/>
      </c>
      <c r="K41" s="191"/>
      <c r="L41" s="3" t="s">
        <v>14</v>
      </c>
    </row>
    <row r="42" spans="1:12" ht="12.75" customHeight="1" x14ac:dyDescent="0.2">
      <c r="A42" s="7" t="str">
        <f>texty!$A$88</f>
        <v>pozicionér do horného vedenia</v>
      </c>
      <c r="B42" s="15">
        <v>298035</v>
      </c>
      <c r="C42" s="25" t="str">
        <f>+VLOOKUP(B42,cennik!$A:$G,2,FALSE)</f>
        <v>SEVROLL 20326 Fix pozicionér pre horný vozík transparentný</v>
      </c>
      <c r="D42" s="29"/>
      <c r="E42" s="91">
        <f>+VLOOKUP(B42,cennik!$A:$G,3,FALSE)</f>
        <v>1.0837300000000001</v>
      </c>
      <c r="F42" s="96">
        <f t="shared" ref="F42:F53" si="3">+CEILING(D42,1)*E42</f>
        <v>0</v>
      </c>
      <c r="G42" s="92">
        <f t="shared" ref="G42:G55" si="4">+F42*(100-$G$26)/100</f>
        <v>0</v>
      </c>
      <c r="H42" s="6" t="str">
        <f>cennik!$B$2</f>
        <v>EUR</v>
      </c>
      <c r="I42" s="469" t="str">
        <f>IFERROR(IF((VLOOKUP(B42,cennik!A:L,12,0))="O",texty!$A$250,""),"")</f>
        <v/>
      </c>
      <c r="K42" s="191"/>
      <c r="L42" s="3"/>
    </row>
    <row r="43" spans="1:12" ht="12.75" customHeight="1" x14ac:dyDescent="0.2">
      <c r="A43" s="7" t="str">
        <f>+System10!A43</f>
        <v xml:space="preserve">pozicionér </v>
      </c>
      <c r="B43" s="16">
        <f>IF(F4="Gemini",387424,89063)</f>
        <v>89063</v>
      </c>
      <c r="C43" s="25" t="str">
        <f>+VLOOKUP(B43,cennik!$A:$G,2,FALSE)</f>
        <v>SEVROLL 20080 pozicionér spodného vozíka HI-TEC</v>
      </c>
      <c r="D43" s="29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6" t="str">
        <f>cennik!$B$2</f>
        <v>EUR</v>
      </c>
      <c r="I43" s="469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">
      <c r="A44" s="422" t="str">
        <f>texty!$A$228</f>
        <v> Tlmič dorazu MINI do 25 kg (pár)</v>
      </c>
      <c r="B44" s="16">
        <v>318662</v>
      </c>
      <c r="C44" s="25" t="str">
        <f>+VLOOKUP(B44,cennik!$A:$G,2,FALSE)</f>
        <v>SEVROLL 20368-SV tlmič dorazu Mini SV25 (14-25kg)</v>
      </c>
      <c r="D44" s="373"/>
      <c r="E44" s="91">
        <f>+VLOOKUP(B44,cennik!$A:$G,3,FALSE)</f>
        <v>22.75825</v>
      </c>
      <c r="F44" s="96">
        <f t="shared" si="3"/>
        <v>0</v>
      </c>
      <c r="G44" s="92">
        <f t="shared" si="4"/>
        <v>0</v>
      </c>
      <c r="H44" s="24" t="str">
        <f>cennik!$B$2</f>
        <v>EUR</v>
      </c>
      <c r="I44" s="469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">
      <c r="A45" s="422" t="str">
        <f>texty!$A$229</f>
        <v> Tlmič dorazu MINI do 40 kg (pár)</v>
      </c>
      <c r="B45" s="24">
        <v>283956</v>
      </c>
      <c r="C45" s="25" t="str">
        <f>+VLOOKUP(B45,cennik!$A:$G,2,FALSE)</f>
        <v>SEVROLL 20258-SV tlmič dorazu Mini SV40 (25 - 40kg)</v>
      </c>
      <c r="D45" s="373"/>
      <c r="E45" s="91">
        <f>+VLOOKUP(B45,cennik!$A:$G,3,FALSE)</f>
        <v>22.75825</v>
      </c>
      <c r="F45" s="96">
        <f t="shared" si="3"/>
        <v>0</v>
      </c>
      <c r="G45" s="92">
        <f t="shared" si="4"/>
        <v>0</v>
      </c>
      <c r="H45" s="24" t="str">
        <f>cennik!$B$2</f>
        <v>EUR</v>
      </c>
      <c r="I45" s="469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">
      <c r="A46" s="422" t="str">
        <f>texty!$A$230</f>
        <v> Tlmič dorazu MINI do 60 kg (pár)</v>
      </c>
      <c r="B46" s="24">
        <v>351743</v>
      </c>
      <c r="C46" s="25" t="str">
        <f>+VLOOKUP(B46,cennik!$A:$G,2,FALSE)</f>
        <v>SEVROLL 20339-SV tlmič dorazu Mini SV60 (40 - 60kg)</v>
      </c>
      <c r="D46" s="373"/>
      <c r="E46" s="91">
        <f>+VLOOKUP(B46,cennik!$A:$G,3,FALSE)</f>
        <v>22.75825</v>
      </c>
      <c r="F46" s="96">
        <f t="shared" si="3"/>
        <v>0</v>
      </c>
      <c r="G46" s="92">
        <f t="shared" si="4"/>
        <v>0</v>
      </c>
      <c r="H46" s="24" t="str">
        <f>cennik!$B$2</f>
        <v>EUR</v>
      </c>
      <c r="I46" s="469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">
      <c r="A47" s="422" t="str">
        <f>texty!$A$231</f>
        <v> Tlmič pre stredné krídlo do 25 kg</v>
      </c>
      <c r="B47" s="24">
        <v>318663</v>
      </c>
      <c r="C47" s="25" t="str">
        <f>+VLOOKUP(B47,cennik!$A:$G,2,FALSE)</f>
        <v>SEVROLL 20363-SV tlmič Central 10/18mm obojstranný 25kg</v>
      </c>
      <c r="D47" s="373"/>
      <c r="E47" s="91">
        <f>+VLOOKUP(B47,cennik!$A:$G,3,FALSE)</f>
        <v>48.741869999999999</v>
      </c>
      <c r="F47" s="96">
        <f t="shared" si="3"/>
        <v>0</v>
      </c>
      <c r="G47" s="92">
        <f t="shared" si="4"/>
        <v>0</v>
      </c>
      <c r="H47" s="24" t="str">
        <f>cennik!$B$2</f>
        <v>EUR</v>
      </c>
      <c r="I47" s="469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">
      <c r="A48" s="422" t="str">
        <f>texty!$A$232</f>
        <v> Tlmič pre stredné krídlo do 40 kg</v>
      </c>
      <c r="B48" s="24">
        <v>283955</v>
      </c>
      <c r="C48" s="25" t="str">
        <f>+VLOOKUP(B48,cennik!$A:$G,2,FALSE)</f>
        <v>SEVROLL 20319-SV tlmič Central 10/18mm obojstranný 25-40kg</v>
      </c>
      <c r="D48" s="373"/>
      <c r="E48" s="91">
        <f>+VLOOKUP(B48,cennik!$A:$G,3,FALSE)</f>
        <v>48.741869999999999</v>
      </c>
      <c r="F48" s="96">
        <f t="shared" si="3"/>
        <v>0</v>
      </c>
      <c r="G48" s="92">
        <f t="shared" si="4"/>
        <v>0</v>
      </c>
      <c r="H48" s="24" t="str">
        <f>cennik!$B$2</f>
        <v>EUR</v>
      </c>
      <c r="I48" s="469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">
      <c r="A49" s="422" t="str">
        <f>CONCATENATE(texty!A179,)</f>
        <v>skrutka k spodnémi vedeniu</v>
      </c>
      <c r="B49" s="16">
        <v>98019</v>
      </c>
      <c r="C49" s="25" t="str">
        <f>+VLOOKUP(B49,cennik!$A:$G,2,FALSE)</f>
        <v>SEVROLL 20041 skrutka 2,5x18mm polguľatá hlava zinok biely</v>
      </c>
      <c r="D49" s="373"/>
      <c r="E49" s="91">
        <f>+VLOOKUP(B49,cennik!$A:$G,3,FALSE)</f>
        <v>2.9159999999999998E-2</v>
      </c>
      <c r="F49" s="96">
        <f t="shared" si="3"/>
        <v>0</v>
      </c>
      <c r="G49" s="92">
        <f t="shared" si="4"/>
        <v>0</v>
      </c>
      <c r="H49" s="24" t="str">
        <f>cennik!$B$2</f>
        <v>EUR</v>
      </c>
      <c r="I49" s="469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2" ht="12.75" customHeight="1" x14ac:dyDescent="0.2">
      <c r="A50" s="7" t="str">
        <f>System10!A49</f>
        <v>tlmič dorazu (pár) 25 kg</v>
      </c>
      <c r="B50" s="24">
        <v>227185</v>
      </c>
      <c r="C50" s="25" t="str">
        <f>+VLOOKUP(B50,cennik!$A:$G,2,FALSE)</f>
        <v>K-SEVROLL tlmič dorazu 10/18mm 14-25kg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EUR</v>
      </c>
      <c r="I50" s="469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2" ht="12.75" customHeight="1" x14ac:dyDescent="0.2">
      <c r="A51" s="7" t="str">
        <f>texty!$A$98</f>
        <v>tlmič dorazu (pár) 50 kg</v>
      </c>
      <c r="B51" s="24">
        <v>227187</v>
      </c>
      <c r="C51" s="25" t="str">
        <f>+VLOOKUP(B51,cennik!$A:$G,2,FALSE)</f>
        <v>K-SEVROLL tlmič dorazu 10/18mm 25-50kg L+P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6" t="str">
        <f>cennik!$B$2</f>
        <v>EUR</v>
      </c>
      <c r="I51" s="469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">
      <c r="A52" s="7" t="str">
        <f>System10!A51</f>
        <v>spojovací profil H10-3metre</v>
      </c>
      <c r="B52" s="16" t="e">
        <f>+VLOOKUP(P7,data!C457:D468,2,0)</f>
        <v>#N/A</v>
      </c>
      <c r="C52" s="25" t="e">
        <f>+VLOOKUP(B52,cennik!$A:$G,2,FALSE)</f>
        <v>#N/A</v>
      </c>
      <c r="D52" s="29"/>
      <c r="E52" s="91" t="e">
        <f>+VLOOKUP(B52,cennik!$A:$G,3,FALSE)</f>
        <v>#N/A</v>
      </c>
      <c r="F52" s="96" t="e">
        <f t="shared" si="3"/>
        <v>#N/A</v>
      </c>
      <c r="G52" s="92" t="e">
        <f t="shared" si="4"/>
        <v>#N/A</v>
      </c>
      <c r="H52" s="6" t="str">
        <f>cennik!$B$2</f>
        <v>EUR</v>
      </c>
      <c r="I52" s="469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">
      <c r="A53" s="7" t="str">
        <f>System10!A52</f>
        <v>spojovací profil H30-3metre</v>
      </c>
      <c r="B53" s="17" t="e">
        <f>+VLOOKUP(P7,data!C468:D474,2,0)</f>
        <v>#N/A</v>
      </c>
      <c r="C53" s="25" t="e">
        <f>+VLOOKUP(B53,cennik!$A:$G,2,FALSE)</f>
        <v>#N/A</v>
      </c>
      <c r="D53" s="29"/>
      <c r="E53" s="91" t="e">
        <f>+VLOOKUP(B53,cennik!$A:$G,3,FALSE)</f>
        <v>#N/A</v>
      </c>
      <c r="F53" s="96" t="e">
        <f t="shared" si="3"/>
        <v>#N/A</v>
      </c>
      <c r="G53" s="92" t="e">
        <f t="shared" si="4"/>
        <v>#N/A</v>
      </c>
      <c r="H53" s="6" t="str">
        <f>cennik!$B$2</f>
        <v>EUR</v>
      </c>
      <c r="I53" s="469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2" ht="12.75" customHeight="1" x14ac:dyDescent="0.2">
      <c r="A54" s="422" t="str">
        <f>texty!A240</f>
        <v>zámok posuvných dverí</v>
      </c>
      <c r="B54" s="17">
        <v>363019</v>
      </c>
      <c r="C54" s="25" t="str">
        <f>+VLOOKUP(B54,cennik!$A:$G,2,FALSE)</f>
        <v>SEVROLL 20369 zámok na posuvné dvere pre madlo Karat a Prosper</v>
      </c>
      <c r="D54" s="459"/>
      <c r="E54" s="91">
        <f>+VLOOKUP(B54,cennik!$A:$G,3,FALSE)</f>
        <v>36.204189999999997</v>
      </c>
      <c r="F54" s="91">
        <f>+E54*D54</f>
        <v>0</v>
      </c>
      <c r="G54" s="92">
        <f t="shared" si="4"/>
        <v>0</v>
      </c>
      <c r="H54" s="24" t="str">
        <f>cennik!$B$2</f>
        <v>EUR</v>
      </c>
      <c r="I54" s="469" t="str">
        <f>IFERROR(IF((VLOOKUP(B54,cennik!A:L,12,0))="O",texty!$A$250,""),"")</f>
        <v>Na objednávku</v>
      </c>
      <c r="K54" s="191" t="str">
        <f>IF(D54&gt;0,IF(VLOOKUP(B54,cennik!A:L,12,FALSE)="O",1,""),"")</f>
        <v/>
      </c>
      <c r="L54" s="6"/>
    </row>
    <row r="55" spans="1:12" ht="12.75" customHeight="1" x14ac:dyDescent="0.2">
      <c r="A55" s="7" t="str">
        <f>texty!$A$92</f>
        <v>spojovacia skrutka</v>
      </c>
      <c r="B55" s="16">
        <v>89244</v>
      </c>
      <c r="C55" s="25" t="str">
        <f>+VLOOKUP(B55,cennik!$A:$G,2,FALSE)</f>
        <v>SEVROLL 20001 skrutkovrut 6,3x32 SEVROLL a Simple</v>
      </c>
      <c r="D55" s="30"/>
      <c r="E55" s="91">
        <f>+VLOOKUP(B55,cennik!$A:$G,3,FALSE)</f>
        <v>0.15482000000000001</v>
      </c>
      <c r="F55" s="91">
        <f>+E55*D55</f>
        <v>0</v>
      </c>
      <c r="G55" s="92">
        <f t="shared" si="4"/>
        <v>0</v>
      </c>
      <c r="H55" s="6" t="str">
        <f>cennik!$B$2</f>
        <v>EUR</v>
      </c>
      <c r="I55" s="469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2" ht="12.75" customHeight="1" x14ac:dyDescent="0.2">
      <c r="I56" s="469" t="str">
        <f>IFERROR(IF((VLOOKUP(B56,cennik!A:L,12,0))="O",texty!$A$250,""),"")</f>
        <v/>
      </c>
      <c r="K56" s="191" t="str">
        <f>IF(D55&gt;0,IF(VLOOKUP(B55,cennik!A:L,12,FALSE)="O",1,""),"")</f>
        <v/>
      </c>
      <c r="L56" s="6"/>
    </row>
    <row r="57" spans="1:12" ht="12.75" customHeight="1" x14ac:dyDescent="0.2">
      <c r="A57" s="41" t="e">
        <f>CONCATENATE(texty!$A$6,ROUND((C13/1000),1),texty!$A$8)</f>
        <v>#DIV/0!</v>
      </c>
      <c r="B57" s="42"/>
      <c r="C57" s="43"/>
      <c r="D57" s="44"/>
      <c r="E57" s="97"/>
      <c r="F57" s="97"/>
      <c r="G57" s="97"/>
      <c r="H57" s="6"/>
      <c r="I57" s="469" t="str">
        <f>IFERROR(IF((VLOOKUP(B57,cennik!A:L,12,0))="O",texty!$A$250,""),"")</f>
        <v/>
      </c>
      <c r="J57" s="181"/>
      <c r="K57" s="191" t="str">
        <f>IF(D57&gt;0,IF(VLOOKUP(B57,cennik!A:L,12,FALSE)="O",1,""),"")</f>
        <v/>
      </c>
      <c r="L57" s="6"/>
    </row>
    <row r="58" spans="1:12" ht="12.75" customHeight="1" x14ac:dyDescent="0.2">
      <c r="C58" s="40" t="str">
        <f>texty!$A$10</f>
        <v>Potrebná dĺžka tesnenia pri celkovom presklení (nutné objednať celé metre)</v>
      </c>
      <c r="D58" s="39" t="e">
        <f>CEILING(((B9+C9)*2/1000*D4),1)</f>
        <v>#DIV/0!</v>
      </c>
      <c r="E58" s="94"/>
      <c r="F58" s="94"/>
      <c r="G58" s="94"/>
      <c r="H58" s="94"/>
      <c r="I58" s="469" t="str">
        <f>IFERROR(IF((VLOOKUP(B58,cennik!A:L,12,0))="O",texty!$A$250,""),"")</f>
        <v/>
      </c>
      <c r="J58" s="181"/>
      <c r="K58" s="191"/>
      <c r="L58" s="6"/>
    </row>
    <row r="59" spans="1:12" ht="12.75" customHeight="1" x14ac:dyDescent="0.2">
      <c r="A59" s="48" t="str">
        <f>texty!$A$12</f>
        <v>(pri kombináciach s H profilmi je nutné pripočítať potrebnú dĺžku - tesnenie musí byť po celom odvode každého skla</v>
      </c>
      <c r="B59" s="46"/>
      <c r="C59" s="47"/>
      <c r="D59" s="46"/>
      <c r="E59" s="99"/>
      <c r="F59" s="99"/>
      <c r="G59" s="99"/>
      <c r="H59" s="6"/>
      <c r="I59" s="469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">
      <c r="A60" s="7" t="str">
        <f>System10!A59</f>
        <v>tesnenie na sklo 4mm</v>
      </c>
      <c r="B60" s="17">
        <v>89238</v>
      </c>
      <c r="C60" s="25" t="str">
        <f>+VLOOKUP(B60,cennik!$A:$G,2,FALSE)</f>
        <v>SEVROLL 20031-SV tesnenie na sklo 10/4mm</v>
      </c>
      <c r="D60" s="45"/>
      <c r="E60" s="91">
        <f>+VLOOKUP(B60,cennik!$A:$G,3,FALSE)</f>
        <v>0.79988999999999999</v>
      </c>
      <c r="F60" s="96">
        <f>+CEILING(D60,1)*E60</f>
        <v>0</v>
      </c>
      <c r="G60" s="92">
        <f>+F60*(100-$G$26)/100</f>
        <v>0</v>
      </c>
      <c r="H60" s="6" t="str">
        <f>cennik!$B$2</f>
        <v>EUR</v>
      </c>
      <c r="I60" s="469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">
      <c r="A61" s="7" t="str">
        <f>texty!A103</f>
        <v>tesnenie na sklo 4,5 mm</v>
      </c>
      <c r="B61" s="17">
        <v>135164</v>
      </c>
      <c r="C61" s="25" t="str">
        <f>+VLOOKUP(B61,cennik!$A:$G,2,FALSE)</f>
        <v>SEVROLL 20032-SV tesnenie na sklo 10/4,5mm</v>
      </c>
      <c r="D61" s="45"/>
      <c r="E61" s="91">
        <f>+VLOOKUP(B61,cennik!$A:$G,3,FALSE)</f>
        <v>0.79988999999999999</v>
      </c>
      <c r="F61" s="96">
        <f>+CEILING(D61,1)*E61</f>
        <v>0</v>
      </c>
      <c r="G61" s="92">
        <f>+F61*(100-$G$26)/100</f>
        <v>0</v>
      </c>
      <c r="H61" s="6" t="str">
        <f>cennik!$B$2</f>
        <v>EUR</v>
      </c>
      <c r="I61" s="469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3"/>
    </row>
    <row r="62" spans="1:12" ht="12.75" customHeight="1" x14ac:dyDescent="0.2">
      <c r="A62" s="7" t="str">
        <f>System10!A61</f>
        <v>tesnenie na sklo 6mm</v>
      </c>
      <c r="B62" s="17">
        <v>89243</v>
      </c>
      <c r="C62" s="25" t="str">
        <f>+VLOOKUP(B62,cennik!$A:$G,2,FALSE)</f>
        <v>SEVROLL 20033-SV tesnenie na sklo 10/6mm</v>
      </c>
      <c r="D62" s="45"/>
      <c r="E62" s="91">
        <f>+VLOOKUP(B62,cennik!$A:$G,3,FALSE)</f>
        <v>0.79988999999999999</v>
      </c>
      <c r="F62" s="96">
        <f>+CEILING(D62,1)*E62</f>
        <v>0</v>
      </c>
      <c r="G62" s="92">
        <f>+F62*(100-$G$26)/100</f>
        <v>0</v>
      </c>
      <c r="H62" s="6" t="str">
        <f>cennik!$B$2</f>
        <v>EUR</v>
      </c>
      <c r="I62" s="469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5" x14ac:dyDescent="0.2">
      <c r="A63" s="271" t="str">
        <f>texty!$A$190</f>
        <v>Ďalšie príslušenstvo</v>
      </c>
      <c r="E63" s="94"/>
      <c r="F63" s="94"/>
      <c r="G63" s="94"/>
      <c r="H63" s="6"/>
      <c r="I63" s="469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">
      <c r="A64" s="271" t="str">
        <f>texty!$A$244</f>
        <v>Technický nákres tohoto systému</v>
      </c>
      <c r="B64" s="167">
        <v>129677</v>
      </c>
      <c r="C64" s="167" t="str">
        <f>VLOOKUP(B64,cennik!A:C,2,0)</f>
        <v>SEVROLL 20173 montážny prípravok pre lamino 10mm malý</v>
      </c>
      <c r="D64" s="45"/>
      <c r="E64" s="91">
        <f>+VLOOKUP(B64,cennik!$A:$G,3,FALSE)</f>
        <v>5.0214600000000003</v>
      </c>
      <c r="F64" s="96">
        <f>+CEILING(D64,1)*E64</f>
        <v>0</v>
      </c>
      <c r="G64" s="92">
        <f>F64</f>
        <v>0</v>
      </c>
      <c r="H64" s="6" t="str">
        <f>cennik!$B$2</f>
        <v>EUR</v>
      </c>
      <c r="I64" s="469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">
      <c r="B65" s="167">
        <v>128842</v>
      </c>
      <c r="C65" s="167" t="str">
        <f>VLOOKUP(B65,cennik!A:C,2,0)</f>
        <v>SEVROLL 20144 vrták stupňovitý 6,5/9,5mm</v>
      </c>
      <c r="D65" s="45"/>
      <c r="E65" s="91">
        <f>+VLOOKUP(B65,cennik!$A:$G,3,FALSE)</f>
        <v>26.752659999999999</v>
      </c>
      <c r="F65" s="96">
        <f>+CEILING(D65,1)*E65</f>
        <v>0</v>
      </c>
      <c r="G65" s="92">
        <f>F65</f>
        <v>0</v>
      </c>
      <c r="H65" s="6" t="str">
        <f>cennik!$B$2</f>
        <v>EUR</v>
      </c>
      <c r="I65" s="469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  <c r="L65" s="6"/>
    </row>
    <row r="66" spans="1:14" ht="12.75" customHeight="1" x14ac:dyDescent="0.2">
      <c r="A66" s="646" t="str">
        <f>IF(SUM(D50:D51)&gt;0,IF(C7&lt;(B4/3),texty!$A$212,""),"")</f>
        <v/>
      </c>
      <c r="B66" s="646"/>
      <c r="C66" s="646"/>
      <c r="D66" s="646"/>
      <c r="E66" s="646"/>
      <c r="F66" s="646"/>
      <c r="G66" s="646"/>
      <c r="H66" s="646"/>
      <c r="I66" s="646"/>
      <c r="J66" s="646"/>
      <c r="K66" s="134"/>
    </row>
    <row r="67" spans="1:14" ht="12.75" customHeight="1" x14ac:dyDescent="0.2">
      <c r="B67" s="8"/>
      <c r="C67" s="8"/>
      <c r="D67" s="76" t="str">
        <f>texty!$A$15</f>
        <v>CELKOM  (bez DPH)</v>
      </c>
      <c r="E67" s="99"/>
      <c r="F67" s="101" t="e">
        <f>SUM(F28:F65)</f>
        <v>#N/A</v>
      </c>
      <c r="G67" s="101" t="e">
        <f>SUM(G28:G65)</f>
        <v>#N/A</v>
      </c>
      <c r="H67" s="6" t="str">
        <f>cennik!$B$2</f>
        <v>EUR</v>
      </c>
      <c r="J67" s="181"/>
      <c r="K67" s="181"/>
      <c r="L67" s="5" t="str">
        <f>texty!A128</f>
        <v xml:space="preserve">strieborná </v>
      </c>
      <c r="M67" s="21" t="s">
        <v>987</v>
      </c>
    </row>
    <row r="68" spans="1:14" ht="12.75" customHeight="1" x14ac:dyDescent="0.2">
      <c r="A68" s="75" t="str">
        <f>System10!$A$67</f>
        <v>Vaša poznámka:</v>
      </c>
      <c r="B68" s="652"/>
      <c r="C68" s="653"/>
      <c r="D68" s="653"/>
      <c r="E68" s="653"/>
      <c r="F68" s="653"/>
      <c r="G68" s="654"/>
      <c r="I68" s="5"/>
      <c r="L68" s="5" t="str">
        <f>texty!A130</f>
        <v>oliva</v>
      </c>
      <c r="M68" s="21" t="s">
        <v>43</v>
      </c>
    </row>
    <row r="69" spans="1:14" ht="12.75" customHeight="1" x14ac:dyDescent="0.2">
      <c r="A69" s="648">
        <f>profil!$U$15</f>
        <v>0</v>
      </c>
      <c r="B69" s="649"/>
      <c r="C69" s="649"/>
      <c r="D69" s="649"/>
      <c r="E69" s="649"/>
      <c r="F69" s="649"/>
      <c r="G69" s="649"/>
      <c r="H69" s="649"/>
    </row>
    <row r="70" spans="1:14" ht="12.75" customHeight="1" x14ac:dyDescent="0.2">
      <c r="A70" s="650">
        <f>IF(N70=1,texty!$A$215,IF(K70&gt;0,texty!$A$214,""))</f>
        <v>0</v>
      </c>
      <c r="B70" s="650"/>
      <c r="C70" s="650"/>
      <c r="D70" s="650"/>
      <c r="E70" s="650"/>
      <c r="F70" s="650"/>
      <c r="G70" s="650"/>
      <c r="H70" s="650"/>
      <c r="K70" s="6" t="e">
        <f>SUM(K28:K65)</f>
        <v>#N/A</v>
      </c>
      <c r="N70" s="5">
        <f>IF(ISERROR(K70),1,0)</f>
        <v>1</v>
      </c>
    </row>
    <row r="71" spans="1:14" ht="12.75" customHeight="1" x14ac:dyDescent="0.2"/>
    <row r="72" spans="1:14" ht="12.75" customHeight="1" x14ac:dyDescent="0.2"/>
    <row r="73" spans="1:14" ht="12.75" customHeight="1" x14ac:dyDescent="0.2"/>
  </sheetData>
  <sheetProtection algorithmName="SHA-512" hashValue="8dM79CBNO7aakU6d45vfmhwccq2u9VOxFj0qlcYBqYiJ8d8ZwYMFEItlwtu9IeJXsXQxqSGpRsLS5hswRRstvg==" saltValue="1Sgyfo4ttVj287ivI4JHKQ==" spinCount="100000" sheet="1" objects="1" scenarios="1" selectLockedCells="1"/>
  <mergeCells count="13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A66:J66"/>
    <mergeCell ref="G4:I6"/>
    <mergeCell ref="I19:I20"/>
    <mergeCell ref="I21:I22"/>
  </mergeCells>
  <conditionalFormatting sqref="A14">
    <cfRule type="expression" dxfId="197" priority="3">
      <formula>SUM($D$47:$D$48)&gt;0</formula>
    </cfRule>
  </conditionalFormatting>
  <conditionalFormatting sqref="D6">
    <cfRule type="expression" dxfId="195" priority="7">
      <formula>$D$4=4</formula>
    </cfRule>
    <cfRule type="expression" dxfId="194" priority="8">
      <formula>$D$4&lt;&gt;4</formula>
    </cfRule>
  </conditionalFormatting>
  <conditionalFormatting sqref="D55">
    <cfRule type="expression" dxfId="193" priority="9" stopIfTrue="1">
      <formula>IF(#REF!&gt;0,IF($D$55=0,1,0),0)</formula>
    </cfRule>
  </conditionalFormatting>
  <conditionalFormatting sqref="G4">
    <cfRule type="expression" dxfId="192" priority="6">
      <formula>$D$4=4</formula>
    </cfRule>
  </conditionalFormatting>
  <conditionalFormatting sqref="I19:I20">
    <cfRule type="expression" dxfId="191" priority="4">
      <formula>$F$4=$M$68</formula>
    </cfRule>
  </conditionalFormatting>
  <conditionalFormatting sqref="I21:I22">
    <cfRule type="expression" dxfId="190" priority="5">
      <formula>$F$4=$M$67</formula>
    </cfRule>
  </conditionalFormatting>
  <dataValidations count="7">
    <dataValidation type="decimal" allowBlank="1" showInputMessage="1" showErrorMessage="1" errorTitle="Nelze" error="Maximální výška je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E6: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71"/>
  <sheetViews>
    <sheetView showGridLines="0" zoomScale="85" zoomScaleNormal="85" workbookViewId="0">
      <selection activeCell="F4" sqref="F4"/>
    </sheetView>
  </sheetViews>
  <sheetFormatPr defaultColWidth="0" defaultRowHeight="12.75" customHeight="1" zeroHeight="1" x14ac:dyDescent="0.2"/>
  <cols>
    <col min="1" max="1" width="39.42578125" style="5" customWidth="1"/>
    <col min="2" max="2" width="15.7109375" style="5" customWidth="1"/>
    <col min="3" max="3" width="37.42578125" style="5" customWidth="1"/>
    <col min="4" max="4" width="13.7109375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257" width="0" style="5" hidden="1" customWidth="1"/>
    <col min="258" max="16384" width="9.140625" style="5" hidden="1"/>
  </cols>
  <sheetData>
    <row r="1" spans="1:22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 x14ac:dyDescent="0.2">
      <c r="A2" s="523" t="s">
        <v>44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2" ht="26.25" thickBot="1" x14ac:dyDescent="0.25">
      <c r="A3" s="524" t="str">
        <f>CONCATENATE(texty!A243," ",5,".",50)</f>
        <v>katalóg kovania 2018 str. 5.50</v>
      </c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20" t="str">
        <f>texty!A38</f>
        <v>typ spodného vedenia</v>
      </c>
      <c r="G3" s="6"/>
      <c r="H3" s="6"/>
      <c r="L3" s="6"/>
    </row>
    <row r="4" spans="1:22" ht="18" customHeight="1" x14ac:dyDescent="0.2">
      <c r="A4" s="10" t="str">
        <f>+System10!A4</f>
        <v>VNÚTORNÝ ROZMER SKRINE:</v>
      </c>
      <c r="B4" s="56"/>
      <c r="C4" s="56"/>
      <c r="D4" s="22"/>
      <c r="E4" s="22"/>
      <c r="F4" s="458"/>
      <c r="G4" s="647"/>
      <c r="H4" s="647"/>
      <c r="I4" s="647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">
      <c r="A5" s="10"/>
      <c r="B5" s="651" t="str">
        <f>+System10!B5</f>
        <v>vypíšte týchto 5 políčok !!! Údaje v mm</v>
      </c>
      <c r="C5" s="651"/>
      <c r="D5" s="651"/>
      <c r="E5" s="651"/>
      <c r="F5" s="651"/>
      <c r="G5" s="647"/>
      <c r="H5" s="647"/>
      <c r="I5" s="647"/>
      <c r="K5" s="190"/>
      <c r="L5" s="23" t="str">
        <f>CONCATENATE(L4,"-",E4)</f>
        <v>1700-</v>
      </c>
      <c r="M5" s="21"/>
      <c r="N5" s="23" t="str">
        <f>CONCATENATE(N4,"-",E4,", ",F4)</f>
        <v xml:space="preserve">1700-, </v>
      </c>
    </row>
    <row r="6" spans="1:22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R6" s="636" t="s">
        <v>557</v>
      </c>
      <c r="S6" s="636" t="s">
        <v>558</v>
      </c>
      <c r="T6" s="636" t="s">
        <v>559</v>
      </c>
      <c r="U6" s="636" t="s">
        <v>560</v>
      </c>
    </row>
    <row r="7" spans="1:22" ht="12.75" customHeight="1" x14ac:dyDescent="0.2">
      <c r="A7" s="10" t="str">
        <f>texty!A71</f>
        <v>krídlo dverí:</v>
      </c>
      <c r="B7" s="57">
        <f>+B4-40</f>
        <v>-40</v>
      </c>
      <c r="C7" s="59" t="e">
        <f>+(C4-3+(22*(D4-1)))/D4+IF(AND(D4=4,D6=2),M1,0)</f>
        <v>#DIV/0!</v>
      </c>
      <c r="D7" s="8"/>
      <c r="E7" s="8"/>
      <c r="F7" s="8"/>
      <c r="G7" s="50" t="str">
        <f>texty!$A$39</f>
        <v>V prípade použitia skla ako výplne</v>
      </c>
      <c r="H7" s="6"/>
      <c r="L7" s="6"/>
      <c r="O7" s="17" t="e">
        <f>IF(L11="jiné",M12,L11)</f>
        <v>#DIV/0!</v>
      </c>
      <c r="P7" s="21">
        <f>+E4</f>
        <v>0</v>
      </c>
      <c r="R7" s="636"/>
      <c r="S7" s="636"/>
      <c r="T7" s="636"/>
      <c r="U7" s="636"/>
    </row>
    <row r="8" spans="1:22" ht="12.75" customHeight="1" x14ac:dyDescent="0.2">
      <c r="A8" s="10" t="str">
        <f>texty!A72</f>
        <v>rozmer výplne 10 mm:</v>
      </c>
      <c r="B8" s="57">
        <f>+B7-64</f>
        <v>-104</v>
      </c>
      <c r="C8" s="59" t="e">
        <f>+C7-25</f>
        <v>#DIV/0!</v>
      </c>
      <c r="D8" s="8"/>
      <c r="E8" s="8"/>
      <c r="F8" s="8"/>
      <c r="G8" s="50" t="str">
        <f>texty!$A$40</f>
        <v>je treba použiť bezpečnostné sklo</v>
      </c>
      <c r="H8" s="6"/>
      <c r="L8" s="6" t="s">
        <v>60</v>
      </c>
      <c r="M8" s="5" t="s">
        <v>61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">
      <c r="A9" s="10" t="str">
        <f>texty!A73</f>
        <v>rozmer zrkadla / skla</v>
      </c>
      <c r="B9" s="57">
        <f>+B8</f>
        <v>-104</v>
      </c>
      <c r="C9" s="59" t="e">
        <f>+C8-4</f>
        <v>#DIV/0!</v>
      </c>
      <c r="D9" s="8"/>
      <c r="E9" s="8"/>
      <c r="F9" s="8"/>
      <c r="G9" s="50" t="str">
        <f>texty!$A$41</f>
        <v>alebo sklo zabezpečiť ochrannou fóliou</v>
      </c>
      <c r="H9" s="6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562</v>
      </c>
    </row>
    <row r="10" spans="1:22" ht="12.75" customHeight="1" x14ac:dyDescent="0.2">
      <c r="A10" s="10" t="str">
        <f>texty!A74</f>
        <v>dĺžka vodiacej a krycej lišty krídla</v>
      </c>
      <c r="B10" s="57"/>
      <c r="C10" s="60" t="e">
        <f>+C7-42</f>
        <v>#DIV/0!</v>
      </c>
      <c r="D10" s="8"/>
      <c r="E10" s="8"/>
      <c r="F10" s="8"/>
      <c r="G10" s="49"/>
      <c r="H10" s="6"/>
      <c r="L10" s="5" t="s">
        <v>59</v>
      </c>
      <c r="O10" s="17" t="e">
        <f>IF(L11="jiné",M13,"")</f>
        <v>#DIV/0!</v>
      </c>
      <c r="P10" s="21">
        <f>+E4</f>
        <v>0</v>
      </c>
      <c r="Q10" s="5">
        <v>3</v>
      </c>
      <c r="R10" s="159" t="e">
        <f t="shared" si="0"/>
        <v>#DIV/0!</v>
      </c>
    </row>
    <row r="11" spans="1:22" ht="12.75" customHeight="1" x14ac:dyDescent="0.2">
      <c r="A11" s="10" t="str">
        <f>texty!A75</f>
        <v>Horný/spodný profil</v>
      </c>
      <c r="B11" s="57"/>
      <c r="C11" s="189">
        <f>+C4</f>
        <v>0</v>
      </c>
      <c r="D11" s="8"/>
      <c r="E11" s="8"/>
      <c r="F11" s="8"/>
      <c r="G11" s="3" t="str">
        <f>texty!$A$43</f>
        <v>Maximálna hmotnosť krídla je 50 kg</v>
      </c>
      <c r="H11" s="6"/>
      <c r="L11" s="36" t="e">
        <f>IF((L9+M9)&lt;1700,1700,IF((L9+M9)&lt;2350,2350,IF((L9+M9)&lt;3000,3000,"jiné")))</f>
        <v>#DIV/0!</v>
      </c>
      <c r="N11" s="5" t="s">
        <v>62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">
      <c r="A12" s="10" t="str">
        <f>texty!A76</f>
        <v>úchytková lišta</v>
      </c>
      <c r="B12" s="488">
        <f>+B7</f>
        <v>-40</v>
      </c>
      <c r="C12" s="489"/>
      <c r="D12" s="8"/>
      <c r="E12" s="8"/>
      <c r="F12" s="8"/>
      <c r="G12" s="6"/>
      <c r="H12" s="6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">
      <c r="A13" s="10" t="str">
        <f>texty!A77</f>
        <v>dĺžka tesnenia na sklo na jednom krídle</v>
      </c>
      <c r="B13" s="58"/>
      <c r="C13" s="144" t="e">
        <f>ROUND(B8*2+C9*2,0)</f>
        <v>#DIV/0!</v>
      </c>
      <c r="D13" s="8"/>
      <c r="E13" s="8"/>
      <c r="F13" s="8"/>
      <c r="G13" s="6"/>
      <c r="H13" s="6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4" x14ac:dyDescent="0.2">
      <c r="A14" s="635" t="str">
        <f>IF(SUM(D47:D48)&gt;0,texty!A245,"")</f>
        <v/>
      </c>
      <c r="B14" s="635"/>
      <c r="C14" s="490" t="str">
        <f>texty!A78</f>
        <v>dodatočné odpočty výšky vypočítaných výplní pri použití deliacich profilov výplne:</v>
      </c>
      <c r="D14" s="8"/>
      <c r="E14" s="8"/>
      <c r="F14" s="8"/>
      <c r="G14" s="6"/>
      <c r="H14" s="6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">
      <c r="A15" s="635"/>
      <c r="B15" s="635"/>
      <c r="C15" s="490"/>
      <c r="D15" s="8"/>
      <c r="E15" s="8"/>
      <c r="F15" s="8"/>
      <c r="G15" s="6"/>
      <c r="H15" s="6"/>
      <c r="L15" s="6"/>
      <c r="R15" s="159"/>
    </row>
    <row r="16" spans="1:22" x14ac:dyDescent="0.2">
      <c r="A16" s="422"/>
      <c r="B16" s="17"/>
      <c r="C16" s="490"/>
      <c r="D16" s="8"/>
      <c r="E16" s="8"/>
      <c r="F16" s="8"/>
      <c r="G16" s="6"/>
      <c r="H16" s="6"/>
      <c r="L16" s="6"/>
      <c r="R16" s="159"/>
    </row>
    <row r="17" spans="1:22" ht="12.75" customHeight="1" x14ac:dyDescent="0.2">
      <c r="B17" s="17"/>
      <c r="C17" s="433"/>
      <c r="D17" s="8"/>
      <c r="E17" s="8"/>
      <c r="F17" s="8"/>
      <c r="G17" s="6"/>
      <c r="H17" s="6"/>
      <c r="L17" s="6"/>
      <c r="M17" s="5" t="e">
        <f>M14-C4</f>
        <v>#DIV/0!</v>
      </c>
      <c r="Q17" s="5" t="s">
        <v>561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">
      <c r="A18" s="422"/>
      <c r="B18" s="17"/>
      <c r="C18" s="433"/>
      <c r="D18" s="8"/>
      <c r="E18" s="8"/>
      <c r="F18" s="8"/>
      <c r="G18" s="6"/>
      <c r="H18" s="6"/>
      <c r="L18" s="6"/>
    </row>
    <row r="19" spans="1:22" ht="14.25" customHeight="1" x14ac:dyDescent="0.2">
      <c r="A19" s="422"/>
      <c r="B19" s="484" t="str">
        <f>texty!A242</f>
        <v>dilatácia 4 mm</v>
      </c>
      <c r="C19" s="119"/>
      <c r="D19" s="8"/>
      <c r="E19" s="8"/>
      <c r="F19" s="8"/>
      <c r="G19" s="6"/>
      <c r="H19" s="6"/>
      <c r="I19" s="638" t="s">
        <v>993</v>
      </c>
      <c r="L19" s="6"/>
    </row>
    <row r="20" spans="1:22" ht="16.5" customHeight="1" x14ac:dyDescent="0.2">
      <c r="A20" s="7"/>
      <c r="B20" s="8"/>
      <c r="C20" s="8"/>
      <c r="E20" s="8"/>
      <c r="F20" s="8"/>
      <c r="G20" s="6"/>
      <c r="H20" s="6"/>
      <c r="I20" s="638"/>
      <c r="L20" s="6"/>
      <c r="M20" s="6"/>
      <c r="R20" s="5" t="s">
        <v>581</v>
      </c>
      <c r="S20" s="5" t="s">
        <v>580</v>
      </c>
      <c r="T20" s="5">
        <v>1700</v>
      </c>
      <c r="U20" s="5">
        <v>2350</v>
      </c>
      <c r="V20" s="5">
        <v>3000</v>
      </c>
    </row>
    <row r="21" spans="1:22" ht="16.5" customHeight="1" x14ac:dyDescent="0.2">
      <c r="A21" s="7"/>
      <c r="B21" s="8"/>
      <c r="C21" s="8"/>
      <c r="D21" s="13"/>
      <c r="E21" s="8"/>
      <c r="F21" s="8"/>
      <c r="G21" s="6"/>
      <c r="H21" s="6"/>
      <c r="I21" s="639" t="s">
        <v>994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">
      <c r="A22" s="7"/>
      <c r="B22" s="8"/>
      <c r="C22" s="8"/>
      <c r="D22" s="8"/>
      <c r="E22" s="8"/>
      <c r="F22" s="8"/>
      <c r="G22" s="6"/>
      <c r="H22" s="6"/>
      <c r="I22" s="639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">
      <c r="A23" s="7"/>
      <c r="B23" s="8"/>
      <c r="C23" s="8"/>
      <c r="D23" s="8"/>
      <c r="E23" s="8"/>
      <c r="F23" s="8"/>
      <c r="G23" s="6"/>
      <c r="H23" s="6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1700-0</v>
      </c>
      <c r="M24" s="6" t="e">
        <f>SUM(T21:T32)</f>
        <v>#DIV/0!</v>
      </c>
      <c r="N24" s="5">
        <v>1700</v>
      </c>
      <c r="P24" s="5" t="s">
        <v>563</v>
      </c>
      <c r="Q24" s="162" t="s">
        <v>564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">
      <c r="A25" s="7"/>
      <c r="B25" s="8"/>
      <c r="D25" s="8"/>
      <c r="E25" s="8"/>
      <c r="F25" s="8"/>
      <c r="G25" s="130" t="str">
        <f>+System10!G25</f>
        <v>partnerská zľava:</v>
      </c>
      <c r="H25" s="6"/>
      <c r="L25" s="5" t="str">
        <f>CONCATENATE(N25,"-",$P$7)</f>
        <v>2350-0</v>
      </c>
      <c r="M25" s="6" t="e">
        <f>SUM(U21:U32)</f>
        <v>#DIV/0!</v>
      </c>
      <c r="N25" s="5">
        <v>2350</v>
      </c>
      <c r="Q25" s="5" t="s">
        <v>576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">
      <c r="A26" s="14" t="str">
        <f>+System10!A26</f>
        <v>Objednávacie kódy, ceny:</v>
      </c>
      <c r="B26" s="8"/>
      <c r="D26" s="8"/>
      <c r="E26" s="8"/>
      <c r="F26" s="8"/>
      <c r="G26" s="142">
        <f>profil!C15</f>
        <v>0</v>
      </c>
      <c r="H26" s="28"/>
      <c r="L26" s="5" t="str">
        <f>CONCATENATE(N26,"-",$P$7)</f>
        <v>3000-0</v>
      </c>
      <c r="M26" s="6" t="e">
        <f>SUM(V21:V32)</f>
        <v>#DIV/0!</v>
      </c>
      <c r="N26" s="5">
        <v>3000</v>
      </c>
      <c r="O26" s="160"/>
      <c r="Q26" s="5" t="s">
        <v>565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">
      <c r="A27" s="7"/>
      <c r="B27" s="19" t="str">
        <f>+'Romeo II'!B27</f>
        <v>kód</v>
      </c>
      <c r="C27" s="18" t="str">
        <f>+'Romeo II'!C27</f>
        <v>názov</v>
      </c>
      <c r="D27" s="19" t="str">
        <f>+'Romeo II'!D27</f>
        <v>ks</v>
      </c>
      <c r="E27" s="19" t="str">
        <f>+'Romeo II'!E27</f>
        <v>cena/ks</v>
      </c>
      <c r="F27" s="19" t="str">
        <f>+'Romeo II'!F27</f>
        <v>cena celkom</v>
      </c>
      <c r="G27" s="20" t="str">
        <f>+'Romeo II'!G27</f>
        <v>celkom netto:</v>
      </c>
      <c r="H27" s="6"/>
      <c r="I27" s="18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566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">
      <c r="A28" s="7" t="str">
        <f>+System10!A28</f>
        <v>Horný profil:</v>
      </c>
      <c r="B28" s="16" t="e">
        <f>+VLOOKUP(L5,data!$C$196:$D$235,2,0)</f>
        <v>#N/A</v>
      </c>
      <c r="C28" s="25" t="e">
        <f>+VLOOKUP(B28,cennik!$A$3:$G$701,2,FALSE)</f>
        <v>#N/A</v>
      </c>
      <c r="D28" s="17" t="e">
        <f>IF(B28="N/A",0,1)</f>
        <v>#N/A</v>
      </c>
      <c r="E28" s="91" t="e">
        <f>+VLOOKUP(B28,cennik!$A:$G,3,FALSE)</f>
        <v>#N/A</v>
      </c>
      <c r="F28" s="91" t="e">
        <f>+E28*D28</f>
        <v>#N/A</v>
      </c>
      <c r="G28" s="92" t="e">
        <f t="shared" ref="G28:G39" si="1">+F28*(100-$G$26)/100</f>
        <v>#N/A</v>
      </c>
      <c r="H28" s="6" t="str">
        <f>cennik!$B$2</f>
        <v>EUR</v>
      </c>
      <c r="I28" s="469" t="str">
        <f>IFERROR(IF((VLOOKUP(B28,cennik!A:L,12,0))="O",texty!$A$250,""),"")</f>
        <v/>
      </c>
      <c r="K28" s="191" t="e">
        <f>IF(D28&gt;0,IF(VLOOKUP(B28,cennik!A:L,12,FALSE)="O",1,""),"")</f>
        <v>#N/A</v>
      </c>
      <c r="L28" s="6"/>
      <c r="M28" s="160"/>
      <c r="N28" s="160"/>
      <c r="O28" s="160"/>
      <c r="Q28" s="5" t="s">
        <v>577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">
      <c r="A29" s="7" t="str">
        <f>+System10!A29</f>
        <v>spodný profil:</v>
      </c>
      <c r="B29" s="16" t="e">
        <f>+VLOOKUP(N5,data!$C$4:$D$83,2,0)</f>
        <v>#N/A</v>
      </c>
      <c r="C29" s="25" t="e">
        <f>IF($B$29=data!$D$64,texty!$A$239,+VLOOKUP($B$29,cennik!$A$3:$G$907,2,FALSE))</f>
        <v>#N/A</v>
      </c>
      <c r="D29" s="17">
        <v>1</v>
      </c>
      <c r="E29" s="91" t="e">
        <f>+VLOOKUP(B29,cennik!$A:$G,3,FALSE)</f>
        <v>#N/A</v>
      </c>
      <c r="F29" s="91" t="e">
        <f>+E29*D29</f>
        <v>#N/A</v>
      </c>
      <c r="G29" s="92" t="e">
        <f t="shared" si="1"/>
        <v>#N/A</v>
      </c>
      <c r="H29" s="6" t="str">
        <f>cennik!$B$2</f>
        <v>EUR</v>
      </c>
      <c r="I29" s="469" t="str">
        <f>IFERROR(IF((VLOOKUP(B29,cennik!A:L,12,0))="O",texty!$A$250,""),"")</f>
        <v/>
      </c>
      <c r="K29" s="191" t="e">
        <f>IF(D29&gt;0,IF(VLOOKUP(B29,cennik!A:L,12,FALSE)="O",1,""),"")</f>
        <v>#N/A</v>
      </c>
      <c r="L29" s="6" t="s">
        <v>567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578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">
      <c r="A30" s="7" t="str">
        <f>+System10!A30</f>
        <v>krycí profil (maska):</v>
      </c>
      <c r="B30" s="16" t="e">
        <f>+VLOOKUP(N5,data!$C$105:$D$195,2,0)</f>
        <v>#N/A</v>
      </c>
      <c r="C30" s="25" t="e">
        <f>IF($B$30=data!$D$64,texty!$A$239,+VLOOKUP($B$30,cennik!$A$3:$G$907,2,FALSE))</f>
        <v>#N/A</v>
      </c>
      <c r="D30" s="17">
        <v>1</v>
      </c>
      <c r="E30" s="91" t="e">
        <f>IF(B30=data!$D$73,0,+VLOOKUP(B30,cennik!$A$3:$G$907,3,FALSE))</f>
        <v>#N/A</v>
      </c>
      <c r="F30" s="91" t="e">
        <f>+E30*D30</f>
        <v>#N/A</v>
      </c>
      <c r="G30" s="92" t="e">
        <f t="shared" si="1"/>
        <v>#N/A</v>
      </c>
      <c r="H30" s="24" t="str">
        <f>cennik!$B$2</f>
        <v>EUR</v>
      </c>
      <c r="I30" s="469" t="str">
        <f>IFERROR(IF((VLOOKUP(B30,cennik!A:L,12,0))="O",texty!$A$250,""),"")</f>
        <v/>
      </c>
      <c r="K30" s="191" t="e">
        <f>IF(D30&gt;0,IF(VLOOKUP(B30,cennik!A:L,12,FALSE)="O",1,""),"")</f>
        <v>#N/A</v>
      </c>
      <c r="L30" s="6" t="s">
        <v>568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569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">
      <c r="A31" s="7" t="str">
        <f>+System10!A31</f>
        <v>horné vozíky (sady)</v>
      </c>
      <c r="B31" s="16">
        <v>228009</v>
      </c>
      <c r="C31" s="25" t="str">
        <f>+VLOOKUP(B31,cennik!$A:$G,2,FALSE)</f>
        <v>SEVROLL 10204 horný vozík Gemini symetrický 10mm - 2ks</v>
      </c>
      <c r="D31" s="17">
        <f>IF((D49+D50)&gt;D4,0,D4-(D49+D50))</f>
        <v>0</v>
      </c>
      <c r="E31" s="91">
        <f>+VLOOKUP(B31,cennik!$A:$G,3,FALSE)</f>
        <v>5.1322099999999997</v>
      </c>
      <c r="F31" s="91">
        <f t="shared" ref="F31:F39" si="2">+E31*D31</f>
        <v>0</v>
      </c>
      <c r="G31" s="92">
        <f t="shared" si="1"/>
        <v>0</v>
      </c>
      <c r="H31" s="6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579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">
      <c r="A32" s="7" t="str">
        <f>+System10!A32</f>
        <v>spodné vozíky (sada)</v>
      </c>
      <c r="B32" s="16">
        <f>IF(F4=M66,328321,229441)</f>
        <v>229441</v>
      </c>
      <c r="C32" s="25" t="str">
        <f>+VLOOKUP(B32,cennik!$A:$G,2,FALSE)</f>
        <v>SEVROLL 10200 spodný vozík WD 10C HI-TEC - 2ks</v>
      </c>
      <c r="D32" s="17">
        <f>+D4</f>
        <v>0</v>
      </c>
      <c r="E32" s="91">
        <f>+VLOOKUP(B32,cennik!$A:$G,3,FALSE)</f>
        <v>6.5952500000000001</v>
      </c>
      <c r="F32" s="91">
        <f t="shared" si="2"/>
        <v>0</v>
      </c>
      <c r="G32" s="92">
        <f t="shared" si="1"/>
        <v>0</v>
      </c>
      <c r="H32" s="6" t="str">
        <f>cennik!$B$2</f>
        <v>EUR</v>
      </c>
      <c r="I32" s="469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570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">
      <c r="A33" s="7" t="str">
        <f>+System10!A33</f>
        <v>dorazový kartáč</v>
      </c>
      <c r="B33" s="16">
        <v>98067</v>
      </c>
      <c r="C33" s="25" t="str">
        <f>+VLOOKUP(B33,cennik!$A:$G,2,FALSE)</f>
        <v>SEVROLL dorazová kefa zásuvná 14x4mm sivá</v>
      </c>
      <c r="D33" s="17">
        <f>CEILING((B4*D4*2/1000),1)</f>
        <v>0</v>
      </c>
      <c r="E33" s="91">
        <f>+VLOOKUP(B33,cennik!$A:$G,3,FALSE)</f>
        <v>0.19361999999999999</v>
      </c>
      <c r="F33" s="91">
        <f t="shared" si="2"/>
        <v>0</v>
      </c>
      <c r="G33" s="92">
        <f t="shared" si="1"/>
        <v>0</v>
      </c>
      <c r="H33" s="6" t="str">
        <f>cennik!$B$2</f>
        <v>EUR</v>
      </c>
      <c r="I33" s="469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">
      <c r="A34" s="7" t="str">
        <f>+System10!A34</f>
        <v>úchytková lišta</v>
      </c>
      <c r="B34" s="16" t="e">
        <f>+VLOOKUP(P7,data!$C$495:$D$496,2,0)</f>
        <v>#N/A</v>
      </c>
      <c r="C34" s="25" t="e">
        <f>+VLOOKUP(B34,cennik!$A:$G,2,FALSE)</f>
        <v>#N/A</v>
      </c>
      <c r="D34" s="17">
        <f>IF(B12&lt;=1347,D4*2/2,D4*2)</f>
        <v>0</v>
      </c>
      <c r="E34" s="91" t="e">
        <f>+VLOOKUP(B34,cennik!$A:$G,3,FALSE)</f>
        <v>#N/A</v>
      </c>
      <c r="F34" s="91" t="e">
        <f t="shared" si="2"/>
        <v>#N/A</v>
      </c>
      <c r="G34" s="92" t="e">
        <f t="shared" si="1"/>
        <v>#N/A</v>
      </c>
      <c r="H34" s="6" t="str">
        <f>cennik!$B$2</f>
        <v>EUR</v>
      </c>
      <c r="I34" s="469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">
      <c r="A35" s="7" t="str">
        <f>+System10!A35</f>
        <v>spojovacia skrutka</v>
      </c>
      <c r="B35" s="6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 t="shared" si="2"/>
        <v>0</v>
      </c>
      <c r="G35" s="92">
        <f t="shared" si="1"/>
        <v>0</v>
      </c>
      <c r="H35" s="6" t="str">
        <f>cennik!$B$2</f>
        <v>EUR</v>
      </c>
      <c r="I35" s="469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">
      <c r="A36" s="7" t="str">
        <f>+System10!A36</f>
        <v>horný profil rámu (vodiaca lišta)</v>
      </c>
      <c r="B36" s="16" t="e">
        <f>+VLOOKUP(O8,data!C305:D322,2,0)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6" t="str">
        <f>cennik!$B$2</f>
        <v>EUR</v>
      </c>
      <c r="I36" s="469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13</v>
      </c>
    </row>
    <row r="37" spans="1:12" ht="12.75" customHeight="1" x14ac:dyDescent="0.2">
      <c r="A37" s="7" t="str">
        <f>+System10!A37</f>
        <v>horný profil rámu (vodiaca lišta)</v>
      </c>
      <c r="B37" s="16" t="e">
        <f>IF(M30&lt;&gt;"jiné",+VLOOKUP(M30,data!C305:D333,2,0),"")</f>
        <v>#DIV/0!</v>
      </c>
      <c r="C37" s="38" t="e">
        <f>IF(M30&lt;&gt;"jiné",+VLOOKUP(B37,cennik!$A$3:$G$701,2,FALSE),texty!$A$2)</f>
        <v>#DIV/0!</v>
      </c>
      <c r="D37" s="64" t="e">
        <f>N30</f>
        <v>#DIV/0!</v>
      </c>
      <c r="E37" s="93" t="e">
        <f>IF(M30&lt;&gt;"jiné",+VLOOKUP(B37,cennik!$A:$G,3,FALSE),0)</f>
        <v>#DIV/0!</v>
      </c>
      <c r="F37" s="91" t="e">
        <f t="shared" si="2"/>
        <v>#DIV/0!</v>
      </c>
      <c r="G37" s="92" t="e">
        <f t="shared" si="1"/>
        <v>#DIV/0!</v>
      </c>
      <c r="H37" s="6" t="str">
        <f>cennik!$B$2</f>
        <v>EUR</v>
      </c>
      <c r="I37" s="469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13</v>
      </c>
    </row>
    <row r="38" spans="1:12" ht="12.75" customHeight="1" x14ac:dyDescent="0.2">
      <c r="A38" s="7" t="str">
        <f>+System10!A38</f>
        <v>horizontálny spodný profil rámu</v>
      </c>
      <c r="B38" s="6" t="e">
        <f>+VLOOKUP(O8,data!$C$370:$D$384,2,0)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6" t="str">
        <f>cennik!$B$2</f>
        <v>EUR</v>
      </c>
      <c r="I38" s="469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13</v>
      </c>
    </row>
    <row r="39" spans="1:12" ht="12.75" customHeight="1" x14ac:dyDescent="0.2">
      <c r="A39" s="7" t="str">
        <f>+System10!A39</f>
        <v>horizontálny spodný profil rámu</v>
      </c>
      <c r="B39" s="16" t="e">
        <f>IF(M30&lt;&gt;"jiné",+VLOOKUP(M30,data!$C$370:$D$398,2,0),"")</f>
        <v>#DIV/0!</v>
      </c>
      <c r="C39" s="25" t="e">
        <f>IF(M30&lt;&gt;"jiné",+VLOOKUP(B39,cennik!$A$3:$G$701,2,FALSE),texty!A2)</f>
        <v>#DIV/0!</v>
      </c>
      <c r="D39" s="64" t="e">
        <f>N30</f>
        <v>#DIV/0!</v>
      </c>
      <c r="E39" s="93" t="e">
        <f>IF(M30&lt;&gt;"jiné",+VLOOKUP(B39,cennik!$A:$G,3,FALSE),0)</f>
        <v>#DIV/0!</v>
      </c>
      <c r="F39" s="91" t="e">
        <f t="shared" si="2"/>
        <v>#DIV/0!</v>
      </c>
      <c r="G39" s="92" t="e">
        <f t="shared" si="1"/>
        <v>#DIV/0!</v>
      </c>
      <c r="H39" s="6" t="str">
        <f>cennik!$B$2</f>
        <v>EUR</v>
      </c>
      <c r="I39" s="469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13</v>
      </c>
    </row>
    <row r="40" spans="1:12" ht="12.75" customHeight="1" x14ac:dyDescent="0.2">
      <c r="E40" s="94"/>
      <c r="F40" s="94"/>
      <c r="G40" s="94"/>
      <c r="H40" s="6"/>
      <c r="I40" s="469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14</v>
      </c>
    </row>
    <row r="41" spans="1:12" ht="12.75" customHeight="1" x14ac:dyDescent="0.2">
      <c r="A41" s="14" t="str">
        <f>texty!$A$66</f>
        <v>Voliteľné príslušenstvo:</v>
      </c>
      <c r="B41" s="15"/>
      <c r="D41" s="26" t="str">
        <f>System10!$D$41</f>
        <v>zadajte počet:</v>
      </c>
      <c r="E41" s="95"/>
      <c r="F41" s="95"/>
      <c r="G41" s="94"/>
      <c r="H41" s="6"/>
      <c r="I41" s="469" t="str">
        <f>IFERROR(IF((VLOOKUP(B41,cennik!A:L,12,0))="O",texty!$A$250,""),"")</f>
        <v/>
      </c>
      <c r="K41" s="191"/>
      <c r="L41" s="3" t="s">
        <v>14</v>
      </c>
    </row>
    <row r="42" spans="1:12" ht="12.75" customHeight="1" x14ac:dyDescent="0.2">
      <c r="A42" s="7" t="str">
        <f>texty!$A$88</f>
        <v>pozicionér do horného vedenia</v>
      </c>
      <c r="B42" s="15">
        <v>298035</v>
      </c>
      <c r="C42" s="25" t="str">
        <f>+VLOOKUP(B42,cennik!$A:$G,2,FALSE)</f>
        <v>SEVROLL 20326 Fix pozicionér pre horný vozík transparentný</v>
      </c>
      <c r="D42" s="29"/>
      <c r="E42" s="91">
        <f>+VLOOKUP(B42,cennik!$A:$G,3,FALSE)</f>
        <v>1.0837300000000001</v>
      </c>
      <c r="F42" s="96">
        <f t="shared" ref="F42:F52" si="3">+CEILING(D42,1)*E42</f>
        <v>0</v>
      </c>
      <c r="G42" s="92">
        <f t="shared" ref="G42:G54" si="4">+F42*(100-$G$26)/100</f>
        <v>0</v>
      </c>
      <c r="H42" s="6" t="str">
        <f>cennik!$B$2</f>
        <v>EUR</v>
      </c>
      <c r="I42" s="469" t="str">
        <f>IFERROR(IF((VLOOKUP(B42,cennik!A:L,12,0))="O",texty!$A$250,""),"")</f>
        <v/>
      </c>
      <c r="K42" s="191"/>
      <c r="L42" s="3"/>
    </row>
    <row r="43" spans="1:12" ht="12.75" customHeight="1" x14ac:dyDescent="0.2">
      <c r="A43" s="7" t="str">
        <f>+System10!A43</f>
        <v xml:space="preserve">pozicionér </v>
      </c>
      <c r="B43" s="16">
        <f>IF(F4="Gemini",387424,89063)</f>
        <v>89063</v>
      </c>
      <c r="C43" s="25" t="str">
        <f>+VLOOKUP(B43,cennik!$A:$G,2,FALSE)</f>
        <v>SEVROLL 20080 pozicionér spodného vozíka HI-TEC</v>
      </c>
      <c r="D43" s="29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6" t="str">
        <f>cennik!$B$2</f>
        <v>EUR</v>
      </c>
      <c r="I43" s="469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">
      <c r="A44" s="422" t="str">
        <f>texty!$A$228</f>
        <v> Tlmič dorazu MINI do 25 kg (pár)</v>
      </c>
      <c r="B44" s="16">
        <v>318662</v>
      </c>
      <c r="C44" s="25" t="str">
        <f>+VLOOKUP(B44,cennik!$A:$G,2,FALSE)</f>
        <v>SEVROLL 20368-SV tlmič dorazu Mini SV25 (14-25kg)</v>
      </c>
      <c r="D44" s="29"/>
      <c r="E44" s="91">
        <f>+VLOOKUP(B44,cennik!$A:$G,3,FALSE)</f>
        <v>22.75825</v>
      </c>
      <c r="F44" s="96">
        <f t="shared" si="3"/>
        <v>0</v>
      </c>
      <c r="G44" s="92">
        <f t="shared" si="4"/>
        <v>0</v>
      </c>
      <c r="H44" s="6" t="str">
        <f>cennik!$B$2</f>
        <v>EUR</v>
      </c>
      <c r="I44" s="469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">
      <c r="A45" s="422" t="str">
        <f>texty!$A$229</f>
        <v> Tlmič dorazu MINI do 40 kg (pár)</v>
      </c>
      <c r="B45" s="24">
        <v>283956</v>
      </c>
      <c r="C45" s="25" t="str">
        <f>+VLOOKUP(B45,cennik!$A:$G,2,FALSE)</f>
        <v>SEVROLL 20258-SV tlmič dorazu Mini SV40 (25 - 40kg)</v>
      </c>
      <c r="D45" s="29"/>
      <c r="E45" s="91">
        <f>+VLOOKUP(B45,cennik!$A:$G,3,FALSE)</f>
        <v>22.75825</v>
      </c>
      <c r="F45" s="96">
        <f t="shared" si="3"/>
        <v>0</v>
      </c>
      <c r="G45" s="92">
        <f t="shared" si="4"/>
        <v>0</v>
      </c>
      <c r="H45" s="6" t="str">
        <f>cennik!$B$2</f>
        <v>EUR</v>
      </c>
      <c r="I45" s="469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">
      <c r="A46" s="422" t="str">
        <f>texty!$A$230</f>
        <v> Tlmič dorazu MINI do 60 kg (pár)</v>
      </c>
      <c r="B46" s="24">
        <v>351743</v>
      </c>
      <c r="C46" s="25" t="str">
        <f>+VLOOKUP(B46,cennik!$A:$G,2,FALSE)</f>
        <v>SEVROLL 20339-SV tlmič dorazu Mini SV60 (40 - 60kg)</v>
      </c>
      <c r="D46" s="29"/>
      <c r="E46" s="91">
        <f>+VLOOKUP(B46,cennik!$A:$G,3,FALSE)</f>
        <v>22.75825</v>
      </c>
      <c r="F46" s="96">
        <f t="shared" si="3"/>
        <v>0</v>
      </c>
      <c r="G46" s="92">
        <f t="shared" si="4"/>
        <v>0</v>
      </c>
      <c r="H46" s="6" t="str">
        <f>cennik!$B$2</f>
        <v>EUR</v>
      </c>
      <c r="I46" s="469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">
      <c r="A47" s="422" t="str">
        <f>texty!$A$231</f>
        <v> Tlmič pre stredné krídlo do 25 kg</v>
      </c>
      <c r="B47" s="24">
        <v>318663</v>
      </c>
      <c r="C47" s="25" t="str">
        <f>+VLOOKUP(B47,cennik!$A:$G,2,FALSE)</f>
        <v>SEVROLL 20363-SV tlmič Central 10/18mm obojstranný 25kg</v>
      </c>
      <c r="D47" s="29"/>
      <c r="E47" s="91">
        <f>+VLOOKUP(B47,cennik!$A:$G,3,FALSE)</f>
        <v>48.741869999999999</v>
      </c>
      <c r="F47" s="96">
        <f t="shared" si="3"/>
        <v>0</v>
      </c>
      <c r="G47" s="92">
        <f t="shared" si="4"/>
        <v>0</v>
      </c>
      <c r="H47" s="6" t="str">
        <f>cennik!$B$2</f>
        <v>EUR</v>
      </c>
      <c r="I47" s="469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">
      <c r="A48" s="422" t="str">
        <f>texty!$A$232</f>
        <v> Tlmič pre stredné krídlo do 40 kg</v>
      </c>
      <c r="B48" s="24">
        <v>283955</v>
      </c>
      <c r="C48" s="25" t="str">
        <f>+VLOOKUP(B48,cennik!$A:$G,2,FALSE)</f>
        <v>SEVROLL 20319-SV tlmič Central 10/18mm obojstranný 25-40kg</v>
      </c>
      <c r="D48" s="29"/>
      <c r="E48" s="91">
        <f>+VLOOKUP(B48,cennik!$A:$G,3,FALSE)</f>
        <v>48.741869999999999</v>
      </c>
      <c r="F48" s="96">
        <f t="shared" si="3"/>
        <v>0</v>
      </c>
      <c r="G48" s="92">
        <f t="shared" si="4"/>
        <v>0</v>
      </c>
      <c r="H48" s="6" t="str">
        <f>cennik!$B$2</f>
        <v>EUR</v>
      </c>
      <c r="I48" s="469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">
      <c r="A49" s="7" t="str">
        <f>System10!A48</f>
        <v> Tlmič pre stredné krídlo do 40 kg</v>
      </c>
      <c r="B49" s="24">
        <v>227185</v>
      </c>
      <c r="C49" s="25" t="str">
        <f>+VLOOKUP(B49,cennik!$A:$G,2,FALSE)</f>
        <v>K-SEVROLL tlmič dorazu 10/18mm 14-25kg L+P</v>
      </c>
      <c r="D49" s="29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6" t="str">
        <f>cennik!$B$2</f>
        <v>EUR</v>
      </c>
      <c r="I49" s="469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2" ht="12.75" customHeight="1" x14ac:dyDescent="0.2">
      <c r="A50" s="7" t="str">
        <f>texty!$A$98</f>
        <v>tlmič dorazu (pár) 50 kg</v>
      </c>
      <c r="B50" s="24">
        <v>227187</v>
      </c>
      <c r="C50" s="25" t="str">
        <f>+VLOOKUP(B50,cennik!$A:$G,2,FALSE)</f>
        <v>K-SEVROLL tlmič dorazu 10/18mm 25-50kg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EUR</v>
      </c>
      <c r="I50" s="469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2" ht="12.75" customHeight="1" x14ac:dyDescent="0.2">
      <c r="A51" s="7" t="str">
        <f>texty!$A$100</f>
        <v>spojovací profil H10-3metre</v>
      </c>
      <c r="B51" s="16" t="e">
        <f>+VLOOKUP(P7,data!C457:D459,2,0)</f>
        <v>#N/A</v>
      </c>
      <c r="C51" s="25" t="e">
        <f>+VLOOKUP(B51,cennik!$A:$G,2,FALSE)</f>
        <v>#N/A</v>
      </c>
      <c r="D51" s="29"/>
      <c r="E51" s="91" t="e">
        <f>+VLOOKUP(B51,cennik!$A:$G,3,FALSE)</f>
        <v>#N/A</v>
      </c>
      <c r="F51" s="96" t="e">
        <f t="shared" si="3"/>
        <v>#N/A</v>
      </c>
      <c r="G51" s="92" t="e">
        <f t="shared" si="4"/>
        <v>#N/A</v>
      </c>
      <c r="H51" s="6" t="str">
        <f>cennik!$B$2</f>
        <v>EUR</v>
      </c>
      <c r="I51" s="469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">
      <c r="A52" s="7" t="str">
        <f>texty!$A$101</f>
        <v>spojovací profil H30-3metre</v>
      </c>
      <c r="B52" s="17" t="e">
        <f>+VLOOKUP(P7,data!C468:D470,2,0)</f>
        <v>#N/A</v>
      </c>
      <c r="C52" s="25" t="e">
        <f>+VLOOKUP(B52,cennik!$A:$G,2,FALSE)</f>
        <v>#N/A</v>
      </c>
      <c r="D52" s="29"/>
      <c r="E52" s="91" t="e">
        <f>+VLOOKUP(B52,cennik!$A:$G,3,FALSE)</f>
        <v>#N/A</v>
      </c>
      <c r="F52" s="96" t="e">
        <f t="shared" si="3"/>
        <v>#N/A</v>
      </c>
      <c r="G52" s="92" t="e">
        <f t="shared" si="4"/>
        <v>#N/A</v>
      </c>
      <c r="H52" s="6" t="str">
        <f>cennik!$B$2</f>
        <v>EUR</v>
      </c>
      <c r="I52" s="469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">
      <c r="A53" s="422" t="str">
        <f>texty!A240</f>
        <v>zámok posuvných dverí</v>
      </c>
      <c r="B53" s="17">
        <v>216363</v>
      </c>
      <c r="C53" s="25" t="str">
        <f>+VLOOKUP(B53,cennik!$A:$G,2,FALSE)</f>
        <v>SEVROLL 20356 zámok na posuvné dvere 10/18mm</v>
      </c>
      <c r="D53" s="30"/>
      <c r="E53" s="91">
        <f>+VLOOKUP(B53,cennik!$A:$G,3,FALSE)</f>
        <v>15.72176</v>
      </c>
      <c r="F53" s="91">
        <f>+E53*D53</f>
        <v>0</v>
      </c>
      <c r="G53" s="92">
        <f t="shared" si="4"/>
        <v>0</v>
      </c>
      <c r="H53" s="6" t="str">
        <f>cennik!$B$2</f>
        <v>EUR</v>
      </c>
      <c r="I53" s="469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2" ht="12.75" customHeight="1" x14ac:dyDescent="0.2">
      <c r="A54" s="7" t="str">
        <f>texty!$A$92</f>
        <v>spojovacia skrutka</v>
      </c>
      <c r="B54" s="16">
        <v>89244</v>
      </c>
      <c r="C54" s="25" t="str">
        <f>+VLOOKUP(B54,cennik!$A:$G,2,FALSE)</f>
        <v>SEVROLL 20001 skrutkovrut 6,3x32 SEVROLL a Simple</v>
      </c>
      <c r="D54" s="30"/>
      <c r="E54" s="91">
        <f>+VLOOKUP(B54,cennik!$A:$G,3,FALSE)</f>
        <v>0.15482000000000001</v>
      </c>
      <c r="F54" s="91">
        <f>+E54*D54</f>
        <v>0</v>
      </c>
      <c r="G54" s="92">
        <f t="shared" si="4"/>
        <v>0</v>
      </c>
      <c r="H54" s="6" t="str">
        <f>cennik!$B$2</f>
        <v>EUR</v>
      </c>
      <c r="I54" s="469" t="str">
        <f>IFERROR(IF((VLOOKUP(B54,cennik!A:L,12,0))="O",texty!$A$250,""),"")</f>
        <v/>
      </c>
      <c r="K54" s="191" t="str">
        <f>IF(D54&gt;0,IF(VLOOKUP(#REF!,cennik!A:L,12,FALSE)="O",1,""),"")</f>
        <v/>
      </c>
      <c r="L54" s="6"/>
    </row>
    <row r="55" spans="1:12" ht="12.75" customHeight="1" x14ac:dyDescent="0.2">
      <c r="D55" s="91"/>
      <c r="E55" s="91"/>
      <c r="F55" s="91"/>
      <c r="G55" s="92"/>
      <c r="H55" s="6"/>
      <c r="I55" s="469" t="str">
        <f>IFERROR(IF((VLOOKUP(B55,cennik!A:L,12,0))="O",texty!$A$250,""),"")</f>
        <v/>
      </c>
      <c r="K55" s="191" t="str">
        <f>IF(D55&gt;0,IF(VLOOKUP(B54,cennik!A:L,12,FALSE)="O",1,""),"")</f>
        <v/>
      </c>
      <c r="L55" s="6"/>
    </row>
    <row r="56" spans="1:12" ht="12.75" customHeight="1" x14ac:dyDescent="0.2">
      <c r="A56" s="41" t="e">
        <f>CONCATENATE(texty!$A$6,ROUND((C13/1000),1),texty!$A$8)</f>
        <v>#DIV/0!</v>
      </c>
      <c r="B56" s="42"/>
      <c r="C56" s="43"/>
      <c r="D56" s="44"/>
      <c r="E56" s="97"/>
      <c r="F56" s="97"/>
      <c r="G56" s="97"/>
      <c r="H56" s="6"/>
      <c r="I56" s="469" t="str">
        <f>IFERROR(IF((VLOOKUP(B56,cennik!A:L,12,0))="O",texty!$A$250,""),"")</f>
        <v/>
      </c>
      <c r="J56" s="181"/>
      <c r="K56" s="191" t="str">
        <f>IF(D56&gt;0,IF(VLOOKUP(B56,cennik!A:L,12,FALSE)="O",1,""),"")</f>
        <v/>
      </c>
      <c r="L56" s="6"/>
    </row>
    <row r="57" spans="1:12" ht="12.75" customHeight="1" x14ac:dyDescent="0.2">
      <c r="C57" s="40" t="str">
        <f>texty!$A$10</f>
        <v>Potrebná dĺžka tesnenia pri celkovom presklení (nutné objednať celé metre)</v>
      </c>
      <c r="D57" s="39" t="e">
        <f>CEILING(((B9+C9)*2/1000*D4),1)</f>
        <v>#DIV/0!</v>
      </c>
      <c r="E57" s="94"/>
      <c r="F57" s="94"/>
      <c r="G57" s="94"/>
      <c r="H57" s="94"/>
      <c r="I57" s="469" t="str">
        <f>IFERROR(IF((VLOOKUP(B57,cennik!A:L,12,0))="O",texty!$A$250,""),"")</f>
        <v/>
      </c>
      <c r="J57" s="181"/>
      <c r="K57" s="191"/>
      <c r="L57" s="6"/>
    </row>
    <row r="58" spans="1:12" ht="12.75" customHeight="1" x14ac:dyDescent="0.2">
      <c r="A58" s="48" t="str">
        <f>texty!$A$12</f>
        <v>(pri kombináciach s H profilmi je nutné pripočítať potrebnú dĺžku - tesnenie musí byť po celom odvode každého skla</v>
      </c>
      <c r="B58" s="46"/>
      <c r="C58" s="47"/>
      <c r="D58" s="46"/>
      <c r="E58" s="99"/>
      <c r="F58" s="99"/>
      <c r="G58" s="99"/>
      <c r="H58" s="6"/>
      <c r="I58" s="469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">
      <c r="A59" s="7" t="str">
        <f>System10!A59</f>
        <v>tesnenie na sklo 4mm</v>
      </c>
      <c r="B59" s="17">
        <v>89238</v>
      </c>
      <c r="C59" s="25" t="str">
        <f>+VLOOKUP(B59,cennik!$A:$G,2,FALSE)</f>
        <v>SEVROLL 20031-SV tesnenie na sklo 10/4mm</v>
      </c>
      <c r="D59" s="45"/>
      <c r="E59" s="91">
        <f>+VLOOKUP(B59,cennik!$A:$G,3,FALSE)</f>
        <v>0.79988999999999999</v>
      </c>
      <c r="F59" s="96">
        <f>+CEILING(D59,1)*E59</f>
        <v>0</v>
      </c>
      <c r="G59" s="92">
        <f>+F59*(100-$G$26)/100</f>
        <v>0</v>
      </c>
      <c r="H59" s="6" t="str">
        <f>cennik!$B$2</f>
        <v>EUR</v>
      </c>
      <c r="I59" s="469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">
      <c r="A60" s="7" t="str">
        <f>texty!A103</f>
        <v>tesnenie na sklo 4,5 mm</v>
      </c>
      <c r="B60" s="17">
        <v>135164</v>
      </c>
      <c r="C60" s="25" t="str">
        <f>+VLOOKUP(B60,cennik!$A:$G,2,FALSE)</f>
        <v>SEVROLL 20032-SV tesnenie na sklo 10/4,5mm</v>
      </c>
      <c r="D60" s="45"/>
      <c r="E60" s="91">
        <f>+VLOOKUP(B60,cennik!$A:$G,3,FALSE)</f>
        <v>0.79988999999999999</v>
      </c>
      <c r="F60" s="96">
        <f>+CEILING(D60,1)*E60</f>
        <v>0</v>
      </c>
      <c r="G60" s="92">
        <f>+F60*(100-$G$26)/100</f>
        <v>0</v>
      </c>
      <c r="H60" s="6" t="str">
        <f>cennik!$B$2</f>
        <v>EUR</v>
      </c>
      <c r="I60" s="469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3"/>
    </row>
    <row r="61" spans="1:12" ht="12.75" customHeight="1" x14ac:dyDescent="0.2">
      <c r="A61" s="7" t="str">
        <f>System10!A61</f>
        <v>tesnenie na sklo 6mm</v>
      </c>
      <c r="B61" s="17">
        <v>89243</v>
      </c>
      <c r="C61" s="25" t="str">
        <f>+VLOOKUP(B61,cennik!$A:$G,2,FALSE)</f>
        <v>SEVROLL 20033-SV tesnenie na sklo 10/6mm</v>
      </c>
      <c r="D61" s="45"/>
      <c r="E61" s="91">
        <f>+VLOOKUP(B61,cennik!$A:$G,3,FALSE)</f>
        <v>0.79988999999999999</v>
      </c>
      <c r="F61" s="96">
        <f>+CEILING(D61,1)*E61</f>
        <v>0</v>
      </c>
      <c r="G61" s="92">
        <f>+F61*(100-$G$26)/100</f>
        <v>0</v>
      </c>
      <c r="H61" s="6" t="str">
        <f>cennik!$B$2</f>
        <v>EUR</v>
      </c>
      <c r="I61" s="469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5" x14ac:dyDescent="0.2">
      <c r="A62" s="271" t="str">
        <f>texty!$A$190</f>
        <v>Ďalšie príslušenstvo</v>
      </c>
      <c r="B62" s="3"/>
      <c r="E62" s="94"/>
      <c r="F62" s="94"/>
      <c r="G62" s="94"/>
      <c r="H62" s="6"/>
      <c r="I62" s="469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2.75" customHeight="1" x14ac:dyDescent="0.2">
      <c r="A63" s="271" t="str">
        <f>texty!$A$244</f>
        <v>Technický nákres tohoto systému</v>
      </c>
      <c r="B63" s="167">
        <v>129677</v>
      </c>
      <c r="C63" s="167" t="str">
        <f>VLOOKUP(B63,cennik!A:C,2,0)</f>
        <v>SEVROLL 20173 montážny prípravok pre lamino 10mm malý</v>
      </c>
      <c r="D63" s="45"/>
      <c r="E63" s="91">
        <f>+VLOOKUP(B63,cennik!$A:$G,3,FALSE)</f>
        <v>5.0214600000000003</v>
      </c>
      <c r="F63" s="96">
        <f>+CEILING(D63,1)*E63</f>
        <v>0</v>
      </c>
      <c r="G63" s="92">
        <f>F63</f>
        <v>0</v>
      </c>
      <c r="H63" s="6" t="str">
        <f>cennik!$B$2</f>
        <v>EUR</v>
      </c>
      <c r="I63" s="469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">
      <c r="B64" s="167">
        <v>128842</v>
      </c>
      <c r="C64" s="167" t="str">
        <f>VLOOKUP(B64,cennik!A:C,2,0)</f>
        <v>SEVROLL 20144 vrták stupňovitý 6,5/9,5mm</v>
      </c>
      <c r="D64" s="45"/>
      <c r="E64" s="91">
        <f>+VLOOKUP(B64,cennik!$A:$G,3,FALSE)</f>
        <v>26.752659999999999</v>
      </c>
      <c r="F64" s="96">
        <f>+CEILING(D64,1)*E64</f>
        <v>0</v>
      </c>
      <c r="G64" s="92">
        <f>F64</f>
        <v>0</v>
      </c>
      <c r="H64" s="6" t="str">
        <f>cennik!$B$2</f>
        <v>EUR</v>
      </c>
      <c r="I64" s="469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">
      <c r="A65" s="646" t="str">
        <f>IF(SUM(D48:D49)&gt;0,IF(C7&lt;(B4/3),texty!$A$212,""),"")</f>
        <v/>
      </c>
      <c r="B65" s="646"/>
      <c r="C65" s="646"/>
      <c r="D65" s="646"/>
      <c r="E65" s="646"/>
      <c r="F65" s="646"/>
      <c r="G65" s="646"/>
      <c r="H65" s="646"/>
      <c r="I65" s="646"/>
      <c r="J65" s="646"/>
      <c r="K65" s="134"/>
    </row>
    <row r="66" spans="1:14" ht="12.75" customHeight="1" x14ac:dyDescent="0.2">
      <c r="B66" s="8"/>
      <c r="C66" s="8"/>
      <c r="D66" s="76" t="str">
        <f>texty!$A$15</f>
        <v>CELKOM  (bez DPH)</v>
      </c>
      <c r="E66" s="99"/>
      <c r="F66" s="101" t="e">
        <f>SUM(F28:F64)</f>
        <v>#N/A</v>
      </c>
      <c r="G66" s="101" t="e">
        <f>SUM(G28:G64)</f>
        <v>#N/A</v>
      </c>
      <c r="H66" s="6" t="str">
        <f>cennik!$B$2</f>
        <v>EUR</v>
      </c>
      <c r="J66" s="181"/>
      <c r="K66" s="181"/>
      <c r="L66" s="5" t="str">
        <f>texty!A128</f>
        <v xml:space="preserve">strieborná </v>
      </c>
      <c r="M66" s="21" t="s">
        <v>987</v>
      </c>
    </row>
    <row r="67" spans="1:14" ht="12.75" customHeight="1" x14ac:dyDescent="0.2">
      <c r="A67" s="75" t="str">
        <f>System10!$A$67</f>
        <v>Vaša poznámka:</v>
      </c>
      <c r="B67" s="652"/>
      <c r="C67" s="653"/>
      <c r="D67" s="653"/>
      <c r="E67" s="653"/>
      <c r="F67" s="653"/>
      <c r="G67" s="654"/>
      <c r="I67" s="5"/>
      <c r="L67" s="5" t="str">
        <f>texty!A130</f>
        <v>oliva</v>
      </c>
      <c r="M67" s="21" t="s">
        <v>43</v>
      </c>
    </row>
    <row r="68" spans="1:14" ht="12.75" customHeight="1" x14ac:dyDescent="0.2">
      <c r="A68" s="648">
        <f>profil!$U$15</f>
        <v>0</v>
      </c>
      <c r="B68" s="649"/>
      <c r="C68" s="649"/>
      <c r="D68" s="649"/>
      <c r="E68" s="649"/>
      <c r="F68" s="649"/>
      <c r="G68" s="649"/>
      <c r="H68" s="649"/>
    </row>
    <row r="69" spans="1:14" ht="12.75" customHeight="1" x14ac:dyDescent="0.2">
      <c r="A69" s="650">
        <f>IF(N69=1,texty!$A$215,IF(K69&gt;0,texty!$A$214,""))</f>
        <v>0</v>
      </c>
      <c r="B69" s="650"/>
      <c r="C69" s="650"/>
      <c r="D69" s="650"/>
      <c r="E69" s="650"/>
      <c r="F69" s="650"/>
      <c r="G69" s="650"/>
      <c r="H69" s="650"/>
      <c r="K69" s="6" t="e">
        <f>SUM(K28:K64)</f>
        <v>#N/A</v>
      </c>
      <c r="N69" s="5">
        <f>IF(ISERROR(K69),1,0)</f>
        <v>1</v>
      </c>
    </row>
    <row r="70" spans="1:14" ht="12.75" customHeight="1" x14ac:dyDescent="0.2"/>
    <row r="71" spans="1:14" ht="12.75" customHeight="1" x14ac:dyDescent="0.2"/>
  </sheetData>
  <sheetProtection algorithmName="SHA-512" hashValue="aB/UysGalrAxglGpIxr0xuhJreeb59j9eOBbeEq7UsspTKSNVVEg8iK/DFl89ikdGiV711b5Egzr0T7uO2dKUw==" saltValue="SGzZ+7Nah7u5WAjHsNc5zw==" spinCount="100000" sheet="1" objects="1" scenarios="1" selectLockedCell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189" priority="3">
      <formula>SUM($D$47:$D$48)&gt;0</formula>
    </cfRule>
  </conditionalFormatting>
  <conditionalFormatting sqref="D6">
    <cfRule type="expression" dxfId="187" priority="7">
      <formula>$D$4=4</formula>
    </cfRule>
    <cfRule type="expression" dxfId="186" priority="8">
      <formula>$D$4&lt;&gt;4</formula>
    </cfRule>
  </conditionalFormatting>
  <conditionalFormatting sqref="G4">
    <cfRule type="expression" dxfId="185" priority="6">
      <formula>$D$4=4</formula>
    </cfRule>
  </conditionalFormatting>
  <conditionalFormatting sqref="I19:I20">
    <cfRule type="expression" dxfId="184" priority="4">
      <formula>$F$4=$M$67</formula>
    </cfRule>
  </conditionalFormatting>
  <conditionalFormatting sqref="I21:I22">
    <cfRule type="expression" dxfId="183" priority="5">
      <formula>$F$4=$M$66</formula>
    </cfRule>
  </conditionalFormatting>
  <dataValidations count="7">
    <dataValidation type="list" allowBlank="1" showInputMessage="1" showErrorMessage="1" sqref="E6: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71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8.140625" style="5" customWidth="1"/>
    <col min="2" max="2" width="15.7109375" style="5" customWidth="1"/>
    <col min="3" max="3" width="37.42578125" style="5" customWidth="1"/>
    <col min="4" max="4" width="14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257" width="0" style="5" hidden="1" customWidth="1"/>
    <col min="258" max="16384" width="9.140625" style="5" hidden="1"/>
  </cols>
  <sheetData>
    <row r="1" spans="1:22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 x14ac:dyDescent="0.2">
      <c r="A2" s="523" t="s">
        <v>867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2" ht="26.25" thickBot="1" x14ac:dyDescent="0.25">
      <c r="A3" s="524" t="str">
        <f>CONCATENATE(texty!A243," ",5,".",49)</f>
        <v>katalóg kovania 2018 str. 5.49</v>
      </c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20" t="str">
        <f>texty!A38</f>
        <v>typ spodného vedenia</v>
      </c>
      <c r="G3" s="6"/>
      <c r="H3" s="6"/>
      <c r="L3" s="6"/>
    </row>
    <row r="4" spans="1:22" ht="18" customHeight="1" x14ac:dyDescent="0.2">
      <c r="A4" s="10" t="str">
        <f>+System10!$A$4</f>
        <v>VNÚTORNÝ ROZMER SKRINE:</v>
      </c>
      <c r="B4" s="56"/>
      <c r="C4" s="56"/>
      <c r="D4" s="22"/>
      <c r="E4" s="22"/>
      <c r="F4" s="458"/>
      <c r="G4" s="655"/>
      <c r="H4" s="655"/>
      <c r="I4" s="655"/>
      <c r="J4" s="655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">
      <c r="A5" s="10"/>
      <c r="B5" s="651" t="str">
        <f>+System10!B5</f>
        <v>vypíšte týchto 5 políčok !!! Údaje v mm</v>
      </c>
      <c r="C5" s="651"/>
      <c r="D5" s="651"/>
      <c r="E5" s="651"/>
      <c r="F5" s="651"/>
      <c r="G5" s="655"/>
      <c r="H5" s="655"/>
      <c r="I5" s="655"/>
      <c r="J5" s="655"/>
      <c r="K5" s="190"/>
      <c r="L5" s="23" t="str">
        <f>CONCATENATE(L4,"-",E4)</f>
        <v>1700-</v>
      </c>
      <c r="M5" s="21"/>
      <c r="N5" s="23" t="str">
        <f>CONCATENATE(N4,"-",E4,", ",F4)</f>
        <v xml:space="preserve">1700-, </v>
      </c>
    </row>
    <row r="6" spans="1:22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55"/>
      <c r="H6" s="655"/>
      <c r="I6" s="655"/>
      <c r="J6" s="655"/>
      <c r="K6" s="190"/>
      <c r="L6" s="6"/>
      <c r="R6" s="636" t="s">
        <v>557</v>
      </c>
      <c r="S6" s="636" t="s">
        <v>558</v>
      </c>
      <c r="T6" s="636" t="s">
        <v>559</v>
      </c>
      <c r="U6" s="636" t="s">
        <v>560</v>
      </c>
    </row>
    <row r="7" spans="1:22" ht="12.75" customHeight="1" x14ac:dyDescent="0.2">
      <c r="A7" s="10" t="str">
        <f>texty!A71</f>
        <v>krídlo dverí:</v>
      </c>
      <c r="B7" s="57">
        <f>+B4-40</f>
        <v>-40</v>
      </c>
      <c r="C7" s="59" t="e">
        <f>+((C4-3+(22*(D4-1)))/D4+IF(AND(D4=4,D6=2),M1,0))</f>
        <v>#DIV/0!</v>
      </c>
      <c r="D7" s="8"/>
      <c r="E7" s="8"/>
      <c r="F7" s="8"/>
      <c r="G7" s="50" t="str">
        <f>texty!$A$39</f>
        <v>V prípade použitia skla ako výplne</v>
      </c>
      <c r="H7" s="6"/>
      <c r="L7" s="6"/>
      <c r="O7" s="17" t="e">
        <f>IF(L11="jiné",M12,L11)</f>
        <v>#DIV/0!</v>
      </c>
      <c r="P7" s="21">
        <f>+E4</f>
        <v>0</v>
      </c>
      <c r="R7" s="636"/>
      <c r="S7" s="636"/>
      <c r="T7" s="636"/>
      <c r="U7" s="636"/>
    </row>
    <row r="8" spans="1:22" ht="12.75" customHeight="1" x14ac:dyDescent="0.2">
      <c r="A8" s="10" t="str">
        <f>texty!A72</f>
        <v>rozmer výplne 10 mm:</v>
      </c>
      <c r="B8" s="57">
        <f>+B7-64</f>
        <v>-104</v>
      </c>
      <c r="C8" s="59" t="e">
        <f>+C7-25</f>
        <v>#DIV/0!</v>
      </c>
      <c r="D8" s="8"/>
      <c r="E8" s="8"/>
      <c r="F8" s="8"/>
      <c r="G8" s="50" t="str">
        <f>texty!$A$40</f>
        <v>je treba použiť bezpečnostné sklo</v>
      </c>
      <c r="H8" s="6"/>
      <c r="L8" s="6" t="s">
        <v>60</v>
      </c>
      <c r="M8" s="5" t="s">
        <v>61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">
      <c r="A9" s="10" t="str">
        <f>texty!A73</f>
        <v>rozmer zrkadla / skla</v>
      </c>
      <c r="B9" s="57">
        <f>+B8</f>
        <v>-104</v>
      </c>
      <c r="C9" s="59" t="e">
        <f>+C8-4</f>
        <v>#DIV/0!</v>
      </c>
      <c r="D9" s="8"/>
      <c r="E9" s="8"/>
      <c r="F9" s="8"/>
      <c r="G9" s="50" t="str">
        <f>texty!$A$41</f>
        <v>alebo sklo zabezpečiť ochrannou fóliou</v>
      </c>
      <c r="H9" s="6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562</v>
      </c>
    </row>
    <row r="10" spans="1:22" ht="12.75" customHeight="1" x14ac:dyDescent="0.2">
      <c r="A10" s="10" t="str">
        <f>texty!A74</f>
        <v>dĺžka vodiacej a krycej lišty krídla</v>
      </c>
      <c r="B10" s="57"/>
      <c r="C10" s="60" t="e">
        <f>+C7-42</f>
        <v>#DIV/0!</v>
      </c>
      <c r="D10" s="8"/>
      <c r="E10" s="8"/>
      <c r="F10" s="8"/>
      <c r="G10" s="49"/>
      <c r="H10" s="6"/>
      <c r="L10" s="5" t="s">
        <v>59</v>
      </c>
      <c r="O10" s="17" t="e">
        <f>IF(L11="jiné",M13,"")</f>
        <v>#DIV/0!</v>
      </c>
      <c r="P10" s="21">
        <f>+E4</f>
        <v>0</v>
      </c>
      <c r="Q10" s="5">
        <v>3</v>
      </c>
      <c r="R10" s="159" t="e">
        <f t="shared" si="0"/>
        <v>#DIV/0!</v>
      </c>
    </row>
    <row r="11" spans="1:22" ht="12.75" customHeight="1" x14ac:dyDescent="0.2">
      <c r="A11" s="10" t="str">
        <f>texty!A75</f>
        <v>Horný/spodný profil</v>
      </c>
      <c r="B11" s="57"/>
      <c r="C11" s="189">
        <f>+C4</f>
        <v>0</v>
      </c>
      <c r="D11" s="8"/>
      <c r="E11" s="8"/>
      <c r="F11" s="8"/>
      <c r="G11" s="3" t="str">
        <f>texty!$A$43</f>
        <v>Maximálna hmotnosť krídla je 50 kg</v>
      </c>
      <c r="H11" s="6"/>
      <c r="L11" s="36" t="e">
        <f>IF((L9+M9)&lt;1700,1700,IF((L9+M9)&lt;2350,2350,IF((L9+M9)&lt;3000,3000,"jiné")))</f>
        <v>#DIV/0!</v>
      </c>
      <c r="N11" s="5" t="s">
        <v>62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">
      <c r="A12" s="10" t="str">
        <f>texty!A76</f>
        <v>úchytková lišta</v>
      </c>
      <c r="B12" s="488">
        <f>+B7</f>
        <v>-40</v>
      </c>
      <c r="C12" s="489"/>
      <c r="D12" s="8"/>
      <c r="E12" s="8"/>
      <c r="F12" s="8"/>
      <c r="G12" s="6"/>
      <c r="H12" s="6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">
      <c r="A13" s="10" t="str">
        <f>texty!A77</f>
        <v>dĺžka tesnenia na sklo na jednom krídle</v>
      </c>
      <c r="B13" s="58"/>
      <c r="C13" s="144" t="e">
        <f>ROUND(B9*2+C9*2,0)</f>
        <v>#DIV/0!</v>
      </c>
      <c r="D13" s="8"/>
      <c r="E13" s="8"/>
      <c r="F13" s="8"/>
      <c r="G13" s="6"/>
      <c r="H13" s="6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4" x14ac:dyDescent="0.2">
      <c r="A14" s="635" t="str">
        <f>IF(SUM(D47:D48)&gt;0,texty!A245,"")</f>
        <v/>
      </c>
      <c r="B14" s="635"/>
      <c r="C14" s="490" t="str">
        <f>texty!A78</f>
        <v>dodatočné odpočty výšky vypočítaných výplní pri použití deliacich profilov výplne:</v>
      </c>
      <c r="D14" s="8"/>
      <c r="E14" s="8"/>
      <c r="F14" s="8"/>
      <c r="G14" s="6"/>
      <c r="H14" s="6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">
      <c r="A15" s="635"/>
      <c r="B15" s="635"/>
      <c r="C15" s="490"/>
      <c r="D15" s="8"/>
      <c r="E15" s="8"/>
      <c r="F15" s="8"/>
      <c r="G15" s="6"/>
      <c r="H15" s="6"/>
      <c r="L15" s="6"/>
      <c r="R15" s="159"/>
    </row>
    <row r="16" spans="1:22" x14ac:dyDescent="0.2">
      <c r="A16" s="422"/>
      <c r="B16" s="17"/>
      <c r="C16" s="490"/>
      <c r="D16" s="8"/>
      <c r="E16" s="8"/>
      <c r="F16" s="8"/>
      <c r="G16" s="6"/>
      <c r="H16" s="6"/>
      <c r="L16" s="6"/>
      <c r="R16" s="159"/>
    </row>
    <row r="17" spans="1:22" ht="12.75" customHeight="1" x14ac:dyDescent="0.2">
      <c r="B17" s="17"/>
      <c r="C17" s="433"/>
      <c r="D17" s="8"/>
      <c r="E17" s="8"/>
      <c r="F17" s="8"/>
      <c r="G17" s="6"/>
      <c r="H17" s="6"/>
      <c r="L17" s="6"/>
      <c r="M17" s="5" t="e">
        <f>M14-C4</f>
        <v>#DIV/0!</v>
      </c>
      <c r="Q17" s="5" t="s">
        <v>561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">
      <c r="A18" s="422"/>
      <c r="B18" s="17"/>
      <c r="C18" s="433"/>
      <c r="D18" s="8"/>
      <c r="E18" s="8"/>
      <c r="F18" s="8"/>
      <c r="G18" s="6"/>
      <c r="H18" s="6"/>
      <c r="L18" s="6"/>
    </row>
    <row r="19" spans="1:22" ht="14.25" customHeight="1" x14ac:dyDescent="0.2">
      <c r="A19" s="422"/>
      <c r="B19" s="484" t="str">
        <f>texty!A242</f>
        <v>dilatácia 4 mm</v>
      </c>
      <c r="C19" s="119"/>
      <c r="D19" s="8"/>
      <c r="E19" s="8"/>
      <c r="F19" s="8"/>
      <c r="G19" s="6"/>
      <c r="H19" s="6"/>
      <c r="I19" s="638" t="s">
        <v>993</v>
      </c>
      <c r="L19" s="6"/>
    </row>
    <row r="20" spans="1:22" ht="16.5" customHeight="1" x14ac:dyDescent="0.2">
      <c r="A20" s="7"/>
      <c r="B20" s="8"/>
      <c r="C20" s="8"/>
      <c r="E20" s="8"/>
      <c r="F20" s="8"/>
      <c r="G20" s="6"/>
      <c r="H20" s="6"/>
      <c r="I20" s="638"/>
      <c r="L20" s="6"/>
      <c r="M20" s="6"/>
      <c r="R20" s="5" t="s">
        <v>581</v>
      </c>
      <c r="S20" s="5" t="s">
        <v>580</v>
      </c>
      <c r="T20" s="5">
        <v>1700</v>
      </c>
      <c r="U20" s="5">
        <v>2350</v>
      </c>
      <c r="V20" s="5">
        <v>3000</v>
      </c>
    </row>
    <row r="21" spans="1:22" ht="16.5" customHeight="1" x14ac:dyDescent="0.2">
      <c r="A21" s="7"/>
      <c r="B21" s="8"/>
      <c r="C21" s="8"/>
      <c r="D21" s="13"/>
      <c r="E21" s="8"/>
      <c r="F21" s="8"/>
      <c r="G21" s="6"/>
      <c r="H21" s="6"/>
      <c r="I21" s="639" t="s">
        <v>994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">
      <c r="A22" s="7"/>
      <c r="B22" s="8"/>
      <c r="C22" s="8"/>
      <c r="D22" s="8"/>
      <c r="E22" s="8"/>
      <c r="F22" s="8"/>
      <c r="G22" s="6"/>
      <c r="H22" s="6"/>
      <c r="I22" s="639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">
      <c r="A23" s="7"/>
      <c r="B23" s="8"/>
      <c r="C23" s="8"/>
      <c r="D23" s="8"/>
      <c r="E23" s="8"/>
      <c r="F23" s="8"/>
      <c r="G23" s="6"/>
      <c r="H23" s="6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1700-0</v>
      </c>
      <c r="M24" s="6" t="e">
        <f>SUM(T21:T32)</f>
        <v>#DIV/0!</v>
      </c>
      <c r="N24" s="5">
        <v>1700</v>
      </c>
      <c r="P24" s="5" t="s">
        <v>563</v>
      </c>
      <c r="Q24" s="162" t="s">
        <v>564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">
      <c r="A25" s="7"/>
      <c r="B25" s="8"/>
      <c r="D25" s="8"/>
      <c r="E25" s="8"/>
      <c r="F25" s="8"/>
      <c r="G25" s="130" t="str">
        <f>+System10!G25</f>
        <v>partnerská zľava:</v>
      </c>
      <c r="H25" s="6"/>
      <c r="L25" s="5" t="str">
        <f>CONCATENATE(N25,"-",$P$7)</f>
        <v>2350-0</v>
      </c>
      <c r="M25" s="6" t="e">
        <f>SUM(U21:U32)</f>
        <v>#DIV/0!</v>
      </c>
      <c r="N25" s="5">
        <v>2350</v>
      </c>
      <c r="Q25" s="5" t="s">
        <v>576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">
      <c r="A26" s="14" t="str">
        <f>+System10!A26</f>
        <v>Objednávacie kódy, ceny:</v>
      </c>
      <c r="B26" s="8"/>
      <c r="D26" s="8"/>
      <c r="E26" s="8"/>
      <c r="F26" s="8"/>
      <c r="G26" s="142">
        <f>profil!C15</f>
        <v>0</v>
      </c>
      <c r="H26" s="28" t="s">
        <v>57</v>
      </c>
      <c r="L26" s="5" t="str">
        <f>CONCATENATE(N26,"-",$P$7)</f>
        <v>3000-0</v>
      </c>
      <c r="M26" s="6" t="e">
        <f>SUM(V21:V32)</f>
        <v>#DIV/0!</v>
      </c>
      <c r="N26" s="5">
        <v>3000</v>
      </c>
      <c r="O26" s="160"/>
      <c r="Q26" s="5" t="s">
        <v>565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">
      <c r="A27" s="7"/>
      <c r="B27" s="19" t="str">
        <f>+System10!B27</f>
        <v>kód</v>
      </c>
      <c r="C27" s="18" t="str">
        <f>+System10!C27</f>
        <v>názov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celkom</v>
      </c>
      <c r="G27" s="20" t="str">
        <f>+System10!G27</f>
        <v>celkom netto:</v>
      </c>
      <c r="H27" s="6"/>
      <c r="I27" s="18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566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">
      <c r="A28" s="7" t="str">
        <f>+System10!$A$28</f>
        <v>Horný profil:</v>
      </c>
      <c r="B28" s="16" t="e">
        <f>+VLOOKUP(L5,data!$C$196:$D$235,2,0)</f>
        <v>#N/A</v>
      </c>
      <c r="C28" s="25" t="e">
        <f>+VLOOKUP(B28,cennik!$A$3:$G$701,2,FALSE)</f>
        <v>#N/A</v>
      </c>
      <c r="D28" s="17" t="e">
        <f>IF(B28="N/A",0,1)</f>
        <v>#N/A</v>
      </c>
      <c r="E28" s="91" t="e">
        <f>+VLOOKUP(B28,cennik!$A:$G,3,FALSE)</f>
        <v>#N/A</v>
      </c>
      <c r="F28" s="91" t="e">
        <f>+E28*D28</f>
        <v>#N/A</v>
      </c>
      <c r="G28" s="92" t="e">
        <f t="shared" ref="G28:G39" si="1">+F28*(100-$G$26)/100</f>
        <v>#N/A</v>
      </c>
      <c r="H28" s="6" t="str">
        <f>cennik!$B$2</f>
        <v>EUR</v>
      </c>
      <c r="I28" s="469" t="str">
        <f>IFERROR(IF((VLOOKUP(B28,cennik!A:L,12,0))="O",texty!$A$250,""),"")</f>
        <v/>
      </c>
      <c r="K28" s="191" t="e">
        <f>IF(D28&gt;0,IF(VLOOKUP(B28,cennik!A:L,12,FALSE)="O",1,""),"")</f>
        <v>#N/A</v>
      </c>
      <c r="L28" s="6"/>
      <c r="M28" s="160"/>
      <c r="N28" s="160"/>
      <c r="O28" s="160"/>
      <c r="Q28" s="5" t="s">
        <v>577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">
      <c r="A29" s="7" t="str">
        <f>+System10!$A$29</f>
        <v>spodný profil:</v>
      </c>
      <c r="B29" s="16" t="e">
        <f>+VLOOKUP(N5,data!$C$4:$D$83,2,0)</f>
        <v>#N/A</v>
      </c>
      <c r="C29" s="25" t="e">
        <f>IF($B$29=data!$D$64,texty!$A$239,+VLOOKUP($B$29,cennik!$A$3:$G$907,2,FALSE))</f>
        <v>#N/A</v>
      </c>
      <c r="D29" s="17">
        <v>1</v>
      </c>
      <c r="E29" s="91" t="e">
        <f>+VLOOKUP(B29,cennik!$A:$G,3,FALSE)</f>
        <v>#N/A</v>
      </c>
      <c r="F29" s="91" t="e">
        <f>+E29*D29</f>
        <v>#N/A</v>
      </c>
      <c r="G29" s="92" t="e">
        <f t="shared" si="1"/>
        <v>#N/A</v>
      </c>
      <c r="H29" s="6" t="str">
        <f>cennik!$B$2</f>
        <v>EUR</v>
      </c>
      <c r="I29" s="469" t="str">
        <f>IFERROR(IF((VLOOKUP(B29,cennik!A:L,12,0))="O",texty!$A$250,""),"")</f>
        <v/>
      </c>
      <c r="K29" s="191" t="e">
        <f>IF(D29&gt;0,IF(VLOOKUP(B29,cennik!A:L,12,FALSE)="O",1,""),"")</f>
        <v>#N/A</v>
      </c>
      <c r="L29" s="6" t="s">
        <v>567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578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">
      <c r="A30" s="7" t="str">
        <f>+System10!$A$30</f>
        <v>krycí profil (maska):</v>
      </c>
      <c r="B30" s="16" t="e">
        <f>+VLOOKUP(N5,data!$C$105:$D$195,2,0)</f>
        <v>#N/A</v>
      </c>
      <c r="C30" s="25" t="e">
        <f>IF($B$30=data!$D$64,texty!$A$239,+VLOOKUP($B$30,cennik!$A$3:$G$907,2,FALSE))</f>
        <v>#N/A</v>
      </c>
      <c r="D30" s="17">
        <v>1</v>
      </c>
      <c r="E30" s="91" t="e">
        <f>IF(B30=data!$D$73,0,+VLOOKUP(B30,cennik!$A$3:$G$907,3,FALSE))</f>
        <v>#N/A</v>
      </c>
      <c r="F30" s="91" t="e">
        <f>+E30*D30</f>
        <v>#N/A</v>
      </c>
      <c r="G30" s="92" t="e">
        <f t="shared" si="1"/>
        <v>#N/A</v>
      </c>
      <c r="H30" s="6" t="str">
        <f>cennik!$B$2</f>
        <v>EUR</v>
      </c>
      <c r="I30" s="469" t="str">
        <f>IFERROR(IF((VLOOKUP(B30,cennik!A:L,12,0))="O",texty!$A$250,""),"")</f>
        <v/>
      </c>
      <c r="K30" s="191" t="e">
        <f>IF(D30&gt;0,IF(VLOOKUP(B30,cennik!A:L,12,FALSE)="O",1,""),"")</f>
        <v>#N/A</v>
      </c>
      <c r="L30" s="6" t="s">
        <v>568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569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">
      <c r="A31" s="7" t="str">
        <f>+System10!$A$31</f>
        <v>horné vozíky (sady)</v>
      </c>
      <c r="B31" s="16">
        <v>228009</v>
      </c>
      <c r="C31" s="25" t="str">
        <f>+VLOOKUP(B31,cennik!$A:$G,2,FALSE)</f>
        <v>SEVROLL 10204 horný vozík Gemini symetrický 10mm - 2ks</v>
      </c>
      <c r="D31" s="17">
        <f>IF((D49+D50)&gt;D4,0,D4-(D49+D50))</f>
        <v>0</v>
      </c>
      <c r="E31" s="91">
        <f>+VLOOKUP(B31,cennik!$A:$G,3,FALSE)</f>
        <v>5.1322099999999997</v>
      </c>
      <c r="F31" s="91">
        <f t="shared" ref="F31:F39" si="2">+E31*D31</f>
        <v>0</v>
      </c>
      <c r="G31" s="92">
        <f t="shared" si="1"/>
        <v>0</v>
      </c>
      <c r="H31" s="6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579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">
      <c r="A32" s="7" t="str">
        <f>+System10!$A$32</f>
        <v>spodné vozíky (sada)</v>
      </c>
      <c r="B32" s="16">
        <f>IF(F4=M66,328321,229441)</f>
        <v>229441</v>
      </c>
      <c r="C32" s="25" t="str">
        <f>+VLOOKUP(B32,cennik!$A:$G,2,FALSE)</f>
        <v>SEVROLL 10200 spodný vozík WD 10C HI-TEC - 2ks</v>
      </c>
      <c r="D32" s="17">
        <f>+D4</f>
        <v>0</v>
      </c>
      <c r="E32" s="91">
        <f>+VLOOKUP(B32,cennik!$A:$G,3,FALSE)</f>
        <v>6.5952500000000001</v>
      </c>
      <c r="F32" s="91">
        <f t="shared" si="2"/>
        <v>0</v>
      </c>
      <c r="G32" s="92">
        <f t="shared" si="1"/>
        <v>0</v>
      </c>
      <c r="H32" s="6" t="str">
        <f>cennik!$B$2</f>
        <v>EUR</v>
      </c>
      <c r="I32" s="469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570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">
      <c r="A33" s="7" t="str">
        <f>+System10!$A$33</f>
        <v>dorazový kartáč</v>
      </c>
      <c r="B33" s="16">
        <v>98067</v>
      </c>
      <c r="C33" s="25" t="str">
        <f>+VLOOKUP(B33,cennik!$A:$G,2,FALSE)</f>
        <v>SEVROLL dorazová kefa zásuvná 14x4mm sivá</v>
      </c>
      <c r="D33" s="17">
        <f>CEILING((B4*D4*2/1000),1)</f>
        <v>0</v>
      </c>
      <c r="E33" s="91">
        <f>+VLOOKUP(B33,cennik!$A:$G,3,FALSE)</f>
        <v>0.19361999999999999</v>
      </c>
      <c r="F33" s="91">
        <f t="shared" si="2"/>
        <v>0</v>
      </c>
      <c r="G33" s="92">
        <f t="shared" si="1"/>
        <v>0</v>
      </c>
      <c r="H33" s="6" t="str">
        <f>cennik!$B$2</f>
        <v>EUR</v>
      </c>
      <c r="I33" s="469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">
      <c r="A34" s="7" t="str">
        <f>+System10!$A$34</f>
        <v>úchytková lišta</v>
      </c>
      <c r="B34" s="16" t="e">
        <f>+VLOOKUP(P7,data!$C$492:$D$493,2,0)</f>
        <v>#N/A</v>
      </c>
      <c r="C34" s="25" t="e">
        <f>+VLOOKUP(B34,cennik!$A:$G,2,FALSE)</f>
        <v>#N/A</v>
      </c>
      <c r="D34" s="17">
        <f>IF(B12&lt;=1347,D4*2/2,D4*2)</f>
        <v>0</v>
      </c>
      <c r="E34" s="91" t="e">
        <f>+VLOOKUP(B34,cennik!$A:$G,3,FALSE)</f>
        <v>#N/A</v>
      </c>
      <c r="F34" s="91" t="e">
        <f t="shared" si="2"/>
        <v>#N/A</v>
      </c>
      <c r="G34" s="92" t="e">
        <f t="shared" si="1"/>
        <v>#N/A</v>
      </c>
      <c r="H34" s="6" t="str">
        <f>cennik!$B$2</f>
        <v>EUR</v>
      </c>
      <c r="I34" s="469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">
      <c r="A35" s="7" t="str">
        <f>+System10!$A$35</f>
        <v>spojovacia skrutka</v>
      </c>
      <c r="B35" s="6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 t="shared" si="2"/>
        <v>0</v>
      </c>
      <c r="G35" s="92">
        <f t="shared" si="1"/>
        <v>0</v>
      </c>
      <c r="H35" s="6" t="str">
        <f>cennik!$B$2</f>
        <v>EUR</v>
      </c>
      <c r="I35" s="469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">
      <c r="A36" s="7" t="str">
        <f>+System10!$A$36</f>
        <v>horný profil rámu (vodiaca lišta)</v>
      </c>
      <c r="B36" s="16" t="e">
        <f>+VLOOKUP(M29,data!C305:D322,2,0)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6" t="str">
        <f>cennik!$B$2</f>
        <v>EUR</v>
      </c>
      <c r="I36" s="469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13</v>
      </c>
    </row>
    <row r="37" spans="1:12" ht="12.75" customHeight="1" x14ac:dyDescent="0.2">
      <c r="A37" s="7" t="str">
        <f>+System10!$A$36</f>
        <v>horný profil rámu (vodiaca lišta)</v>
      </c>
      <c r="B37" s="16" t="e">
        <f>IF(M30&lt;&gt;"jiné",+VLOOKUP(M30,data!C305:D333,2,0),"")</f>
        <v>#DIV/0!</v>
      </c>
      <c r="C37" s="38" t="e">
        <f>IF(M30&lt;&gt;"jiné",+VLOOKUP(B37,cennik!$A:$G,2,FALSE),texty!$A$2)</f>
        <v>#DIV/0!</v>
      </c>
      <c r="D37" s="64" t="e">
        <f>N30</f>
        <v>#DIV/0!</v>
      </c>
      <c r="E37" s="93" t="e">
        <f>IF(M30&lt;&gt;"jiné",+VLOOKUP(B37,cennik!$A:$G,3,FALSE),0)</f>
        <v>#DIV/0!</v>
      </c>
      <c r="F37" s="91" t="e">
        <f t="shared" si="2"/>
        <v>#DIV/0!</v>
      </c>
      <c r="G37" s="92" t="e">
        <f t="shared" si="1"/>
        <v>#DIV/0!</v>
      </c>
      <c r="H37" s="6" t="str">
        <f>cennik!$B$2</f>
        <v>EUR</v>
      </c>
      <c r="I37" s="469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13</v>
      </c>
    </row>
    <row r="38" spans="1:12" ht="12.75" customHeight="1" x14ac:dyDescent="0.2">
      <c r="A38" s="7" t="str">
        <f>+System10!A38</f>
        <v>horizontálny spodný profil rámu</v>
      </c>
      <c r="B38" s="6" t="e">
        <f>+VLOOKUP(M29,data!$C$370:$D$384,2,0)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6" t="str">
        <f>cennik!$B$2</f>
        <v>EUR</v>
      </c>
      <c r="I38" s="469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13</v>
      </c>
    </row>
    <row r="39" spans="1:12" ht="12.75" customHeight="1" x14ac:dyDescent="0.2">
      <c r="A39" s="7" t="str">
        <f>+System10!A39</f>
        <v>horizontálny spodný profil rámu</v>
      </c>
      <c r="B39" s="16" t="e">
        <f>IF(M30&lt;&gt;"jiné",+VLOOKUP(M30,data!$C$370:$D$398,2,0),"")</f>
        <v>#DIV/0!</v>
      </c>
      <c r="C39" s="25" t="e">
        <f>IF(M30&lt;&gt;"jiné",+VLOOKUP(B39,cennik!$A$3:$G$701,2,FALSE),texty!A2)</f>
        <v>#DIV/0!</v>
      </c>
      <c r="D39" s="64" t="e">
        <f>N30</f>
        <v>#DIV/0!</v>
      </c>
      <c r="E39" s="93" t="e">
        <f>IF(M30&lt;&gt;"jiné",+VLOOKUP(B39,cennik!$A:$G,3,FALSE),0)</f>
        <v>#DIV/0!</v>
      </c>
      <c r="F39" s="91" t="e">
        <f t="shared" si="2"/>
        <v>#DIV/0!</v>
      </c>
      <c r="G39" s="92" t="e">
        <f t="shared" si="1"/>
        <v>#DIV/0!</v>
      </c>
      <c r="H39" s="6" t="str">
        <f>cennik!$B$2</f>
        <v>EUR</v>
      </c>
      <c r="I39" s="469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13</v>
      </c>
    </row>
    <row r="40" spans="1:12" ht="12.75" customHeight="1" x14ac:dyDescent="0.2">
      <c r="E40" s="94"/>
      <c r="F40" s="94"/>
      <c r="G40" s="94"/>
      <c r="H40" s="6"/>
      <c r="I40" s="469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14</v>
      </c>
    </row>
    <row r="41" spans="1:12" ht="12.75" customHeight="1" x14ac:dyDescent="0.2">
      <c r="A41" s="14" t="str">
        <f>texty!$A$66</f>
        <v>Voliteľné príslušenstvo:</v>
      </c>
      <c r="B41" s="15"/>
      <c r="D41" s="26" t="str">
        <f>System10!$D$41</f>
        <v>zadajte počet:</v>
      </c>
      <c r="E41" s="95"/>
      <c r="F41" s="95"/>
      <c r="G41" s="94"/>
      <c r="H41" s="6"/>
      <c r="I41" s="469" t="str">
        <f>IFERROR(IF((VLOOKUP(B41,cennik!A:L,12,0))="O",texty!$A$250,""),"")</f>
        <v/>
      </c>
      <c r="K41" s="191"/>
      <c r="L41" s="3" t="s">
        <v>14</v>
      </c>
    </row>
    <row r="42" spans="1:12" ht="12.75" customHeight="1" x14ac:dyDescent="0.2">
      <c r="A42" s="7" t="str">
        <f>texty!$A$88</f>
        <v>pozicionér do horného vedenia</v>
      </c>
      <c r="B42" s="15">
        <v>298035</v>
      </c>
      <c r="C42" s="25" t="str">
        <f>+VLOOKUP(B42,cennik!$A:$G,2,FALSE)</f>
        <v>SEVROLL 20326 Fix pozicionér pre horný vozík transparentný</v>
      </c>
      <c r="D42" s="29"/>
      <c r="E42" s="91">
        <f>+VLOOKUP(B42,cennik!$A:$G,3,FALSE)</f>
        <v>1.0837300000000001</v>
      </c>
      <c r="F42" s="96">
        <f t="shared" ref="F42:F52" si="3">+CEILING(D42,1)*E42</f>
        <v>0</v>
      </c>
      <c r="G42" s="92">
        <f t="shared" ref="G42:G54" si="4">+F42*(100-$G$26)/100</f>
        <v>0</v>
      </c>
      <c r="H42" s="6" t="str">
        <f>cennik!$B$2</f>
        <v>EUR</v>
      </c>
      <c r="I42" s="469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">
      <c r="A43" s="7" t="str">
        <f>+System10!A43</f>
        <v xml:space="preserve">pozicionér </v>
      </c>
      <c r="B43" s="16">
        <f>IF(F4="Gemini",387424,89063)</f>
        <v>89063</v>
      </c>
      <c r="C43" s="25" t="str">
        <f>+VLOOKUP(B43,cennik!$A:$G,2,FALSE)</f>
        <v>SEVROLL 20080 pozicionér spodného vozíka HI-TEC</v>
      </c>
      <c r="D43" s="29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6" t="str">
        <f>cennik!$B$2</f>
        <v>EUR</v>
      </c>
      <c r="I43" s="469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">
      <c r="A44" s="422" t="str">
        <f>texty!$A$228</f>
        <v> Tlmič dorazu MINI do 25 kg (pár)</v>
      </c>
      <c r="B44" s="16">
        <v>318662</v>
      </c>
      <c r="C44" s="25" t="str">
        <f>+VLOOKUP(B44,cennik!$A:$G,2,FALSE)</f>
        <v>SEVROLL 20368-SV tlmič dorazu Mini SV25 (14-25kg)</v>
      </c>
      <c r="D44" s="29"/>
      <c r="E44" s="91">
        <f>+VLOOKUP(B44,cennik!$A:$G,3,FALSE)</f>
        <v>22.75825</v>
      </c>
      <c r="F44" s="96">
        <f t="shared" si="3"/>
        <v>0</v>
      </c>
      <c r="G44" s="92">
        <f t="shared" si="4"/>
        <v>0</v>
      </c>
      <c r="H44" s="6" t="str">
        <f>cennik!$B$2</f>
        <v>EUR</v>
      </c>
      <c r="I44" s="469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">
      <c r="A45" s="422" t="str">
        <f>texty!$A$229</f>
        <v> Tlmič dorazu MINI do 40 kg (pár)</v>
      </c>
      <c r="B45" s="24">
        <v>283956</v>
      </c>
      <c r="C45" s="25" t="str">
        <f>+VLOOKUP(B45,cennik!$A:$G,2,FALSE)</f>
        <v>SEVROLL 20258-SV tlmič dorazu Mini SV40 (25 - 40kg)</v>
      </c>
      <c r="D45" s="29"/>
      <c r="E45" s="91">
        <f>+VLOOKUP(B45,cennik!$A:$G,3,FALSE)</f>
        <v>22.75825</v>
      </c>
      <c r="F45" s="96">
        <f t="shared" si="3"/>
        <v>0</v>
      </c>
      <c r="G45" s="92">
        <f t="shared" si="4"/>
        <v>0</v>
      </c>
      <c r="H45" s="6" t="str">
        <f>cennik!$B$2</f>
        <v>EUR</v>
      </c>
      <c r="I45" s="469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">
      <c r="A46" s="422" t="str">
        <f>texty!$A$230</f>
        <v> Tlmič dorazu MINI do 60 kg (pár)</v>
      </c>
      <c r="B46" s="24">
        <v>351743</v>
      </c>
      <c r="C46" s="25" t="str">
        <f>+VLOOKUP(B46,cennik!$A:$G,2,FALSE)</f>
        <v>SEVROLL 20339-SV tlmič dorazu Mini SV60 (40 - 60kg)</v>
      </c>
      <c r="D46" s="29"/>
      <c r="E46" s="91">
        <f>+VLOOKUP(B46,cennik!$A:$G,3,FALSE)</f>
        <v>22.75825</v>
      </c>
      <c r="F46" s="96">
        <f t="shared" si="3"/>
        <v>0</v>
      </c>
      <c r="G46" s="92">
        <f t="shared" si="4"/>
        <v>0</v>
      </c>
      <c r="H46" s="6" t="str">
        <f>cennik!$B$2</f>
        <v>EUR</v>
      </c>
      <c r="I46" s="469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">
      <c r="A47" s="422" t="str">
        <f>texty!$A$231</f>
        <v> Tlmič pre stredné krídlo do 25 kg</v>
      </c>
      <c r="B47" s="24">
        <v>318663</v>
      </c>
      <c r="C47" s="25" t="str">
        <f>+VLOOKUP(B47,cennik!$A:$G,2,FALSE)</f>
        <v>SEVROLL 20363-SV tlmič Central 10/18mm obojstranný 25kg</v>
      </c>
      <c r="D47" s="29"/>
      <c r="E47" s="91">
        <f>+VLOOKUP(B47,cennik!$A:$G,3,FALSE)</f>
        <v>48.741869999999999</v>
      </c>
      <c r="F47" s="96">
        <f t="shared" si="3"/>
        <v>0</v>
      </c>
      <c r="G47" s="92">
        <f t="shared" si="4"/>
        <v>0</v>
      </c>
      <c r="H47" s="6" t="str">
        <f>cennik!$B$2</f>
        <v>EUR</v>
      </c>
      <c r="I47" s="469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">
      <c r="A48" s="422" t="str">
        <f>texty!$A$232</f>
        <v> Tlmič pre stredné krídlo do 40 kg</v>
      </c>
      <c r="B48" s="24">
        <v>283955</v>
      </c>
      <c r="C48" s="25" t="str">
        <f>+VLOOKUP(B48,cennik!$A:$G,2,FALSE)</f>
        <v>SEVROLL 20319-SV tlmič Central 10/18mm obojstranný 25-40kg</v>
      </c>
      <c r="D48" s="29"/>
      <c r="E48" s="91">
        <f>+VLOOKUP(B48,cennik!$A:$G,3,FALSE)</f>
        <v>48.741869999999999</v>
      </c>
      <c r="F48" s="96">
        <f t="shared" si="3"/>
        <v>0</v>
      </c>
      <c r="G48" s="92">
        <f t="shared" si="4"/>
        <v>0</v>
      </c>
      <c r="H48" s="6" t="str">
        <f>cennik!$B$2</f>
        <v>EUR</v>
      </c>
      <c r="I48" s="469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">
      <c r="A49" s="7" t="str">
        <f>texty!$A$97</f>
        <v>tlmič dorazu (pár) 25 kg</v>
      </c>
      <c r="B49" s="24">
        <v>227185</v>
      </c>
      <c r="C49" s="25" t="str">
        <f>+VLOOKUP(B49,cennik!$A:$G,2,FALSE)</f>
        <v>K-SEVROLL tlmič dorazu 10/18mm 14-25kg L+P</v>
      </c>
      <c r="D49" s="29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6" t="str">
        <f>cennik!$B$2</f>
        <v>EUR</v>
      </c>
      <c r="I49" s="469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2" ht="12.75" customHeight="1" x14ac:dyDescent="0.2">
      <c r="A50" s="7" t="str">
        <f>texty!$A$98</f>
        <v>tlmič dorazu (pár) 50 kg</v>
      </c>
      <c r="B50" s="24">
        <v>227187</v>
      </c>
      <c r="C50" s="25" t="str">
        <f>+VLOOKUP(B50,cennik!$A:$G,2,FALSE)</f>
        <v>K-SEVROLL tlmič dorazu 10/18mm 25-50kg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EUR</v>
      </c>
      <c r="I50" s="469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2" ht="12.75" customHeight="1" x14ac:dyDescent="0.2">
      <c r="A51" s="7" t="str">
        <f>texty!$A$100</f>
        <v>spojovací profil H10-3metre</v>
      </c>
      <c r="B51" s="16" t="e">
        <f>+VLOOKUP(P7,data!C457:D459,2,0)</f>
        <v>#N/A</v>
      </c>
      <c r="C51" s="25" t="e">
        <f>+VLOOKUP(B51,cennik!$A:$G,2,FALSE)</f>
        <v>#N/A</v>
      </c>
      <c r="D51" s="29"/>
      <c r="E51" s="91" t="e">
        <f>+VLOOKUP(B51,cennik!$A:$G,3,FALSE)</f>
        <v>#N/A</v>
      </c>
      <c r="F51" s="96" t="e">
        <f t="shared" si="3"/>
        <v>#N/A</v>
      </c>
      <c r="G51" s="92" t="e">
        <f t="shared" si="4"/>
        <v>#N/A</v>
      </c>
      <c r="H51" s="6" t="str">
        <f>cennik!$B$2</f>
        <v>EUR</v>
      </c>
      <c r="I51" s="469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">
      <c r="A52" s="7" t="str">
        <f>texty!$A$101</f>
        <v>spojovací profil H30-3metre</v>
      </c>
      <c r="B52" s="17" t="e">
        <f>+VLOOKUP(P7,data!C468:D470,2,0)</f>
        <v>#N/A</v>
      </c>
      <c r="C52" s="25" t="e">
        <f>+VLOOKUP(B52,cennik!$A:$G,2,FALSE)</f>
        <v>#N/A</v>
      </c>
      <c r="D52" s="29"/>
      <c r="E52" s="91" t="e">
        <f>+VLOOKUP(B52,cennik!$A:$G,3,FALSE)</f>
        <v>#N/A</v>
      </c>
      <c r="F52" s="96" t="e">
        <f t="shared" si="3"/>
        <v>#N/A</v>
      </c>
      <c r="G52" s="92" t="e">
        <f t="shared" si="4"/>
        <v>#N/A</v>
      </c>
      <c r="H52" s="6" t="str">
        <f>cennik!$B$2</f>
        <v>EUR</v>
      </c>
      <c r="I52" s="469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">
      <c r="A53" s="422" t="str">
        <f>texty!A240</f>
        <v>zámok posuvných dverí</v>
      </c>
      <c r="B53" s="17">
        <v>216363</v>
      </c>
      <c r="C53" s="25" t="str">
        <f>+VLOOKUP(B53,cennik!$A:$G,2,FALSE)</f>
        <v>SEVROLL 20356 zámok na posuvné dvere 10/18mm</v>
      </c>
      <c r="D53" s="30"/>
      <c r="E53" s="91">
        <f>+VLOOKUP(B53,cennik!$A:$G,3,FALSE)</f>
        <v>15.72176</v>
      </c>
      <c r="F53" s="91">
        <f>+E53*D53</f>
        <v>0</v>
      </c>
      <c r="G53" s="92">
        <f t="shared" si="4"/>
        <v>0</v>
      </c>
      <c r="H53" s="6" t="str">
        <f>cennik!$B$2</f>
        <v>EUR</v>
      </c>
      <c r="I53" s="469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2" ht="12.75" customHeight="1" x14ac:dyDescent="0.2">
      <c r="A54" s="7" t="str">
        <f>texty!$A$92</f>
        <v>spojovacia skrutka</v>
      </c>
      <c r="B54" s="16">
        <v>89244</v>
      </c>
      <c r="C54" s="25" t="str">
        <f>+VLOOKUP(B54,cennik!$A:$G,2,FALSE)</f>
        <v>SEVROLL 20001 skrutkovrut 6,3x32 SEVROLL a Simple</v>
      </c>
      <c r="D54" s="30"/>
      <c r="E54" s="91">
        <f>+VLOOKUP(B54,cennik!$A:$G,3,FALSE)</f>
        <v>0.15482000000000001</v>
      </c>
      <c r="F54" s="91">
        <f>+E54*D54</f>
        <v>0</v>
      </c>
      <c r="G54" s="92">
        <f t="shared" si="4"/>
        <v>0</v>
      </c>
      <c r="H54" s="6" t="str">
        <f>cennik!$B$2</f>
        <v>EUR</v>
      </c>
      <c r="I54" s="469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2" ht="12.75" customHeight="1" x14ac:dyDescent="0.2">
      <c r="A55" s="7"/>
      <c r="B55" s="16"/>
      <c r="C55" s="25"/>
      <c r="D55" s="25"/>
      <c r="E55" s="91"/>
      <c r="F55" s="91"/>
      <c r="G55" s="92"/>
      <c r="H55" s="6"/>
      <c r="I55" s="469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2" ht="12.75" customHeight="1" x14ac:dyDescent="0.2">
      <c r="A56" s="41" t="e">
        <f>CONCATENATE(texty!$A$6,ROUND((C13/1000),1),texty!$A$8)</f>
        <v>#DIV/0!</v>
      </c>
      <c r="B56" s="42"/>
      <c r="C56" s="43"/>
      <c r="D56" s="44"/>
      <c r="E56" s="97"/>
      <c r="F56" s="97"/>
      <c r="G56" s="97"/>
      <c r="H56" s="98"/>
      <c r="I56" s="469" t="str">
        <f>IFERROR(IF((VLOOKUP(B56,cennik!A:L,12,0))="O",texty!$A$250,""),"")</f>
        <v/>
      </c>
      <c r="J56" s="181"/>
      <c r="K56" s="191" t="str">
        <f>IF(D56&gt;0,IF(VLOOKUP(B56,cennik!A:L,12,FALSE)="O",1,""),"")</f>
        <v/>
      </c>
      <c r="L56" s="6"/>
    </row>
    <row r="57" spans="1:12" ht="12.75" customHeight="1" x14ac:dyDescent="0.2">
      <c r="C57" s="40" t="str">
        <f>texty!$A$10</f>
        <v>Potrebná dĺžka tesnenia pri celkovom presklení (nutné objednať celé metre)</v>
      </c>
      <c r="D57" s="39" t="e">
        <f>CEILING(((B9+C9)*2/1000*D4),1)</f>
        <v>#DIV/0!</v>
      </c>
      <c r="E57" s="94"/>
      <c r="F57" s="94"/>
      <c r="G57" s="94"/>
      <c r="H57" s="94"/>
      <c r="I57" s="469" t="str">
        <f>IFERROR(IF((VLOOKUP(B57,cennik!A:L,12,0))="O",texty!$A$250,""),"")</f>
        <v/>
      </c>
      <c r="J57" s="181"/>
      <c r="K57" s="191"/>
      <c r="L57" s="6"/>
    </row>
    <row r="58" spans="1:12" ht="12.75" customHeight="1" x14ac:dyDescent="0.2">
      <c r="A58" s="48" t="str">
        <f>texty!$A$12</f>
        <v>(pri kombináciach s H profilmi je nutné pripočítať potrebnú dĺžku - tesnenie musí byť po celom odvode každého skla</v>
      </c>
      <c r="B58" s="46"/>
      <c r="C58" s="47"/>
      <c r="D58" s="46"/>
      <c r="E58" s="99"/>
      <c r="F58" s="99"/>
      <c r="G58" s="99"/>
      <c r="H58" s="99"/>
      <c r="I58" s="469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">
      <c r="A59" s="7" t="str">
        <f>System10!A59</f>
        <v>tesnenie na sklo 4mm</v>
      </c>
      <c r="B59" s="17">
        <v>89238</v>
      </c>
      <c r="C59" s="25" t="str">
        <f>+VLOOKUP(B59,cennik!$A:$G,2,FALSE)</f>
        <v>SEVROLL 20031-SV tesnenie na sklo 10/4mm</v>
      </c>
      <c r="D59" s="45"/>
      <c r="E59" s="91">
        <f>+VLOOKUP(B59,cennik!$A:$G,3,FALSE)</f>
        <v>0.79988999999999999</v>
      </c>
      <c r="F59" s="96">
        <f>+CEILING(D59,1)*E59</f>
        <v>0</v>
      </c>
      <c r="G59" s="92">
        <f>+F59*(100-$G$26)/100</f>
        <v>0</v>
      </c>
      <c r="H59" s="6" t="str">
        <f>cennik!$B$2</f>
        <v>EUR</v>
      </c>
      <c r="I59" s="469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">
      <c r="A60" s="7" t="str">
        <f>texty!A103</f>
        <v>tesnenie na sklo 4,5 mm</v>
      </c>
      <c r="B60" s="17">
        <v>135164</v>
      </c>
      <c r="C60" s="25" t="str">
        <f>+VLOOKUP(B60,cennik!$A:$G,2,FALSE)</f>
        <v>SEVROLL 20032-SV tesnenie na sklo 10/4,5mm</v>
      </c>
      <c r="D60" s="45"/>
      <c r="E60" s="91">
        <f>+VLOOKUP(B60,cennik!$A:$G,3,FALSE)</f>
        <v>0.79988999999999999</v>
      </c>
      <c r="F60" s="96">
        <f>+CEILING(D60,1)*E60</f>
        <v>0</v>
      </c>
      <c r="G60" s="92">
        <f>+F60*(100-$G$26)/100</f>
        <v>0</v>
      </c>
      <c r="H60" s="6" t="str">
        <f>cennik!$B$2</f>
        <v>EUR</v>
      </c>
      <c r="I60" s="469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3"/>
    </row>
    <row r="61" spans="1:12" ht="12.75" customHeight="1" x14ac:dyDescent="0.2">
      <c r="A61" s="7" t="str">
        <f>System10!A61</f>
        <v>tesnenie na sklo 6mm</v>
      </c>
      <c r="B61" s="17">
        <v>89243</v>
      </c>
      <c r="C61" s="25" t="str">
        <f>+VLOOKUP(B61,cennik!$A:$G,2,FALSE)</f>
        <v>SEVROLL 20033-SV tesnenie na sklo 10/6mm</v>
      </c>
      <c r="D61" s="45"/>
      <c r="E61" s="91">
        <f>+VLOOKUP(B61,cennik!$A:$G,3,FALSE)</f>
        <v>0.79988999999999999</v>
      </c>
      <c r="F61" s="96">
        <f>+CEILING(D61,1)*E61</f>
        <v>0</v>
      </c>
      <c r="G61" s="92">
        <f>+F61*(100-$G$26)/100</f>
        <v>0</v>
      </c>
      <c r="H61" s="6" t="str">
        <f>cennik!$B$2</f>
        <v>EUR</v>
      </c>
      <c r="I61" s="469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5" x14ac:dyDescent="0.2">
      <c r="A62" s="271" t="str">
        <f>texty!$A$190</f>
        <v>Ďalšie príslušenstvo</v>
      </c>
      <c r="E62" s="94"/>
      <c r="F62" s="94"/>
      <c r="G62" s="94"/>
      <c r="H62" s="6"/>
      <c r="I62" s="469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2.75" customHeight="1" x14ac:dyDescent="0.2">
      <c r="A63" s="271" t="str">
        <f>texty!$A$244</f>
        <v>Technický nákres tohoto systému</v>
      </c>
      <c r="B63" s="167">
        <v>129677</v>
      </c>
      <c r="C63" s="167" t="str">
        <f>VLOOKUP(B63,cennik!A:C,2,0)</f>
        <v>SEVROLL 20173 montážny prípravok pre lamino 10mm malý</v>
      </c>
      <c r="D63" s="45"/>
      <c r="E63" s="91">
        <f>+VLOOKUP(B63,cennik!$A:$G,3,FALSE)</f>
        <v>5.0214600000000003</v>
      </c>
      <c r="F63" s="96">
        <f>+CEILING(D63,1)*E63</f>
        <v>0</v>
      </c>
      <c r="G63" s="92">
        <f>F63</f>
        <v>0</v>
      </c>
      <c r="H63" s="6" t="str">
        <f>cennik!$B$2</f>
        <v>EUR</v>
      </c>
      <c r="I63" s="469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">
      <c r="B64" s="167">
        <v>128842</v>
      </c>
      <c r="C64" s="167" t="str">
        <f>VLOOKUP(B64,cennik!A:C,2,0)</f>
        <v>SEVROLL 20144 vrták stupňovitý 6,5/9,5mm</v>
      </c>
      <c r="D64" s="45"/>
      <c r="E64" s="91">
        <f>+VLOOKUP(B64,cennik!$A:$G,3,FALSE)</f>
        <v>26.752659999999999</v>
      </c>
      <c r="F64" s="96">
        <f>+CEILING(D64,1)*E64</f>
        <v>0</v>
      </c>
      <c r="G64" s="92">
        <f>F64</f>
        <v>0</v>
      </c>
      <c r="H64" s="6" t="str">
        <f>cennik!$B$2</f>
        <v>EUR</v>
      </c>
      <c r="I64" s="469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">
      <c r="A65" s="646" t="str">
        <f>IF(SUM(D50:D51)&gt;0,IF(C7&lt;(B4/3),texty!$A$212,""),"")</f>
        <v/>
      </c>
      <c r="B65" s="646"/>
      <c r="C65" s="646"/>
      <c r="D65" s="646"/>
      <c r="E65" s="646"/>
      <c r="F65" s="646"/>
      <c r="G65" s="646"/>
      <c r="H65" s="646"/>
      <c r="I65" s="646"/>
      <c r="J65" s="646"/>
      <c r="K65" s="134"/>
    </row>
    <row r="66" spans="1:14" ht="12.75" customHeight="1" x14ac:dyDescent="0.2">
      <c r="B66" s="8"/>
      <c r="C66" s="8"/>
      <c r="D66" s="76" t="str">
        <f>texty!$A$15</f>
        <v>CELKOM  (bez DPH)</v>
      </c>
      <c r="E66" s="99"/>
      <c r="F66" s="101" t="e">
        <f>SUM(F27:F64)</f>
        <v>#N/A</v>
      </c>
      <c r="G66" s="101" t="e">
        <f>SUM(G28:G64)</f>
        <v>#N/A</v>
      </c>
      <c r="H66" s="6" t="str">
        <f>cennik!$B$2</f>
        <v>EUR</v>
      </c>
      <c r="J66" s="181"/>
      <c r="K66" s="181"/>
      <c r="L66" s="5" t="str">
        <f>texty!A128</f>
        <v xml:space="preserve">strieborná </v>
      </c>
      <c r="M66" s="21" t="s">
        <v>987</v>
      </c>
    </row>
    <row r="67" spans="1:14" ht="12.75" customHeight="1" x14ac:dyDescent="0.2">
      <c r="A67" s="75" t="str">
        <f>System10!$A$67</f>
        <v>Vaša poznámka:</v>
      </c>
      <c r="B67" s="652"/>
      <c r="C67" s="653"/>
      <c r="D67" s="653"/>
      <c r="E67" s="653"/>
      <c r="F67" s="653"/>
      <c r="G67" s="654"/>
      <c r="I67" s="5"/>
      <c r="L67" s="5" t="str">
        <f>texty!A130</f>
        <v>oliva</v>
      </c>
      <c r="M67" s="21" t="s">
        <v>43</v>
      </c>
    </row>
    <row r="68" spans="1:14" ht="12.75" customHeight="1" x14ac:dyDescent="0.2">
      <c r="A68" s="648">
        <f>profil!$U$15</f>
        <v>0</v>
      </c>
      <c r="B68" s="649"/>
      <c r="C68" s="649"/>
      <c r="D68" s="649"/>
      <c r="E68" s="649"/>
      <c r="F68" s="649"/>
      <c r="G68" s="649"/>
      <c r="H68" s="649"/>
    </row>
    <row r="69" spans="1:14" ht="12.75" customHeight="1" x14ac:dyDescent="0.2">
      <c r="A69" s="650">
        <f>IF(N69=1,texty!$A$215,IF(K69&gt;0,texty!$A$214,""))</f>
        <v>0</v>
      </c>
      <c r="B69" s="650"/>
      <c r="C69" s="650"/>
      <c r="D69" s="650"/>
      <c r="E69" s="650"/>
      <c r="F69" s="650"/>
      <c r="G69" s="650"/>
      <c r="H69" s="650"/>
      <c r="K69" s="6" t="e">
        <f>SUM(K28:K64)</f>
        <v>#N/A</v>
      </c>
      <c r="N69" s="5">
        <f>IF(ISERROR(K69),1,0)</f>
        <v>1</v>
      </c>
    </row>
    <row r="70" spans="1:14" ht="12.75" customHeight="1" x14ac:dyDescent="0.2"/>
    <row r="71" spans="1:14" ht="12.75" customHeight="1" x14ac:dyDescent="0.2"/>
  </sheetData>
  <sheetProtection algorithmName="SHA-512" hashValue="NWzsBoMJ70ImfN1s2/jBi/YNm4VJBfXDrPCzbu2kq3r0hp8UIyMXA2EYHYPFRy5dYjZ40ommxlN14L+iH/O7zg==" saltValue="tIdHsSDW17ktAMhPQn9Xsg==" spinCount="100000" sheet="1" objects="1" scenarios="1" selectLockedCell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A14">
    <cfRule type="expression" dxfId="182" priority="3">
      <formula>SUM($D$47:$D$48)&gt;0</formula>
    </cfRule>
  </conditionalFormatting>
  <conditionalFormatting sqref="D6">
    <cfRule type="expression" dxfId="180" priority="7">
      <formula>$D$4=4</formula>
    </cfRule>
    <cfRule type="expression" dxfId="179" priority="8">
      <formula>$D$4&lt;&gt;4</formula>
    </cfRule>
  </conditionalFormatting>
  <conditionalFormatting sqref="G4:J6">
    <cfRule type="expression" dxfId="178" priority="6">
      <formula>$D$4=4</formula>
    </cfRule>
  </conditionalFormatting>
  <conditionalFormatting sqref="I19:I20">
    <cfRule type="expression" dxfId="177" priority="4">
      <formula>$F$4=$M$67</formula>
    </cfRule>
  </conditionalFormatting>
  <conditionalFormatting sqref="I21:I22">
    <cfRule type="expression" dxfId="176" priority="5">
      <formula>$F$4=$M$66</formula>
    </cfRule>
  </conditionalFormatting>
  <dataValidations count="7">
    <dataValidation type="list" allowBlank="1" showInputMessage="1" showErrorMessage="1" sqref="E6:F6" xr:uid="{00000000-0002-0000-0C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5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8.7109375" style="5" customWidth="1"/>
    <col min="2" max="2" width="14.7109375" style="5" customWidth="1"/>
    <col min="3" max="3" width="40" style="5" customWidth="1"/>
    <col min="4" max="4" width="13.7109375" style="5" customWidth="1"/>
    <col min="5" max="5" width="13.42578125" style="5" customWidth="1"/>
    <col min="6" max="6" width="13.140625" style="5" customWidth="1"/>
    <col min="7" max="7" width="15.140625" style="5" bestFit="1" customWidth="1"/>
    <col min="8" max="8" width="4.7109375" style="6" bestFit="1" customWidth="1"/>
    <col min="9" max="9" width="23.140625" style="6" customWidth="1"/>
    <col min="10" max="10" width="15" style="6" hidden="1" customWidth="1"/>
    <col min="11" max="16384" width="15" style="5" hidden="1"/>
  </cols>
  <sheetData>
    <row r="1" spans="1:21" ht="13.5" customHeight="1" thickBot="1" x14ac:dyDescent="0.25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 x14ac:dyDescent="0.2">
      <c r="A2" s="523" t="s">
        <v>699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36" customHeight="1" thickBot="1" x14ac:dyDescent="0.25">
      <c r="A3" s="524" t="str">
        <f>CONCATENATE(texty!A243," ",5,".",59)</f>
        <v>katalóg kovania 2018 str. 5.59</v>
      </c>
      <c r="B3" s="420" t="str">
        <f>CONCATENATE(texty!A34," / max.      3 040 mm /")</f>
        <v>výška / max.      3 040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18" customHeight="1" x14ac:dyDescent="0.2">
      <c r="A4" s="10" t="str">
        <f>+System10!A4</f>
        <v>VNÚTORNÝ ROZMER SKRINE:</v>
      </c>
      <c r="B4" s="56"/>
      <c r="C4" s="56"/>
      <c r="D4" s="22"/>
      <c r="E4" s="22"/>
      <c r="F4" s="655"/>
      <c r="G4" s="655"/>
      <c r="H4" s="655"/>
      <c r="I4" s="655"/>
      <c r="J4" s="190"/>
      <c r="K4" s="8"/>
      <c r="N4" s="5">
        <f>IF(C4&lt;1701,1700,IF(C4&lt;2351,2350,IF(C4&lt;3001,3000,IF(C4&lt;4051,4050,6000))))</f>
        <v>1700</v>
      </c>
    </row>
    <row r="5" spans="1:21" ht="18" customHeight="1" x14ac:dyDescent="0.2">
      <c r="A5" s="476"/>
      <c r="B5" s="633" t="str">
        <f>texty!A46</f>
        <v>vypíšte tieto 4 políčka !!! Údaje v mm</v>
      </c>
      <c r="C5" s="633"/>
      <c r="D5" s="633"/>
      <c r="E5" s="633"/>
      <c r="F5" s="655"/>
      <c r="G5" s="655"/>
      <c r="H5" s="655"/>
      <c r="I5" s="655"/>
      <c r="J5" s="190"/>
      <c r="K5" s="3"/>
      <c r="N5" s="5" t="str">
        <f>CONCATENATE(N4,"-",E4)</f>
        <v>1700-</v>
      </c>
    </row>
    <row r="6" spans="1:21" ht="18" customHeight="1" x14ac:dyDescent="0.2">
      <c r="A6" s="10"/>
      <c r="B6" s="11" t="str">
        <f>IF(D4=4,texty!A227,"")</f>
        <v/>
      </c>
      <c r="D6" s="285">
        <v>3</v>
      </c>
      <c r="E6" s="8"/>
      <c r="F6" s="655"/>
      <c r="G6" s="655"/>
      <c r="H6" s="655"/>
      <c r="I6" s="655"/>
      <c r="J6" s="190"/>
      <c r="K6" s="6"/>
      <c r="Q6" s="636" t="s">
        <v>557</v>
      </c>
      <c r="R6" s="636" t="s">
        <v>558</v>
      </c>
      <c r="S6" s="636" t="s">
        <v>559</v>
      </c>
      <c r="T6" s="636" t="s">
        <v>560</v>
      </c>
    </row>
    <row r="7" spans="1:21" ht="12.75" customHeight="1" x14ac:dyDescent="0.2">
      <c r="A7" s="10" t="str">
        <f>texty!A71</f>
        <v>krídlo dverí:</v>
      </c>
      <c r="B7" s="57">
        <f>+B4-40</f>
        <v>-40</v>
      </c>
      <c r="C7" s="59" t="e">
        <f>+((C4-3+22*(D4-1))/D4+IF(AND(D4=4,D6=2),L1,0))</f>
        <v>#DIV/0!</v>
      </c>
      <c r="D7" s="8"/>
      <c r="E7" s="8"/>
      <c r="F7" s="50" t="str">
        <f>texty!$A$39</f>
        <v>V prípade použitia skla ako výplne</v>
      </c>
      <c r="G7" s="6"/>
      <c r="K7" s="6"/>
      <c r="N7" s="17" t="e">
        <f>IF(K11="jiné",L12,K11)</f>
        <v>#DIV/0!</v>
      </c>
      <c r="O7" s="21">
        <f>+E4</f>
        <v>0</v>
      </c>
      <c r="Q7" s="636"/>
      <c r="R7" s="636"/>
      <c r="S7" s="636"/>
      <c r="T7" s="636"/>
    </row>
    <row r="8" spans="1:21" ht="12.75" customHeight="1" x14ac:dyDescent="0.2">
      <c r="A8" s="10" t="str">
        <f>texty!A72</f>
        <v>rozmer výplne 10 mm:</v>
      </c>
      <c r="B8" s="57">
        <f>+B7-64</f>
        <v>-104</v>
      </c>
      <c r="C8" s="59" t="e">
        <f>+C7-25</f>
        <v>#DIV/0!</v>
      </c>
      <c r="D8" s="8"/>
      <c r="E8" s="8"/>
      <c r="F8" s="50" t="str">
        <f>texty!$A$40</f>
        <v>je treba použiť bezpečnostné sklo</v>
      </c>
      <c r="G8" s="6"/>
      <c r="K8" s="6" t="s">
        <v>60</v>
      </c>
      <c r="L8" s="5" t="s">
        <v>61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FLOOR(1700/Q8,1)</f>
        <v>#DIV/0!</v>
      </c>
      <c r="S8" s="5" t="e">
        <f>FLOOR(2350/Q8,1)</f>
        <v>#DIV/0!</v>
      </c>
      <c r="T8" s="5" t="e">
        <f>FLOOR(3000/Q8,1)</f>
        <v>#DIV/0!</v>
      </c>
    </row>
    <row r="9" spans="1:21" ht="12.75" customHeight="1" x14ac:dyDescent="0.2">
      <c r="A9" s="10" t="str">
        <f>texty!A73</f>
        <v>rozmer zrkadla / skla</v>
      </c>
      <c r="B9" s="57">
        <f>+B8</f>
        <v>-104</v>
      </c>
      <c r="C9" s="59" t="e">
        <f>+C8-4</f>
        <v>#DIV/0!</v>
      </c>
      <c r="D9" s="8"/>
      <c r="E9" s="8"/>
      <c r="F9" s="50" t="str">
        <f>texty!$A$41</f>
        <v>alebo sklo zabezpečiť ochrannou fóliou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4" si="0">Q8+$C$10+5</f>
        <v>#DIV/0!</v>
      </c>
      <c r="R9" s="5" t="e">
        <f>(1700-C10)*R17</f>
        <v>#DIV/0!</v>
      </c>
      <c r="S9" s="5" t="e">
        <f>(2350-C10)*S17</f>
        <v>#DIV/0!</v>
      </c>
      <c r="T9" s="5" t="e">
        <f>(3000-C10)*T17</f>
        <v>#DIV/0!</v>
      </c>
      <c r="U9" s="5" t="s">
        <v>562</v>
      </c>
    </row>
    <row r="10" spans="1:21" ht="12.75" customHeight="1" x14ac:dyDescent="0.2">
      <c r="A10" s="10" t="str">
        <f>texty!A74</f>
        <v>dĺžka vodiacej a krycej lišty krídla</v>
      </c>
      <c r="B10" s="57"/>
      <c r="C10" s="60" t="e">
        <f>+C7-42</f>
        <v>#DIV/0!</v>
      </c>
      <c r="D10" s="8"/>
      <c r="E10" s="8"/>
      <c r="F10" s="3" t="str">
        <f>texty!$A$43</f>
        <v>Maximálna hmotnosť krídla je 50 kg</v>
      </c>
      <c r="G10" s="6"/>
      <c r="K10" s="5" t="s">
        <v>59</v>
      </c>
      <c r="N10" s="17" t="e">
        <f>IF(K11="jiné",L13,"")</f>
        <v>#DIV/0!</v>
      </c>
      <c r="O10" s="21">
        <f>+E4</f>
        <v>0</v>
      </c>
      <c r="P10" s="5">
        <v>3</v>
      </c>
      <c r="Q10" s="159" t="e">
        <f t="shared" si="0"/>
        <v>#DIV/0!</v>
      </c>
    </row>
    <row r="11" spans="1:21" ht="12.75" customHeight="1" x14ac:dyDescent="0.2">
      <c r="A11" s="10" t="str">
        <f>texty!A75</f>
        <v>Horný/spodný profil</v>
      </c>
      <c r="B11" s="57"/>
      <c r="C11" s="189">
        <f>+C4</f>
        <v>0</v>
      </c>
      <c r="D11" s="8"/>
      <c r="E11" s="8"/>
      <c r="G11" s="40"/>
      <c r="K11" s="36" t="e">
        <f>IF((K9+L9)&lt;1700,1700,IF((K9+L9)&lt;2350,2350,IF((K9+L9)&lt;3000,3000,"jiné")))</f>
        <v>#DIV/0!</v>
      </c>
      <c r="M11" s="5" t="s">
        <v>62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">
      <c r="A12" s="10" t="str">
        <f>texty!A76</f>
        <v>úchytková lišta</v>
      </c>
      <c r="B12" s="488">
        <f>+B7</f>
        <v>-40</v>
      </c>
      <c r="C12" s="489"/>
      <c r="D12" s="8"/>
      <c r="E12" s="8"/>
      <c r="F12" s="6"/>
      <c r="G12" s="6"/>
      <c r="K12" s="6" t="e">
        <f>C10*(D4-1)+(D4*5)</f>
        <v>#DIV/0!</v>
      </c>
      <c r="L12" s="5" t="e">
        <f>IF(K12&lt;1700,1700,IF(K12&lt;2350,2350,IF(K12&lt;3000,3000,3000)))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">
      <c r="A13" s="10" t="str">
        <f>texty!A77</f>
        <v>dĺžka tesnenia na sklo na jednom krídle</v>
      </c>
      <c r="B13" s="58"/>
      <c r="C13" s="144" t="e">
        <f>ROUND(B8*2+C9*2,0)</f>
        <v>#DIV/0!</v>
      </c>
      <c r="D13" s="8"/>
      <c r="E13" s="8"/>
      <c r="F13" s="6"/>
      <c r="G13" s="6"/>
      <c r="K13" s="35" t="e">
        <f>C10+10</f>
        <v>#DIV/0!</v>
      </c>
      <c r="L13" s="5" t="e">
        <f>IF(M12&gt;=0,IF(K13&lt;1700,1700,IF(K13&lt;2350,2350,IF(K13&lt;3000,3000,"jiné"))),IF((K13+C10)&lt;1700,1700,IF((K13+C10)&lt;2350,2350,IF((K13+C10)&lt;3000,3000,"jiné"))))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ht="24" x14ac:dyDescent="0.2">
      <c r="A14" s="635" t="str">
        <f>IF(SUM(D48:D49)&gt;0,texty!A245,"")</f>
        <v/>
      </c>
      <c r="B14" s="635"/>
      <c r="C14" s="490" t="str">
        <f>texty!A78</f>
        <v>dodatočné odpočty výšky vypočítaných výplní pri použití deliacich profilov výplne:</v>
      </c>
      <c r="D14" s="8"/>
      <c r="E14" s="8"/>
      <c r="F14" s="6"/>
      <c r="G14" s="6"/>
      <c r="K14" s="6"/>
      <c r="L14" s="5" t="e">
        <f>SUM(L12:L13)</f>
        <v>#DIV/0!</v>
      </c>
      <c r="M14" s="5" t="e">
        <f>SUM(M12:M13)</f>
        <v>#DIV/0!</v>
      </c>
      <c r="P14" s="5">
        <v>7</v>
      </c>
      <c r="Q14" s="159" t="e">
        <f t="shared" si="0"/>
        <v>#DIV/0!</v>
      </c>
    </row>
    <row r="15" spans="1:21" ht="17.25" customHeight="1" x14ac:dyDescent="0.2">
      <c r="A15" s="635"/>
      <c r="B15" s="635"/>
      <c r="C15" s="490"/>
      <c r="D15" s="8"/>
      <c r="E15" s="8"/>
      <c r="F15" s="6"/>
      <c r="G15" s="6"/>
      <c r="K15" s="6"/>
      <c r="Q15" s="159"/>
    </row>
    <row r="16" spans="1:21" x14ac:dyDescent="0.2">
      <c r="A16" s="422"/>
      <c r="B16" s="17"/>
      <c r="C16" s="490"/>
      <c r="D16" s="8"/>
      <c r="E16" s="8"/>
      <c r="F16" s="6"/>
      <c r="G16" s="6"/>
      <c r="K16" s="6"/>
      <c r="Q16" s="159"/>
    </row>
    <row r="17" spans="1:21" ht="12.75" customHeight="1" x14ac:dyDescent="0.2">
      <c r="B17" s="17"/>
      <c r="C17" s="433"/>
      <c r="D17" s="8"/>
      <c r="E17" s="8"/>
      <c r="F17" s="6"/>
      <c r="G17" s="6"/>
      <c r="K17" s="6"/>
      <c r="L17" s="5" t="e">
        <f>L14-C4</f>
        <v>#DIV/0!</v>
      </c>
      <c r="P17" s="5" t="s">
        <v>561</v>
      </c>
      <c r="R17" s="5" t="e">
        <f>FLOOR($D$4/R8,1)</f>
        <v>#DIV/0!</v>
      </c>
      <c r="S17" s="5" t="e">
        <f>FLOOR($D$4/S8,1)</f>
        <v>#DIV/0!</v>
      </c>
      <c r="T17" s="5" t="e">
        <f>FLOOR($D$4/T8,1)</f>
        <v>#DIV/0!</v>
      </c>
    </row>
    <row r="18" spans="1:21" ht="12.75" customHeight="1" x14ac:dyDescent="0.2">
      <c r="A18" s="422"/>
      <c r="B18" s="17"/>
      <c r="C18" s="433"/>
      <c r="D18" s="8"/>
      <c r="E18" s="8"/>
      <c r="F18" s="6"/>
      <c r="G18" s="6"/>
      <c r="K18" s="6"/>
    </row>
    <row r="19" spans="1:21" ht="14.25" customHeight="1" x14ac:dyDescent="0.2">
      <c r="A19" s="422"/>
      <c r="B19" s="484" t="str">
        <f>texty!A242</f>
        <v>dilatácia 4 mm</v>
      </c>
      <c r="C19" s="119"/>
      <c r="D19" s="8"/>
      <c r="E19" s="8"/>
      <c r="F19" s="6"/>
      <c r="G19" s="6"/>
      <c r="K19" s="6"/>
    </row>
    <row r="20" spans="1:21" ht="16.5" customHeight="1" x14ac:dyDescent="0.2">
      <c r="A20" s="7"/>
      <c r="B20" s="8"/>
      <c r="C20" s="8"/>
      <c r="E20" s="8"/>
      <c r="F20" s="6"/>
      <c r="G20" s="6"/>
      <c r="K20" s="6"/>
      <c r="L20" s="6"/>
      <c r="Q20" s="5" t="s">
        <v>581</v>
      </c>
      <c r="R20" s="5" t="s">
        <v>580</v>
      </c>
      <c r="S20" s="5">
        <v>1700</v>
      </c>
      <c r="T20" s="5">
        <v>2350</v>
      </c>
      <c r="U20" s="5">
        <v>3000</v>
      </c>
    </row>
    <row r="21" spans="1:21" ht="16.5" customHeight="1" x14ac:dyDescent="0.2">
      <c r="A21" s="7"/>
      <c r="B21" s="8"/>
      <c r="C21" s="8"/>
      <c r="D21" s="13"/>
      <c r="E21" s="8"/>
      <c r="F21" s="6"/>
      <c r="G21" s="6"/>
      <c r="K21" s="6"/>
      <c r="P21" s="5">
        <v>1</v>
      </c>
      <c r="Q21" s="5" t="e">
        <f>R8</f>
        <v>#DIV/0!</v>
      </c>
      <c r="R21" s="5" t="e">
        <f>IF(Q21&gt;=D4,1,"")</f>
        <v>#DIV/0!</v>
      </c>
      <c r="S21" s="163" t="e">
        <f>IF(R21=1,1,"")</f>
        <v>#DIV/0!</v>
      </c>
      <c r="T21" s="163"/>
      <c r="U21" s="163"/>
    </row>
    <row r="22" spans="1:21" ht="12.75" customHeight="1" x14ac:dyDescent="0.2">
      <c r="A22" s="7"/>
      <c r="B22" s="8"/>
      <c r="C22" s="8"/>
      <c r="D22" s="8"/>
      <c r="E22" s="8"/>
      <c r="F22" s="6"/>
      <c r="G22" s="6"/>
      <c r="K22" s="3"/>
      <c r="P22" s="5">
        <v>2</v>
      </c>
      <c r="Q22" s="5" t="e">
        <f>S8</f>
        <v>#DIV/0!</v>
      </c>
      <c r="R22" s="5" t="e">
        <f>IF(Q22&gt;=D4,IF(R21=1,"",1),"")</f>
        <v>#DIV/0!</v>
      </c>
      <c r="S22" s="163"/>
      <c r="T22" s="163" t="e">
        <f>IF(R22=1,1,"")</f>
        <v>#DIV/0!</v>
      </c>
      <c r="U22" s="163"/>
    </row>
    <row r="23" spans="1:21" ht="12.75" customHeight="1" x14ac:dyDescent="0.2">
      <c r="A23" s="7"/>
      <c r="B23" s="8"/>
      <c r="C23" s="8"/>
      <c r="D23" s="8"/>
      <c r="E23" s="8"/>
      <c r="F23" s="6"/>
      <c r="G23" s="6"/>
      <c r="P23" s="5">
        <v>3</v>
      </c>
      <c r="Q23" s="5" t="e">
        <f>T8</f>
        <v>#DIV/0!</v>
      </c>
      <c r="R23" s="5" t="e">
        <f>IF(Q23&gt;=D4,IF(Q22&gt;=D4,"",1),"")</f>
        <v>#DIV/0!</v>
      </c>
      <c r="U23" s="163" t="e">
        <f>IF(R23=1,1,"")</f>
        <v>#DIV/0!</v>
      </c>
    </row>
    <row r="24" spans="1:21" ht="12.75" customHeight="1" x14ac:dyDescent="0.2">
      <c r="A24" s="7"/>
      <c r="B24" s="8"/>
      <c r="C24" s="8"/>
      <c r="D24" s="8"/>
      <c r="E24" s="8"/>
      <c r="F24" s="6"/>
      <c r="G24" s="6"/>
      <c r="K24" s="5" t="str">
        <f>CONCATENATE(M24,"-",$O$7)</f>
        <v>1700-0</v>
      </c>
      <c r="L24" s="6" t="e">
        <f>SUM(S21:S43)</f>
        <v>#DIV/0!</v>
      </c>
      <c r="M24" s="5">
        <v>1700</v>
      </c>
      <c r="O24" s="5" t="s">
        <v>563</v>
      </c>
      <c r="P24" s="162" t="s">
        <v>564</v>
      </c>
      <c r="Q24" s="5" t="e">
        <f>R8+S8</f>
        <v>#DIV/0!</v>
      </c>
      <c r="R24" s="5" t="e">
        <f>IF(Q24&gt;=D4,IF(SUM(R21:R23)&gt;0,"",1),"")</f>
        <v>#DIV/0!</v>
      </c>
      <c r="S24" s="163" t="e">
        <f>IF(R24=1,1,"")</f>
        <v>#DIV/0!</v>
      </c>
      <c r="T24" s="163" t="e">
        <f>IF(R24=1,1,"")</f>
        <v>#DIV/0!</v>
      </c>
    </row>
    <row r="25" spans="1:21" ht="12.75" customHeight="1" x14ac:dyDescent="0.2">
      <c r="A25" s="7"/>
      <c r="B25" s="8"/>
      <c r="D25" s="8"/>
      <c r="E25" s="8"/>
      <c r="F25" s="8"/>
      <c r="G25" s="130" t="str">
        <f>+System10!G25</f>
        <v>partnerská zľava:</v>
      </c>
      <c r="K25" s="5" t="str">
        <f>CONCATENATE(M25,"-",$O$7)</f>
        <v>2350-0</v>
      </c>
      <c r="L25" s="6" t="e">
        <f>SUM(T21:T43)</f>
        <v>#DIV/0!</v>
      </c>
      <c r="M25" s="5">
        <v>2350</v>
      </c>
      <c r="P25" s="5" t="s">
        <v>576</v>
      </c>
      <c r="Q25" s="5" t="e">
        <f>S8+S8</f>
        <v>#DIV/0!</v>
      </c>
      <c r="R25" s="5" t="e">
        <f>IF(Q25&gt;=D4,IF(SUM(R21:R24)&gt;0,"",1),"")</f>
        <v>#DIV/0!</v>
      </c>
      <c r="T25" s="163" t="e">
        <f>IF(R25=1,2,"")</f>
        <v>#DIV/0!</v>
      </c>
    </row>
    <row r="26" spans="1:21" ht="12.75" customHeight="1" x14ac:dyDescent="0.2">
      <c r="A26" s="14" t="str">
        <f>+System10!A26</f>
        <v>Objednávacie kódy, ceny:</v>
      </c>
      <c r="B26" s="8"/>
      <c r="D26" s="8"/>
      <c r="E26" s="8"/>
      <c r="F26" s="8"/>
      <c r="G26" s="142">
        <f>profil!C15</f>
        <v>0</v>
      </c>
      <c r="H26" s="28"/>
      <c r="K26" s="5" t="str">
        <f>CONCATENATE(M26,"-",$O$7)</f>
        <v>3000-0</v>
      </c>
      <c r="L26" s="6" t="e">
        <f>SUM(U21:U43)</f>
        <v>#DIV/0!</v>
      </c>
      <c r="M26" s="5">
        <v>3000</v>
      </c>
      <c r="N26" s="160"/>
      <c r="P26" s="5" t="s">
        <v>565</v>
      </c>
      <c r="Q26" s="5" t="e">
        <f>R8+T8</f>
        <v>#DIV/0!</v>
      </c>
      <c r="R26" s="5" t="e">
        <f>IF(Q26&gt;=D4,IF(SUM(R21:R25)&gt;0,"",1),"")</f>
        <v>#DIV/0!</v>
      </c>
      <c r="S26" s="163" t="e">
        <f>IF(R26=1,1,"")</f>
        <v>#DIV/0!</v>
      </c>
      <c r="U26" s="163" t="e">
        <f>IF(R26=1,1,"")</f>
        <v>#DIV/0!</v>
      </c>
    </row>
    <row r="27" spans="1:21" ht="12.75" customHeight="1" x14ac:dyDescent="0.2">
      <c r="A27" s="7"/>
      <c r="B27" s="19" t="str">
        <f>+System10!B27</f>
        <v>kód</v>
      </c>
      <c r="C27" s="18" t="str">
        <f>+System10!C27</f>
        <v>názov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celkom</v>
      </c>
      <c r="G27" s="20" t="str">
        <f>+System10!G27</f>
        <v>celkom netto:</v>
      </c>
      <c r="I27" s="18" t="str">
        <f>texty!A29</f>
        <v>Poznámka:</v>
      </c>
      <c r="J27" s="18"/>
      <c r="K27" s="6"/>
      <c r="L27" s="5">
        <f>COUNT(L24,L25,L26)</f>
        <v>0</v>
      </c>
      <c r="M27" s="160"/>
      <c r="N27" s="160"/>
      <c r="P27" s="5" t="s">
        <v>566</v>
      </c>
      <c r="Q27" s="5" t="e">
        <f>S8+T8</f>
        <v>#DIV/0!</v>
      </c>
      <c r="R27" s="5" t="e">
        <f>IF(Q27&gt;=D4,IF(SUM(R21:R26)&gt;0,"",1),"")</f>
        <v>#DIV/0!</v>
      </c>
      <c r="T27" s="163" t="e">
        <f>IF(R27=1,1,"")</f>
        <v>#DIV/0!</v>
      </c>
      <c r="U27" s="163" t="e">
        <f>IF(R27=1,1,"")</f>
        <v>#DIV/0!</v>
      </c>
    </row>
    <row r="28" spans="1:21" ht="12.75" customHeight="1" x14ac:dyDescent="0.2">
      <c r="A28" s="7" t="str">
        <f>+System10!A28</f>
        <v>Horný profil:</v>
      </c>
      <c r="B28" s="16" t="e">
        <f>+VLOOKUP(N5,data!$C$688:$D$697,2,0)</f>
        <v>#N/A</v>
      </c>
      <c r="C28" s="25" t="e">
        <f>+VLOOKUP(B28,cennik!$A:$G,2,FALSE)</f>
        <v>#N/A</v>
      </c>
      <c r="D28" s="17">
        <v>1</v>
      </c>
      <c r="E28" s="91" t="e">
        <f>+VLOOKUP(B28,cennik!$A:$G,3,FALSE)</f>
        <v>#N/A</v>
      </c>
      <c r="F28" s="91" t="e">
        <f t="shared" ref="F28:F38" si="1">+E28*D28</f>
        <v>#N/A</v>
      </c>
      <c r="G28" s="92" t="e">
        <f t="shared" ref="G28:G38" si="2">+F28*(100-$G$26)/100</f>
        <v>#N/A</v>
      </c>
      <c r="H28" s="6" t="str">
        <f>cennik!$B$2</f>
        <v>EUR</v>
      </c>
      <c r="I28" s="469" t="str">
        <f>IFERROR(IF((VLOOKUP(B28,cennik!A:L,12,0))="O",texty!$A$250,""),"")</f>
        <v/>
      </c>
      <c r="J28" s="191" t="e">
        <f>IF(D28&gt;0,IF(VLOOKUP(B28,cennik!A:L,12,FALSE)="O",1,""),"")</f>
        <v>#N/A</v>
      </c>
      <c r="K28" s="6"/>
      <c r="L28" s="160"/>
      <c r="M28" s="160"/>
      <c r="N28" s="160"/>
      <c r="P28" s="5" t="s">
        <v>577</v>
      </c>
      <c r="Q28" s="5" t="e">
        <f>T8+T8</f>
        <v>#DIV/0!</v>
      </c>
      <c r="R28" s="5" t="e">
        <f>IF(Q28&gt;=D4,IF(SUM(R21:R27)&gt;0,"",1),"")</f>
        <v>#DIV/0!</v>
      </c>
      <c r="U28" s="163" t="e">
        <f>IF(R28=1,2,"")</f>
        <v>#DIV/0!</v>
      </c>
    </row>
    <row r="29" spans="1:21" ht="12.75" customHeight="1" x14ac:dyDescent="0.2">
      <c r="A29" s="7" t="str">
        <f>+System10!A29</f>
        <v>spodný profil:</v>
      </c>
      <c r="B29" s="16" t="e">
        <f>+VLOOKUP(N5,data!$C$698:$D$707,2,0)</f>
        <v>#N/A</v>
      </c>
      <c r="C29" s="25" t="e">
        <f>+VLOOKUP(B29,cennik!$A:$G,2,FALSE)</f>
        <v>#N/A</v>
      </c>
      <c r="D29" s="17">
        <v>1</v>
      </c>
      <c r="E29" s="91" t="e">
        <f>+VLOOKUP(B29,cennik!$A:$G,3,FALSE)</f>
        <v>#N/A</v>
      </c>
      <c r="F29" s="91" t="e">
        <f t="shared" si="1"/>
        <v>#N/A</v>
      </c>
      <c r="G29" s="92" t="e">
        <f t="shared" si="2"/>
        <v>#N/A</v>
      </c>
      <c r="H29" s="6" t="str">
        <f>cennik!$B$2</f>
        <v>EUR</v>
      </c>
      <c r="I29" s="469" t="str">
        <f>IFERROR(IF((VLOOKUP(B29,cennik!A:L,12,0))="O",texty!$A$250,""),"")</f>
        <v/>
      </c>
      <c r="J29" s="191" t="e">
        <f>IF(D29&gt;0,IF(VLOOKUP(B29,cennik!A:L,12,FALSE)="O",1,""),"")</f>
        <v>#N/A</v>
      </c>
      <c r="K29" s="6" t="s">
        <v>567</v>
      </c>
      <c r="L29" s="5" t="e">
        <f>IF(L24=0,IF(L25=0,K26,K25),K24)</f>
        <v>#DIV/0!</v>
      </c>
      <c r="M29" s="160" t="e">
        <f>IF(L29=K24,L24,IF(L29=K25,L25,IF(L29=K26,L26,"chyba")))</f>
        <v>#DIV/0!</v>
      </c>
      <c r="N29" s="160"/>
      <c r="O29" s="160"/>
      <c r="P29" s="5" t="s">
        <v>578</v>
      </c>
      <c r="Q29" s="5" t="e">
        <f>R8+R8+R8</f>
        <v>#DIV/0!</v>
      </c>
      <c r="R29" s="5" t="e">
        <f>IF(Q29&gt;=D4,IF(SUM(R21:R28)&gt;0,"",1),"")</f>
        <v>#DIV/0!</v>
      </c>
      <c r="S29" s="163" t="e">
        <f>IF(R29=1,3,"")</f>
        <v>#DIV/0!</v>
      </c>
    </row>
    <row r="30" spans="1:21" ht="12.75" customHeight="1" x14ac:dyDescent="0.2">
      <c r="A30" s="7" t="str">
        <f>+System10!$A$30</f>
        <v>krycí profil (maska):</v>
      </c>
      <c r="B30" s="16" t="e">
        <f>+VLOOKUP(N5,data!$C$708:$D$717,2,0)</f>
        <v>#N/A</v>
      </c>
      <c r="C30" s="25" t="e">
        <f>+VLOOKUP(B30,cennik!$A:$G,2,FALSE)</f>
        <v>#N/A</v>
      </c>
      <c r="D30" s="17">
        <v>1</v>
      </c>
      <c r="E30" s="91" t="e">
        <f>+VLOOKUP(B30,cennik!$A:$G,3,FALSE)</f>
        <v>#N/A</v>
      </c>
      <c r="F30" s="91" t="e">
        <f t="shared" si="1"/>
        <v>#N/A</v>
      </c>
      <c r="G30" s="92" t="e">
        <f t="shared" si="2"/>
        <v>#N/A</v>
      </c>
      <c r="H30" s="6" t="str">
        <f>cennik!$B$2</f>
        <v>EUR</v>
      </c>
      <c r="I30" s="469" t="str">
        <f>IFERROR(IF((VLOOKUP(B30,cennik!A:L,12,0))="O",texty!$A$250,""),"")</f>
        <v/>
      </c>
      <c r="J30" s="191" t="e">
        <f>IF(D30&gt;0,IF(VLOOKUP(B30,cennik!A:L,12,FALSE)="O",1,""),"")</f>
        <v>#N/A</v>
      </c>
      <c r="K30" s="6"/>
      <c r="M30" s="160"/>
      <c r="N30" s="160"/>
      <c r="O30" s="160"/>
      <c r="S30" s="163"/>
    </row>
    <row r="31" spans="1:21" ht="12.75" customHeight="1" x14ac:dyDescent="0.2">
      <c r="A31" s="7" t="str">
        <f>+System10!A31</f>
        <v>horné vozíky (sady)</v>
      </c>
      <c r="B31" s="16">
        <v>229442</v>
      </c>
      <c r="C31" s="25" t="str">
        <f>+VLOOKUP(B31,cennik!$A:$G,2,FALSE)</f>
        <v>SEVROLL 10205 Master horný vozík 10mm - 2ks</v>
      </c>
      <c r="D31" s="17">
        <f>IF((D50+D51)&gt;D4,0,D4-(D50+D51))</f>
        <v>0</v>
      </c>
      <c r="E31" s="91">
        <f>+VLOOKUP(B31,cennik!$A:$G,3,FALSE)</f>
        <v>7.5254500000000002</v>
      </c>
      <c r="F31" s="91">
        <f t="shared" si="1"/>
        <v>0</v>
      </c>
      <c r="G31" s="92">
        <f t="shared" si="2"/>
        <v>0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K31" s="6" t="s">
        <v>568</v>
      </c>
      <c r="L31" s="5" t="e">
        <f>IF(L29=K26,"jiné",IF(L29=K24,IF(L25&lt;&gt;0,K25,IF(L26&lt;&gt;0,K26,"jiné")),IF(L26&lt;&gt;0,K26,"jiné")))</f>
        <v>#DIV/0!</v>
      </c>
      <c r="M31" s="160" t="e">
        <f>IF(L31=K25,L25,IF(L31=K26,L26,IF(L31=K27,L27,0)))</f>
        <v>#DIV/0!</v>
      </c>
      <c r="N31" s="160"/>
      <c r="O31" s="160"/>
      <c r="P31" s="5" t="s">
        <v>569</v>
      </c>
      <c r="Q31" s="5" t="e">
        <f>R8+2*S8</f>
        <v>#DIV/0!</v>
      </c>
      <c r="R31" s="5" t="e">
        <f>IF(Q31&gt;=D4,IF(SUM(R21:R29)&gt;0,"",1),"")</f>
        <v>#DIV/0!</v>
      </c>
      <c r="S31" s="163" t="e">
        <f>IF(R31=1,1,"")</f>
        <v>#DIV/0!</v>
      </c>
      <c r="T31" s="163" t="e">
        <f>IF(R31=1,2,"")</f>
        <v>#DIV/0!</v>
      </c>
    </row>
    <row r="32" spans="1:21" ht="12.75" customHeight="1" x14ac:dyDescent="0.2">
      <c r="A32" s="7" t="str">
        <f>+System10!A32</f>
        <v>spodné vozíky (sada)</v>
      </c>
      <c r="B32" s="16">
        <v>328321</v>
      </c>
      <c r="C32" s="25" t="str">
        <f>+VLOOKUP(B32,cennik!$A:$G,2,FALSE)</f>
        <v>SEVROLL 10238 spodný vozík WD10 V 2ks bez pozicionéru</v>
      </c>
      <c r="D32" s="17">
        <f>+D4</f>
        <v>0</v>
      </c>
      <c r="E32" s="91">
        <f>+VLOOKUP(B32,cennik!$A:$G,3,FALSE)</f>
        <v>5.9682199999999996</v>
      </c>
      <c r="F32" s="91">
        <f t="shared" si="1"/>
        <v>0</v>
      </c>
      <c r="G32" s="92">
        <f t="shared" si="2"/>
        <v>0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579</v>
      </c>
      <c r="Q32" s="5" t="e">
        <f>S8+S8+S8</f>
        <v>#DIV/0!</v>
      </c>
      <c r="R32" s="5" t="e">
        <f>IF(Q32&gt;=D4,IF(SUM(R21:R31)&gt;0,"",1),"")</f>
        <v>#DIV/0!</v>
      </c>
      <c r="T32" s="163" t="e">
        <f>IF(R32=1,3,"")</f>
        <v>#DIV/0!</v>
      </c>
    </row>
    <row r="33" spans="1:21" ht="12.75" customHeight="1" x14ac:dyDescent="0.2">
      <c r="A33" s="7" t="str">
        <f>+System10!A33</f>
        <v>dorazový kartáč</v>
      </c>
      <c r="B33" s="16">
        <v>98067</v>
      </c>
      <c r="C33" s="25" t="str">
        <f>+VLOOKUP(B33,cennik!$A:$G,2,FALSE)</f>
        <v>SEVROLL dorazová kefa zásuvná 14x4mm sivá</v>
      </c>
      <c r="D33" s="17">
        <f>CEILING((B4*D4*2/1000),1)</f>
        <v>0</v>
      </c>
      <c r="E33" s="91">
        <f>+VLOOKUP(B33,cennik!$A:$G,3,FALSE)</f>
        <v>0.19361999999999999</v>
      </c>
      <c r="F33" s="91">
        <f t="shared" si="1"/>
        <v>0</v>
      </c>
      <c r="G33" s="92">
        <f t="shared" si="2"/>
        <v>0</v>
      </c>
      <c r="H33" s="6" t="str">
        <f>cennik!$B$2</f>
        <v>EUR</v>
      </c>
      <c r="I33" s="469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21" ht="12.75" customHeight="1" x14ac:dyDescent="0.2">
      <c r="A34" s="7" t="str">
        <f>+System10!A34</f>
        <v>úchytková lišta</v>
      </c>
      <c r="B34" s="16" t="e">
        <f>IF(B12&gt;2700, VLOOKUP(O7,data!$C$510:$D$511,2,0),IF(B12&lt;1501, VLOOKUP(O7,data!$C$510:$D$511,2,0),IF(B12&gt;1347, VLOOKUP(O7,data!$C$508:$D$509,2,0), VLOOKUP(O7,data!$C$508:$D$509,2,0))))</f>
        <v>#N/A</v>
      </c>
      <c r="C34" s="25" t="e">
        <f>+VLOOKUP(B34,cennik!$A:$G,2,FALSE)</f>
        <v>#N/A</v>
      </c>
      <c r="D34" s="17">
        <f>IF(B12&lt;=1533,D4*2/2,D4*2)</f>
        <v>0</v>
      </c>
      <c r="E34" s="91" t="e">
        <f>+VLOOKUP(B34,cennik!$A:$G,3,FALSE)</f>
        <v>#N/A</v>
      </c>
      <c r="F34" s="91" t="e">
        <f t="shared" si="1"/>
        <v>#N/A</v>
      </c>
      <c r="G34" s="92" t="e">
        <f t="shared" si="2"/>
        <v>#N/A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</row>
    <row r="35" spans="1:21" ht="12.75" customHeight="1" x14ac:dyDescent="0.2">
      <c r="A35" s="7" t="str">
        <f>+System10!A35</f>
        <v>spojovacia skrutka</v>
      </c>
      <c r="B35" s="6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>+E35*D35</f>
        <v>0</v>
      </c>
      <c r="G35" s="92">
        <f>+F35*(100-$G$26)/100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3"/>
    </row>
    <row r="36" spans="1:21" ht="12.75" customHeight="1" x14ac:dyDescent="0.2">
      <c r="A36" s="7" t="str">
        <f>+System10!A36</f>
        <v>horný profil rámu (vodiaca lišta)</v>
      </c>
      <c r="B36" s="16" t="e">
        <f>+VLOOKUP(L29,data!C305:D322,2,0)</f>
        <v>#DIV/0!</v>
      </c>
      <c r="C36" s="25" t="e">
        <f>+VLOOKUP(B36,cennik!$A:$G,2,FALSE)</f>
        <v>#DIV/0!</v>
      </c>
      <c r="D36" s="64" t="e">
        <f>M29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6" t="str">
        <f>cennik!$B$2</f>
        <v>EUR</v>
      </c>
      <c r="I36" s="469" t="str">
        <f>IFERROR(IF((VLOOKUP(B36,cennik!A:L,12,0))="O",texty!$A$250,""),"")</f>
        <v/>
      </c>
      <c r="J36" s="191" t="e">
        <f>IF(D36&gt;0,IF(VLOOKUP(B36,cennik!A:L,12,FALSE)="O",1,""),"")</f>
        <v>#DIV/0!</v>
      </c>
      <c r="K36" s="3">
        <f>+System10!L22</f>
        <v>0</v>
      </c>
    </row>
    <row r="37" spans="1:21" ht="12.75" customHeight="1" x14ac:dyDescent="0.2">
      <c r="A37" s="7" t="str">
        <f>+System10!A37</f>
        <v>horný profil rámu (vodiaca lišta)</v>
      </c>
      <c r="B37" s="16" t="e">
        <f>IF(L31&lt;&gt;"jiné",+VLOOKUP(L31,data!C304:D321,2,0),"")</f>
        <v>#DIV/0!</v>
      </c>
      <c r="C37" s="25" t="e">
        <f>IF(L31&lt;&gt;"jiné",+VLOOKUP(B37,cennik!$A:$G,2,FALSE),texty!$A$2)</f>
        <v>#DIV/0!</v>
      </c>
      <c r="D37" s="64" t="e">
        <f>M31</f>
        <v>#DIV/0!</v>
      </c>
      <c r="E37" s="91" t="e">
        <f>IF(L31&lt;&gt;"jiné",+VLOOKUP(B37,cennik!$A:$G,3,FALSE),0)</f>
        <v>#DIV/0!</v>
      </c>
      <c r="F37" s="91" t="e">
        <f>+E37*D37</f>
        <v>#DIV/0!</v>
      </c>
      <c r="G37" s="92" t="e">
        <f>+F37*(100-$G$26)/100</f>
        <v>#DIV/0!</v>
      </c>
      <c r="H37" s="6" t="str">
        <f>cennik!$B$2</f>
        <v>EUR</v>
      </c>
      <c r="I37" s="469" t="str">
        <f>IFERROR(IF((VLOOKUP(B37,cennik!A:L,12,0))="O",texty!$A$250,""),"")</f>
        <v/>
      </c>
      <c r="J37" s="191" t="e">
        <f>IF(D37&gt;0,IF(VLOOKUP(B37,cennik!A:L,12,FALSE)="O",1,""),"")</f>
        <v>#DIV/0!</v>
      </c>
      <c r="K37" s="3"/>
    </row>
    <row r="38" spans="1:21" ht="12.75" customHeight="1" x14ac:dyDescent="0.2">
      <c r="A38" s="7" t="str">
        <f>+System10!A38</f>
        <v>horizontálny spodný profil rámu</v>
      </c>
      <c r="B38" s="6" t="e">
        <f>+VLOOKUP(L29,data!$C$370:$D$384,2,0)</f>
        <v>#DIV/0!</v>
      </c>
      <c r="C38" s="25" t="e">
        <f>+VLOOKUP(B38,cennik!$A:$G,2,FALSE)</f>
        <v>#DIV/0!</v>
      </c>
      <c r="D38" s="64" t="e">
        <f>M29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6" t="str">
        <f>cennik!$B$2</f>
        <v>EUR</v>
      </c>
      <c r="I38" s="469" t="str">
        <f>IFERROR(IF((VLOOKUP(B38,cennik!A:L,12,0))="O",texty!$A$250,""),"")</f>
        <v/>
      </c>
      <c r="J38" s="191" t="e">
        <f>IF(D38&gt;0,IF(VLOOKUP(B38,cennik!A:L,12,FALSE)="O",1,""),"")</f>
        <v>#DIV/0!</v>
      </c>
      <c r="K38" s="3" t="str">
        <f>+System10!L24</f>
        <v>1700-0</v>
      </c>
    </row>
    <row r="39" spans="1:21" ht="12.75" customHeight="1" x14ac:dyDescent="0.2">
      <c r="A39" s="7" t="str">
        <f>+System10!A39</f>
        <v>horizontálny spodný profil rámu</v>
      </c>
      <c r="B39" s="16" t="e">
        <f>IF(L31&lt;&gt;"jiné",+VLOOKUP(L31,data!$C$370:$D$384,2,0),"")</f>
        <v>#DIV/0!</v>
      </c>
      <c r="C39" s="25" t="e">
        <f>IF(L31&lt;&gt;"jiné",+VLOOKUP(B39,cennik!$A:$G,2,FALSE),texty!$A$2)</f>
        <v>#DIV/0!</v>
      </c>
      <c r="D39" s="64" t="e">
        <f>M31</f>
        <v>#DIV/0!</v>
      </c>
      <c r="E39" s="91" t="e">
        <f>IF(L31&lt;&gt;"jiné",+VLOOKUP(B39,cennik!$A:$G,3,FALSE),0)</f>
        <v>#DIV/0!</v>
      </c>
      <c r="F39" s="91" t="e">
        <f>+E39*D39</f>
        <v>#DIV/0!</v>
      </c>
      <c r="G39" s="92" t="e">
        <f>+F39*(100-$G$26)/100</f>
        <v>#DIV/0!</v>
      </c>
      <c r="H39" s="6" t="str">
        <f>cennik!$B$2</f>
        <v>EUR</v>
      </c>
      <c r="I39" s="469" t="str">
        <f>IFERROR(IF((VLOOKUP(B39,cennik!A:L,12,0))="O",texty!$A$250,""),"")</f>
        <v/>
      </c>
      <c r="J39" s="191" t="e">
        <f>IF(D39&gt;0,IF(VLOOKUP(B39,cennik!A:L,12,FALSE)="O",1,""),"")</f>
        <v>#DIV/0!</v>
      </c>
      <c r="K39" s="3"/>
    </row>
    <row r="40" spans="1:21" ht="12.75" customHeight="1" x14ac:dyDescent="0.2">
      <c r="E40" s="94"/>
      <c r="F40" s="94"/>
      <c r="G40" s="94"/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">
      <c r="A41" s="14" t="str">
        <f>texty!$A$66</f>
        <v>Voliteľné príslušenstvo:</v>
      </c>
      <c r="B41" s="15"/>
      <c r="D41" s="26" t="str">
        <f>System10!$D$41</f>
        <v>zadajte počet:</v>
      </c>
      <c r="E41" s="95"/>
      <c r="F41" s="95"/>
      <c r="G41" s="94"/>
      <c r="I41" s="469" t="str">
        <f>IFERROR(IF((VLOOKUP(B41,cennik!A:L,12,0))="O",texty!$A$250,""),"")</f>
        <v/>
      </c>
      <c r="J41" s="191"/>
      <c r="K41" s="3"/>
    </row>
    <row r="42" spans="1:21" ht="12.75" customHeight="1" x14ac:dyDescent="0.2">
      <c r="A42" s="7" t="str">
        <f>texty!$A$88</f>
        <v>pozicionér do horného vedenia</v>
      </c>
      <c r="B42" s="15">
        <v>298035</v>
      </c>
      <c r="C42" s="25" t="str">
        <f>+VLOOKUP(B42,cennik!$A:$G,2,FALSE)</f>
        <v>SEVROLL 20326 Fix pozicionér pre horný vozík transparentný</v>
      </c>
      <c r="D42" s="29"/>
      <c r="E42" s="91">
        <f>+VLOOKUP(B42,cennik!$A:$G,3,FALSE)</f>
        <v>1.0837300000000001</v>
      </c>
      <c r="F42" s="96">
        <f t="shared" ref="F42:F53" si="3">+CEILING(D42,1)*E42</f>
        <v>0</v>
      </c>
      <c r="G42" s="92">
        <f t="shared" ref="G42:G55" si="4">+F42*(100-$G$26)/100</f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/>
      <c r="K42" s="3"/>
    </row>
    <row r="43" spans="1:21" ht="12.75" customHeight="1" x14ac:dyDescent="0.2">
      <c r="A43" s="7" t="str">
        <f>+System10!A43</f>
        <v xml:space="preserve">pozicionér </v>
      </c>
      <c r="B43" s="16">
        <v>89063</v>
      </c>
      <c r="C43" s="25" t="str">
        <f>+VLOOKUP(B43,cennik!$A:$G,2,FALSE)</f>
        <v>SEVROLL 20080 pozicionér spodného vozíka HI-TEC</v>
      </c>
      <c r="D43" s="29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  <c r="L43" s="160"/>
      <c r="M43" s="160"/>
      <c r="N43" s="160"/>
      <c r="O43" s="160"/>
      <c r="P43" s="5" t="s">
        <v>570</v>
      </c>
      <c r="Q43" s="5" t="e">
        <f>R8+2*T8</f>
        <v>#DIV/0!</v>
      </c>
      <c r="R43" s="5" t="e">
        <f>IF(Q43&gt;=D4,IF(SUM(R21:R32)&gt;0,"",1),"")</f>
        <v>#DIV/0!</v>
      </c>
      <c r="S43" s="163" t="e">
        <f>IF(R43=1,1,"")</f>
        <v>#DIV/0!</v>
      </c>
      <c r="U43" s="163" t="e">
        <f>IF(R43=1,2,"")</f>
        <v>#DIV/0!</v>
      </c>
    </row>
    <row r="44" spans="1:21" ht="12.75" customHeight="1" x14ac:dyDescent="0.2">
      <c r="A44" s="7" t="str">
        <f>texty!A179</f>
        <v>skrutka k spodnémi vedeniu</v>
      </c>
      <c r="B44" s="15">
        <v>98019</v>
      </c>
      <c r="C44" s="25" t="str">
        <f>+VLOOKUP(B44,cennik!$A:$G,2,FALSE)</f>
        <v>SEVROLL 20041 skrutka 2,5x18mm polguľatá hlava zinok biely</v>
      </c>
      <c r="D44" s="29"/>
      <c r="E44" s="91">
        <f>+VLOOKUP(B44,cennik!$A:$G,3,FALSE)</f>
        <v>2.9159999999999998E-2</v>
      </c>
      <c r="F44" s="96">
        <f t="shared" si="3"/>
        <v>0</v>
      </c>
      <c r="G44" s="92">
        <f t="shared" si="4"/>
        <v>0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">
      <c r="A45" s="422" t="str">
        <f>texty!$A$228</f>
        <v> Tlmič dorazu MINI do 25 kg (pár)</v>
      </c>
      <c r="B45" s="16">
        <v>318662</v>
      </c>
      <c r="C45" s="25" t="str">
        <f>+VLOOKUP(B45,cennik!$A:$G,2,FALSE)</f>
        <v>SEVROLL 20368-SV tlmič dorazu Mini SV25 (14-25kg)</v>
      </c>
      <c r="D45" s="29"/>
      <c r="E45" s="91">
        <f>+VLOOKUP(B45,cennik!$A:$G,3,FALSE)</f>
        <v>22.75825</v>
      </c>
      <c r="F45" s="96">
        <f>+CEILING(D45,1)*E45</f>
        <v>0</v>
      </c>
      <c r="G45" s="92">
        <f t="shared" si="4"/>
        <v>0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">
      <c r="A46" s="422" t="str">
        <f>texty!$A$229</f>
        <v> Tlmič dorazu MINI do 40 kg (pár)</v>
      </c>
      <c r="B46" s="24">
        <v>283956</v>
      </c>
      <c r="C46" s="25" t="str">
        <f>+VLOOKUP(B46,cennik!$A:$G,2,FALSE)</f>
        <v>SEVROLL 20258-SV tlmič dorazu Mini SV40 (25 - 40kg)</v>
      </c>
      <c r="D46" s="29"/>
      <c r="E46" s="91">
        <f>+VLOOKUP(B46,cennik!$A:$G,3,FALSE)</f>
        <v>22.75825</v>
      </c>
      <c r="F46" s="96">
        <f>+CEILING(D46,1)*E46</f>
        <v>0</v>
      </c>
      <c r="G46" s="92">
        <f t="shared" si="4"/>
        <v>0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">
      <c r="A47" s="422" t="str">
        <f>texty!$A$230</f>
        <v> Tlmič dorazu MINI do 60 kg (pár)</v>
      </c>
      <c r="B47" s="24">
        <v>351743</v>
      </c>
      <c r="C47" s="25" t="str">
        <f>+VLOOKUP(B47,cennik!$A:$G,2,FALSE)</f>
        <v>SEVROLL 20339-SV tlmič dorazu Mini SV60 (40 - 60kg)</v>
      </c>
      <c r="D47" s="29"/>
      <c r="E47" s="91">
        <f>+VLOOKUP(B47,cennik!$A:$G,3,FALSE)</f>
        <v>22.75825</v>
      </c>
      <c r="F47" s="96">
        <f>+CEILING(D47,1)*E47</f>
        <v>0</v>
      </c>
      <c r="G47" s="92">
        <f t="shared" si="4"/>
        <v>0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3"/>
    </row>
    <row r="48" spans="1:21" ht="12.75" customHeight="1" x14ac:dyDescent="0.2">
      <c r="A48" s="422" t="str">
        <f>texty!$A$231</f>
        <v> Tlmič pre stredné krídlo do 25 kg</v>
      </c>
      <c r="B48" s="24">
        <v>318663</v>
      </c>
      <c r="C48" s="25" t="str">
        <f>+VLOOKUP(B48,cennik!$A:$G,2,FALSE)</f>
        <v>SEVROLL 20363-SV tlmič Central 10/18mm obojstranný 25kg</v>
      </c>
      <c r="D48" s="29"/>
      <c r="E48" s="91">
        <f>+VLOOKUP(B48,cennik!$A:$G,3,FALSE)</f>
        <v>48.741869999999999</v>
      </c>
      <c r="F48" s="96">
        <f>+CEILING(D48,1)*E48</f>
        <v>0</v>
      </c>
      <c r="G48" s="92">
        <f t="shared" si="4"/>
        <v>0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3"/>
    </row>
    <row r="49" spans="1:11" ht="12.75" customHeight="1" x14ac:dyDescent="0.2">
      <c r="A49" s="422" t="str">
        <f>texty!$A$232</f>
        <v> Tlmič pre stredné krídlo do 40 kg</v>
      </c>
      <c r="B49" s="24">
        <v>283955</v>
      </c>
      <c r="C49" s="25" t="str">
        <f>+VLOOKUP(B49,cennik!$A:$G,2,FALSE)</f>
        <v>SEVROLL 20319-SV tlmič Central 10/18mm obojstranný 25-40kg</v>
      </c>
      <c r="D49" s="29"/>
      <c r="E49" s="91">
        <f>+VLOOKUP(B49,cennik!$A:$G,3,FALSE)</f>
        <v>48.741869999999999</v>
      </c>
      <c r="F49" s="96">
        <f>+CEILING(D49,1)*E49</f>
        <v>0</v>
      </c>
      <c r="G49" s="92">
        <f t="shared" si="4"/>
        <v>0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1" ht="12.75" customHeight="1" x14ac:dyDescent="0.2">
      <c r="A50" s="7" t="str">
        <f>System10!A49</f>
        <v>tlmič dorazu (pár) 25 kg</v>
      </c>
      <c r="B50" s="24">
        <v>227185</v>
      </c>
      <c r="C50" s="25" t="str">
        <f>+VLOOKUP(B50,cennik!$A:$G,2,FALSE)</f>
        <v>K-SEVROLL tlmič dorazu 10/18mm 14-25kg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">
      <c r="A51" s="7" t="str">
        <f>texty!$A$98</f>
        <v>tlmič dorazu (pár) 50 kg</v>
      </c>
      <c r="B51" s="24">
        <v>227187</v>
      </c>
      <c r="C51" s="25" t="str">
        <f>+VLOOKUP(B51,cennik!$A:$G,2,FALSE)</f>
        <v>K-SEVROLL tlmič dorazu 10/18mm 25-50kg L+P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1" ht="12.75" customHeight="1" x14ac:dyDescent="0.2">
      <c r="A52" s="7" t="str">
        <f>texty!$A$100</f>
        <v>spojovací profil H10-3metre</v>
      </c>
      <c r="B52" s="16" t="e">
        <f>+VLOOKUP(O7,data!C457:D459,2,0)</f>
        <v>#N/A</v>
      </c>
      <c r="C52" s="25" t="e">
        <f>+VLOOKUP(B52,cennik!$A:$G,2,FALSE)</f>
        <v>#N/A</v>
      </c>
      <c r="D52" s="29"/>
      <c r="E52" s="91" t="e">
        <f>+VLOOKUP(B52,cennik!$A:$G,3,FALSE)</f>
        <v>#N/A</v>
      </c>
      <c r="F52" s="96" t="e">
        <f t="shared" si="3"/>
        <v>#N/A</v>
      </c>
      <c r="G52" s="92" t="e">
        <f t="shared" si="4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1" ht="12.75" customHeight="1" x14ac:dyDescent="0.2">
      <c r="A53" s="7" t="str">
        <f>texty!$A$101</f>
        <v>spojovací profil H30-3metre</v>
      </c>
      <c r="B53" s="17" t="e">
        <f>+VLOOKUP(O7,data!C468:D470,2,0)</f>
        <v>#N/A</v>
      </c>
      <c r="C53" s="25" t="e">
        <f>+VLOOKUP(B53,cennik!$A:$G,2,FALSE)</f>
        <v>#N/A</v>
      </c>
      <c r="D53" s="29"/>
      <c r="E53" s="91" t="e">
        <f>+VLOOKUP(B53,cennik!$A:$G,3,FALSE)</f>
        <v>#N/A</v>
      </c>
      <c r="F53" s="96" t="e">
        <f t="shared" si="3"/>
        <v>#N/A</v>
      </c>
      <c r="G53" s="92" t="e">
        <f t="shared" si="4"/>
        <v>#N/A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1" ht="12.75" customHeight="1" x14ac:dyDescent="0.2">
      <c r="A54" s="422" t="str">
        <f>texty!A240</f>
        <v>zámok posuvných dverí</v>
      </c>
      <c r="B54" s="17">
        <v>216363</v>
      </c>
      <c r="C54" s="25" t="str">
        <f>+VLOOKUP(B54,cennik!$A:$G,2,FALSE)</f>
        <v>SEVROLL 20356 zámok na posuvné dvere 10/18mm</v>
      </c>
      <c r="D54" s="30"/>
      <c r="E54" s="91">
        <f>+VLOOKUP(B54,cennik!$A:$G,3,FALSE)</f>
        <v>15.72176</v>
      </c>
      <c r="F54" s="91">
        <f>+E54*D54</f>
        <v>0</v>
      </c>
      <c r="G54" s="92">
        <f t="shared" si="4"/>
        <v>0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">
      <c r="A55" s="7" t="str">
        <f>texty!$A$92</f>
        <v>spojovacia skrutka</v>
      </c>
      <c r="B55" s="16">
        <v>89244</v>
      </c>
      <c r="C55" s="25" t="str">
        <f>+VLOOKUP(B55,cennik!$A:$G,2,FALSE)</f>
        <v>SEVROLL 20001 skrutkovrut 6,3x32 SEVROLL a Simple</v>
      </c>
      <c r="D55" s="30"/>
      <c r="E55" s="91">
        <f>+VLOOKUP(B55,cennik!$A:$G,3,FALSE)</f>
        <v>0.15482000000000001</v>
      </c>
      <c r="F55" s="91">
        <f>+E55*D55</f>
        <v>0</v>
      </c>
      <c r="G55" s="92">
        <f t="shared" si="4"/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">
      <c r="A56" s="7"/>
      <c r="B56" s="16"/>
      <c r="C56" s="25"/>
      <c r="D56" s="91"/>
      <c r="E56" s="91"/>
      <c r="F56" s="91"/>
      <c r="G56" s="92"/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">
      <c r="A57" s="41" t="e">
        <f>CONCATENATE(texty!$A$6,ROUND((C13/1000),1),texty!$A$8)</f>
        <v>#DIV/0!</v>
      </c>
      <c r="B57" s="42"/>
      <c r="C57" s="43"/>
      <c r="D57" s="44"/>
      <c r="E57" s="97"/>
      <c r="F57" s="97"/>
      <c r="G57" s="98"/>
      <c r="I57" s="469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1" ht="12.75" customHeight="1" x14ac:dyDescent="0.2">
      <c r="C58" s="40" t="str">
        <f>texty!$A$10</f>
        <v>Potrebná dĺžka tesnenia pri celkovom presklení (nutné objednať celé metre)</v>
      </c>
      <c r="D58" s="39" t="e">
        <f>CEILING(((B9+C9)*2/1000*D4),1)</f>
        <v>#DIV/0!</v>
      </c>
      <c r="E58" s="94"/>
      <c r="F58" s="94"/>
      <c r="G58" s="94"/>
      <c r="I58" s="469" t="str">
        <f>IFERROR(IF((VLOOKUP(B58,cennik!A:L,12,0))="O",texty!$A$250,""),"")</f>
        <v/>
      </c>
      <c r="J58" s="191"/>
      <c r="K58" s="6"/>
    </row>
    <row r="59" spans="1:11" ht="12.75" customHeight="1" x14ac:dyDescent="0.2">
      <c r="A59" s="48" t="str">
        <f>texty!$A$12</f>
        <v>(pri kombináciach s H profilmi je nutné pripočítať potrebnú dĺžku - tesnenie musí byť po celom odvode každého skla</v>
      </c>
      <c r="B59" s="46"/>
      <c r="C59" s="47"/>
      <c r="D59" s="46"/>
      <c r="E59" s="99"/>
      <c r="F59" s="99"/>
      <c r="G59" s="99"/>
      <c r="I59" s="469" t="str">
        <f>IFERROR(IF((VLOOKUP(B59,cennik!A:L,12,0))="O",texty!$A$250,""),"")</f>
        <v/>
      </c>
      <c r="J59" s="191" t="str">
        <f>IF(D59&gt;0,IF(VLOOKUP(B59,cennik!A:L,12,FALSE)="O",1,""),"")</f>
        <v/>
      </c>
      <c r="K59" s="6"/>
    </row>
    <row r="60" spans="1:11" ht="12.75" customHeight="1" x14ac:dyDescent="0.2">
      <c r="A60" s="7" t="str">
        <f>System10!A59</f>
        <v>tesnenie na sklo 4mm</v>
      </c>
      <c r="B60" s="17">
        <v>89238</v>
      </c>
      <c r="C60" s="25" t="str">
        <f>+VLOOKUP(B60,cennik!$A:$G,2,FALSE)</f>
        <v>SEVROLL 20031-SV tesnenie na sklo 10/4mm</v>
      </c>
      <c r="D60" s="45"/>
      <c r="E60" s="91">
        <f>+VLOOKUP(B60,cennik!$A:$G,3,FALSE)</f>
        <v>0.79988999999999999</v>
      </c>
      <c r="F60" s="96">
        <f>+CEILING(D60,1)*E60</f>
        <v>0</v>
      </c>
      <c r="G60" s="92">
        <f>+F60*(100-$G$26)/100</f>
        <v>0</v>
      </c>
      <c r="H60" s="6" t="str">
        <f>cennik!$B$2</f>
        <v>EUR</v>
      </c>
      <c r="I60" s="469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">
      <c r="A61" s="7" t="str">
        <f>texty!A103</f>
        <v>tesnenie na sklo 4,5 mm</v>
      </c>
      <c r="B61" s="17">
        <v>135164</v>
      </c>
      <c r="C61" s="25" t="str">
        <f>+VLOOKUP(B61,cennik!$A:$G,2,FALSE)</f>
        <v>SEVROLL 20032-SV tesnenie na sklo 10/4,5mm</v>
      </c>
      <c r="D61" s="45"/>
      <c r="E61" s="91">
        <f>+VLOOKUP(B61,cennik!$A:$G,3,FALSE)</f>
        <v>0.79988999999999999</v>
      </c>
      <c r="F61" s="96">
        <f>+CEILING(D61,1)*E61</f>
        <v>0</v>
      </c>
      <c r="G61" s="92">
        <f>+F61*(100-$G$26)/100</f>
        <v>0</v>
      </c>
      <c r="H61" s="6" t="str">
        <f>cennik!$B$2</f>
        <v>EUR</v>
      </c>
      <c r="I61" s="469" t="str">
        <f>IFERROR(IF((VLOOKUP(B61,cennik!A:L,12,0))="O",texty!$A$250,""),"")</f>
        <v/>
      </c>
      <c r="J61" s="191" t="str">
        <f>IF(D61&gt;0,IF(VLOOKUP(B61,cennik!A:L,12,FALSE)="O",1,""),"")</f>
        <v/>
      </c>
      <c r="K61" s="3"/>
    </row>
    <row r="62" spans="1:11" ht="12.75" customHeight="1" x14ac:dyDescent="0.2">
      <c r="A62" s="7" t="str">
        <f>System10!A61</f>
        <v>tesnenie na sklo 6mm</v>
      </c>
      <c r="B62" s="17">
        <v>89243</v>
      </c>
      <c r="C62" s="25" t="str">
        <f>+VLOOKUP(B62,cennik!$A:$G,2,FALSE)</f>
        <v>SEVROLL 20033-SV tesnenie na sklo 10/6mm</v>
      </c>
      <c r="D62" s="45"/>
      <c r="E62" s="91">
        <f>+VLOOKUP(B62,cennik!$A:$G,3,FALSE)</f>
        <v>0.79988999999999999</v>
      </c>
      <c r="F62" s="96">
        <f>+CEILING(D62,1)*E62</f>
        <v>0</v>
      </c>
      <c r="G62" s="92">
        <f>+F62*(100-$G$26)/100</f>
        <v>0</v>
      </c>
      <c r="H62" s="6" t="str">
        <f>cennik!$B$2</f>
        <v>EUR</v>
      </c>
      <c r="I62" s="469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5" x14ac:dyDescent="0.2">
      <c r="A63" s="271" t="str">
        <f>texty!$A$190</f>
        <v>Ďalšie príslušenstvo</v>
      </c>
      <c r="E63" s="94"/>
      <c r="F63" s="94"/>
      <c r="G63" s="94"/>
      <c r="I63" s="469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">
      <c r="A64" s="271" t="str">
        <f>texty!$A$244</f>
        <v>Technický nákres tohoto systému</v>
      </c>
      <c r="B64" s="167">
        <v>129677</v>
      </c>
      <c r="C64" s="167" t="str">
        <f>VLOOKUP(B64,cennik!A:C,2,0)</f>
        <v>SEVROLL 20173 montážny prípravok pre lamino 10mm malý</v>
      </c>
      <c r="D64" s="45"/>
      <c r="E64" s="91">
        <f>+VLOOKUP(B64,cennik!$A:$G,3,FALSE)</f>
        <v>5.0214600000000003</v>
      </c>
      <c r="F64" s="96">
        <f>+CEILING(D64,1)*E64</f>
        <v>0</v>
      </c>
      <c r="G64" s="92">
        <f>F64</f>
        <v>0</v>
      </c>
      <c r="H64" s="6" t="str">
        <f>cennik!$B$2</f>
        <v>EUR</v>
      </c>
      <c r="I64" s="469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">
      <c r="B65" s="167">
        <v>128842</v>
      </c>
      <c r="C65" s="167" t="str">
        <f>VLOOKUP(B65,cennik!A:C,2,0)</f>
        <v>SEVROLL 20144 vrták stupňovitý 6,5/9,5mm</v>
      </c>
      <c r="D65" s="45"/>
      <c r="E65" s="91">
        <f>+VLOOKUP(B65,cennik!$A:$G,3,FALSE)</f>
        <v>26.752659999999999</v>
      </c>
      <c r="F65" s="96">
        <f>+CEILING(D65,1)*E65</f>
        <v>0</v>
      </c>
      <c r="G65" s="92">
        <f>F65</f>
        <v>0</v>
      </c>
      <c r="H65" s="6" t="str">
        <f>cennik!$B$2</f>
        <v>EUR</v>
      </c>
      <c r="I65" s="469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">
      <c r="A66" s="646" t="str">
        <f>IF(SUM(D50:D51)&gt;0,IF(C7&lt;(B4/3),texty!$A$212,""),"")</f>
        <v/>
      </c>
      <c r="B66" s="646"/>
      <c r="C66" s="646"/>
      <c r="D66" s="646"/>
      <c r="E66" s="646"/>
      <c r="F66" s="646"/>
      <c r="G66" s="646"/>
      <c r="H66" s="646"/>
      <c r="I66" s="646"/>
      <c r="J66" s="134"/>
    </row>
    <row r="67" spans="1:13" ht="12.75" customHeight="1" x14ac:dyDescent="0.2">
      <c r="B67" s="8"/>
      <c r="C67" s="8"/>
      <c r="D67" s="76" t="str">
        <f>texty!$A$15</f>
        <v>CELKOM  (bez DPH)</v>
      </c>
      <c r="E67" s="99"/>
      <c r="F67" s="101" t="e">
        <f>SUM(F28:F65)</f>
        <v>#N/A</v>
      </c>
      <c r="G67" s="101" t="e">
        <f>SUM(G27:G65)</f>
        <v>#N/A</v>
      </c>
      <c r="H67" s="6" t="str">
        <f>cennik!$B$2</f>
        <v>EUR</v>
      </c>
      <c r="I67" s="181"/>
      <c r="J67" s="181"/>
      <c r="K67" s="5" t="str">
        <f>texty!A128</f>
        <v xml:space="preserve">strieborná </v>
      </c>
    </row>
    <row r="68" spans="1:13" ht="12.75" customHeight="1" x14ac:dyDescent="0.2">
      <c r="A68" s="75" t="str">
        <f>System10!$A$67</f>
        <v>Vaša poznámka:</v>
      </c>
      <c r="B68" s="656"/>
      <c r="C68" s="657"/>
      <c r="D68" s="657"/>
      <c r="E68" s="657"/>
      <c r="F68" s="657"/>
      <c r="G68" s="657"/>
      <c r="K68" s="5" t="str">
        <f>texty!A130</f>
        <v>oliva</v>
      </c>
    </row>
    <row r="69" spans="1:13" ht="12.75" customHeight="1" x14ac:dyDescent="0.2">
      <c r="A69" s="648">
        <f>profil!$U$15</f>
        <v>0</v>
      </c>
      <c r="B69" s="649"/>
      <c r="C69" s="649"/>
      <c r="D69" s="649"/>
      <c r="E69" s="649"/>
      <c r="F69" s="649"/>
      <c r="G69" s="649"/>
    </row>
    <row r="70" spans="1:13" ht="12.75" customHeight="1" x14ac:dyDescent="0.2">
      <c r="A70" s="650">
        <f>IF(M70=1,texty!$A$215,IF(J70&gt;0,texty!$A$214,""))</f>
        <v>0</v>
      </c>
      <c r="B70" s="650"/>
      <c r="C70" s="650"/>
      <c r="D70" s="650"/>
      <c r="E70" s="650"/>
      <c r="F70" s="650"/>
      <c r="G70" s="650"/>
      <c r="J70" s="6" t="e">
        <f>SUM(J28:J65)</f>
        <v>#N/A</v>
      </c>
      <c r="M70" s="5">
        <f>IF(ISERROR(J70),1,0)</f>
        <v>1</v>
      </c>
    </row>
    <row r="71" spans="1:13" ht="12.75" customHeight="1" x14ac:dyDescent="0.2"/>
    <row r="83" spans="1:1" ht="12.75" hidden="1" customHeight="1" x14ac:dyDescent="0.2">
      <c r="A83" s="5">
        <v>3</v>
      </c>
    </row>
    <row r="84" spans="1:1" ht="12.75" customHeight="1" x14ac:dyDescent="0.2"/>
    <row r="85" spans="1:1" ht="12.75" customHeight="1" x14ac:dyDescent="0.2"/>
  </sheetData>
  <sheetProtection algorithmName="SHA-512" hashValue="52pVXTqdHTOPWxYbYbfTUr4p5JZjgxyhKq1qwnDOOkat1R9ZLpcJko7/Hm9LO0PqrtKuZqaG3CWEta8OkNv2sg==" saltValue="AsU3NV8U8YSEKIB+nIpdaw==" spinCount="100000" sheet="1" objects="1" scenarios="1" selectLockedCell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75" priority="3">
      <formula>SUM($D$48:$D$49)&gt;0</formula>
    </cfRule>
  </conditionalFormatting>
  <conditionalFormatting sqref="D6">
    <cfRule type="expression" dxfId="173" priority="5">
      <formula>$D$4=4</formula>
    </cfRule>
    <cfRule type="expression" dxfId="172" priority="6">
      <formula>$D$4&lt;&gt;4</formula>
    </cfRule>
  </conditionalFormatting>
  <conditionalFormatting sqref="F4:I6">
    <cfRule type="expression" dxfId="171" priority="4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7B7278-E421-4DB7-8DBB-F06DCEDB01FA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8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9" style="5" customWidth="1"/>
    <col min="2" max="2" width="15.7109375" style="5" customWidth="1"/>
    <col min="3" max="3" width="37.42578125" style="5" customWidth="1"/>
    <col min="4" max="4" width="13.7109375" style="5" customWidth="1"/>
    <col min="5" max="5" width="13.42578125" style="5" customWidth="1"/>
    <col min="6" max="6" width="13.140625" style="5" customWidth="1"/>
    <col min="7" max="7" width="15.140625" style="5" bestFit="1" customWidth="1"/>
    <col min="8" max="8" width="4.7109375" style="6" bestFit="1" customWidth="1"/>
    <col min="9" max="9" width="25.7109375" style="6" customWidth="1"/>
    <col min="10" max="10" width="11.28515625" style="6" hidden="1" customWidth="1"/>
    <col min="11" max="11" width="9.140625" style="5" hidden="1" customWidth="1"/>
    <col min="12" max="12" width="8.140625" style="5" hidden="1" customWidth="1"/>
    <col min="13" max="13" width="11.42578125" style="5" hidden="1" customWidth="1"/>
    <col min="14" max="14" width="7.140625" style="5" hidden="1" customWidth="1"/>
    <col min="15" max="15" width="8.7109375" style="5" hidden="1" customWidth="1"/>
    <col min="16" max="16" width="7.140625" style="5" hidden="1" customWidth="1"/>
    <col min="17" max="21" width="0" style="5" hidden="1" customWidth="1"/>
    <col min="22" max="16384" width="9.140625" style="5" hidden="1"/>
  </cols>
  <sheetData>
    <row r="1" spans="1:21" ht="13.5" customHeight="1" thickBot="1" x14ac:dyDescent="0.25">
      <c r="A1" s="7"/>
      <c r="B1" s="8"/>
      <c r="C1" s="8"/>
      <c r="D1" s="8"/>
      <c r="E1" s="8"/>
      <c r="F1" s="6"/>
      <c r="G1" s="6"/>
      <c r="K1" s="6">
        <v>2</v>
      </c>
      <c r="L1" s="5">
        <v>-10</v>
      </c>
    </row>
    <row r="2" spans="1:21" ht="18.75" customHeight="1" x14ac:dyDescent="0.2">
      <c r="A2" s="523" t="s">
        <v>85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6.25" thickBot="1" x14ac:dyDescent="0.25">
      <c r="A3" s="524" t="str">
        <f>CONCATENATE(texty!A243," ",5,".",59)</f>
        <v>katalóg kovania 2018 str. 5.59</v>
      </c>
      <c r="B3" s="420" t="str">
        <f>CONCATENATE(texty!A34," / max.         3 040 mm /")</f>
        <v>výška / max.         3 040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18" customHeight="1" x14ac:dyDescent="0.2">
      <c r="A4" s="10" t="str">
        <f>+System10!A4</f>
        <v>VNÚTORNÝ ROZMER SKRINE:</v>
      </c>
      <c r="B4" s="56"/>
      <c r="C4" s="56"/>
      <c r="D4" s="22"/>
      <c r="E4" s="22"/>
      <c r="F4" s="655"/>
      <c r="G4" s="655"/>
      <c r="H4" s="655"/>
      <c r="I4" s="655"/>
      <c r="J4" s="190"/>
      <c r="K4" s="8"/>
      <c r="N4" s="5">
        <f>IF(C4&lt;1701,1700,IF(C4&lt;2351,2350,IF(C4&lt;3001,3000,IF(C4&lt;4051,4050,6000))))</f>
        <v>1700</v>
      </c>
    </row>
    <row r="5" spans="1:21" ht="18" customHeight="1" x14ac:dyDescent="0.2">
      <c r="A5" s="476"/>
      <c r="B5" s="633" t="str">
        <f>texty!A46</f>
        <v>vypíšte tieto 4 políčka !!! Údaje v mm</v>
      </c>
      <c r="C5" s="633"/>
      <c r="D5" s="633"/>
      <c r="E5" s="633"/>
      <c r="F5" s="655"/>
      <c r="G5" s="655"/>
      <c r="H5" s="655"/>
      <c r="I5" s="655"/>
      <c r="J5" s="190"/>
      <c r="K5" s="3"/>
      <c r="N5" s="5" t="str">
        <f>CONCATENATE(N4,"-",E4)</f>
        <v>1700-</v>
      </c>
    </row>
    <row r="6" spans="1:21" ht="18" customHeight="1" x14ac:dyDescent="0.2">
      <c r="A6" s="10"/>
      <c r="B6" s="11" t="str">
        <f>IF(D4=4,texty!A227,"")</f>
        <v/>
      </c>
      <c r="D6" s="285">
        <v>3</v>
      </c>
      <c r="E6" s="8"/>
      <c r="F6" s="655"/>
      <c r="G6" s="655"/>
      <c r="H6" s="655"/>
      <c r="I6" s="655"/>
      <c r="J6" s="190"/>
      <c r="K6" s="6"/>
      <c r="Q6" s="636" t="s">
        <v>557</v>
      </c>
      <c r="R6" s="636" t="s">
        <v>558</v>
      </c>
      <c r="S6" s="636" t="s">
        <v>559</v>
      </c>
      <c r="T6" s="636" t="s">
        <v>560</v>
      </c>
    </row>
    <row r="7" spans="1:21" ht="12.75" customHeight="1" x14ac:dyDescent="0.2">
      <c r="A7" s="10" t="str">
        <f>texty!A71</f>
        <v>krídlo dverí:</v>
      </c>
      <c r="B7" s="57">
        <f>+B4-40</f>
        <v>-40</v>
      </c>
      <c r="C7" s="59" t="e">
        <f>+((C4-3+37*(D4-1))/D4+IF(AND(D4=4,D6=2),L1,0))</f>
        <v>#DIV/0!</v>
      </c>
      <c r="D7" s="8"/>
      <c r="E7" s="8"/>
      <c r="F7" s="50" t="str">
        <f>texty!$A$39</f>
        <v>V prípade použitia skla ako výplne</v>
      </c>
      <c r="G7" s="6"/>
      <c r="K7" s="6"/>
      <c r="N7" s="17" t="e">
        <f>IF(K11="jiné",L12,K11)</f>
        <v>#DIV/0!</v>
      </c>
      <c r="O7" s="21">
        <f>+E4</f>
        <v>0</v>
      </c>
      <c r="Q7" s="636"/>
      <c r="R7" s="636"/>
      <c r="S7" s="636"/>
      <c r="T7" s="636"/>
    </row>
    <row r="8" spans="1:21" ht="12.75" customHeight="1" x14ac:dyDescent="0.2">
      <c r="A8" s="10" t="str">
        <f>texty!A72</f>
        <v>rozmer výplne 10 mm:</v>
      </c>
      <c r="B8" s="57">
        <f>+B7-64</f>
        <v>-104</v>
      </c>
      <c r="C8" s="59" t="e">
        <f>+C7-51</f>
        <v>#DIV/0!</v>
      </c>
      <c r="D8" s="8"/>
      <c r="E8" s="8"/>
      <c r="F8" s="50" t="str">
        <f>texty!$A$40</f>
        <v>je treba použiť bezpečnostné sklo</v>
      </c>
      <c r="G8" s="6"/>
      <c r="K8" s="6" t="s">
        <v>60</v>
      </c>
      <c r="L8" s="5" t="s">
        <v>61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FLOOR(1700/Q8,1)</f>
        <v>#DIV/0!</v>
      </c>
      <c r="S8" s="5" t="e">
        <f>FLOOR(2350/Q8,1)</f>
        <v>#DIV/0!</v>
      </c>
      <c r="T8" s="5" t="e">
        <f>FLOOR(3000/Q8,1)</f>
        <v>#DIV/0!</v>
      </c>
    </row>
    <row r="9" spans="1:21" ht="12.75" customHeight="1" x14ac:dyDescent="0.2">
      <c r="A9" s="10" t="str">
        <f>texty!A73</f>
        <v>rozmer zrkadla / skla</v>
      </c>
      <c r="B9" s="57">
        <f>+B8</f>
        <v>-104</v>
      </c>
      <c r="C9" s="59" t="e">
        <f>+C8-4</f>
        <v>#DIV/0!</v>
      </c>
      <c r="D9" s="8"/>
      <c r="E9" s="8"/>
      <c r="F9" s="50" t="str">
        <f>texty!$A$41</f>
        <v>alebo sklo zabezpečiť ochrannou fóliou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4" si="0">Q8+$C$10+5</f>
        <v>#DIV/0!</v>
      </c>
      <c r="R9" s="5" t="e">
        <f>(1700-C10)*R17</f>
        <v>#DIV/0!</v>
      </c>
      <c r="S9" s="5" t="e">
        <f>(2350-C10)*S17</f>
        <v>#DIV/0!</v>
      </c>
      <c r="T9" s="5" t="e">
        <f>(3000-C10)*T17</f>
        <v>#DIV/0!</v>
      </c>
      <c r="U9" s="5" t="s">
        <v>562</v>
      </c>
    </row>
    <row r="10" spans="1:21" ht="12.75" customHeight="1" x14ac:dyDescent="0.2">
      <c r="A10" s="10" t="str">
        <f>texty!A74</f>
        <v>dĺžka vodiacej a krycej lišty krídla</v>
      </c>
      <c r="B10" s="57"/>
      <c r="C10" s="60" t="e">
        <f>+C7-68</f>
        <v>#DIV/0!</v>
      </c>
      <c r="D10" s="8"/>
      <c r="E10" s="8"/>
      <c r="F10" s="3" t="str">
        <f>texty!$A$43</f>
        <v>Maximálna hmotnosť krídla je 50 kg</v>
      </c>
      <c r="G10" s="6"/>
      <c r="K10" s="5" t="s">
        <v>59</v>
      </c>
      <c r="N10" s="17" t="e">
        <f>IF(K11="jiné",L13,"")</f>
        <v>#DIV/0!</v>
      </c>
      <c r="O10" s="21">
        <f>+E4</f>
        <v>0</v>
      </c>
      <c r="P10" s="5">
        <v>3</v>
      </c>
      <c r="Q10" s="159" t="e">
        <f t="shared" si="0"/>
        <v>#DIV/0!</v>
      </c>
    </row>
    <row r="11" spans="1:21" ht="12.75" customHeight="1" x14ac:dyDescent="0.2">
      <c r="A11" s="10" t="str">
        <f>texty!A75</f>
        <v>Horný/spodný profil</v>
      </c>
      <c r="B11" s="57"/>
      <c r="C11" s="189">
        <f>+C4</f>
        <v>0</v>
      </c>
      <c r="D11" s="8"/>
      <c r="E11" s="8"/>
      <c r="G11" s="40"/>
      <c r="K11" s="36" t="e">
        <f>IF((K9+L9)&lt;1700,1700,IF((K9+L9)&lt;2350,2350,IF((K9+L9)&lt;3000,3000,"jiné")))</f>
        <v>#DIV/0!</v>
      </c>
      <c r="M11" s="5" t="s">
        <v>62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">
      <c r="A12" s="10" t="str">
        <f>texty!A76</f>
        <v>úchytková lišta</v>
      </c>
      <c r="B12" s="488">
        <f>+B7</f>
        <v>-40</v>
      </c>
      <c r="C12" s="489"/>
      <c r="D12" s="8"/>
      <c r="E12" s="8"/>
      <c r="F12" s="6"/>
      <c r="G12" s="6"/>
      <c r="K12" s="6" t="e">
        <f>C10*(D4-1)+(D4*5)</f>
        <v>#DIV/0!</v>
      </c>
      <c r="L12" s="5" t="e">
        <f>IF(K12&lt;1700,1700,IF(K12&lt;2350,2350,IF(K12&lt;3000,3000,3000)))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">
      <c r="A13" s="10" t="str">
        <f>texty!A77</f>
        <v>dĺžka tesnenia na sklo na jednom krídle</v>
      </c>
      <c r="B13" s="58"/>
      <c r="C13" s="144" t="e">
        <f>ROUND(B8*2+C9*2,0)</f>
        <v>#DIV/0!</v>
      </c>
      <c r="D13" s="8"/>
      <c r="E13" s="8"/>
      <c r="F13" s="6"/>
      <c r="G13" s="6"/>
      <c r="K13" s="35" t="e">
        <f>C10+10</f>
        <v>#DIV/0!</v>
      </c>
      <c r="L13" s="5" t="e">
        <f>IF(M12&gt;=0,IF(K13&lt;1700,1700,IF(K13&lt;2350,2350,IF(K13&lt;3000,3000,"jiné"))),IF((K13+C10)&lt;1700,1700,IF((K13+C10)&lt;2350,2350,IF((K13+C10)&lt;3000,3000,"jiné"))))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ht="24" x14ac:dyDescent="0.2">
      <c r="A14" s="635" t="str">
        <f>IF(SUM(D48:D49)&gt;0,texty!A245,"")</f>
        <v/>
      </c>
      <c r="B14" s="635"/>
      <c r="C14" s="490" t="str">
        <f>texty!A78</f>
        <v>dodatočné odpočty výšky vypočítaných výplní pri použití deliacich profilov výplne:</v>
      </c>
      <c r="D14" s="8"/>
      <c r="E14" s="8"/>
      <c r="F14" s="6"/>
      <c r="G14" s="6"/>
      <c r="K14" s="6"/>
      <c r="L14" s="5" t="e">
        <f>SUM(L12:L13)</f>
        <v>#DIV/0!</v>
      </c>
      <c r="M14" s="5" t="e">
        <f>SUM(M12:M13)</f>
        <v>#DIV/0!</v>
      </c>
      <c r="P14" s="5">
        <v>7</v>
      </c>
      <c r="Q14" s="159" t="e">
        <f t="shared" si="0"/>
        <v>#DIV/0!</v>
      </c>
    </row>
    <row r="15" spans="1:21" ht="17.25" customHeight="1" x14ac:dyDescent="0.2">
      <c r="A15" s="635"/>
      <c r="B15" s="635"/>
      <c r="C15" s="490"/>
      <c r="D15" s="8"/>
      <c r="E15" s="8"/>
      <c r="F15" s="6"/>
      <c r="G15" s="6"/>
      <c r="K15" s="6"/>
      <c r="Q15" s="159"/>
    </row>
    <row r="16" spans="1:21" x14ac:dyDescent="0.2">
      <c r="A16" s="422"/>
      <c r="B16" s="17"/>
      <c r="C16" s="490"/>
      <c r="D16" s="8"/>
      <c r="E16" s="8"/>
      <c r="F16" s="6"/>
      <c r="G16" s="6"/>
      <c r="K16" s="6"/>
      <c r="Q16" s="159"/>
    </row>
    <row r="17" spans="1:21" ht="12.75" customHeight="1" x14ac:dyDescent="0.2">
      <c r="B17" s="17"/>
      <c r="C17" s="433"/>
      <c r="D17" s="8"/>
      <c r="E17" s="8"/>
      <c r="F17" s="6"/>
      <c r="G17" s="6"/>
      <c r="K17" s="6"/>
      <c r="L17" s="5" t="e">
        <f>L14-C4</f>
        <v>#DIV/0!</v>
      </c>
      <c r="P17" s="5" t="s">
        <v>561</v>
      </c>
      <c r="R17" s="5" t="e">
        <f>FLOOR($D$4/R8,1)</f>
        <v>#DIV/0!</v>
      </c>
      <c r="S17" s="5" t="e">
        <f>FLOOR($D$4/S8,1)</f>
        <v>#DIV/0!</v>
      </c>
      <c r="T17" s="5" t="e">
        <f>FLOOR($D$4/T8,1)</f>
        <v>#DIV/0!</v>
      </c>
    </row>
    <row r="18" spans="1:21" ht="12.75" customHeight="1" x14ac:dyDescent="0.2">
      <c r="A18" s="422"/>
      <c r="B18" s="17"/>
      <c r="C18" s="433"/>
      <c r="D18" s="8"/>
      <c r="E18" s="8"/>
      <c r="F18" s="6"/>
      <c r="G18" s="6"/>
      <c r="K18" s="6"/>
    </row>
    <row r="19" spans="1:21" ht="14.25" customHeight="1" x14ac:dyDescent="0.2">
      <c r="A19" s="422"/>
      <c r="B19" s="484" t="str">
        <f>texty!A242</f>
        <v>dilatácia 4 mm</v>
      </c>
      <c r="C19" s="119"/>
      <c r="D19" s="8"/>
      <c r="E19" s="8"/>
      <c r="F19" s="6"/>
      <c r="G19" s="6"/>
      <c r="K19" s="6"/>
    </row>
    <row r="20" spans="1:21" ht="16.5" customHeight="1" x14ac:dyDescent="0.2">
      <c r="A20" s="7"/>
      <c r="B20" s="8"/>
      <c r="C20" s="8"/>
      <c r="E20" s="8"/>
      <c r="F20" s="6"/>
      <c r="G20" s="6"/>
      <c r="K20" s="6"/>
      <c r="L20" s="6"/>
      <c r="Q20" s="5" t="s">
        <v>581</v>
      </c>
      <c r="R20" s="5" t="s">
        <v>580</v>
      </c>
      <c r="S20" s="5">
        <v>1700</v>
      </c>
      <c r="T20" s="5">
        <v>2350</v>
      </c>
      <c r="U20" s="5">
        <v>3000</v>
      </c>
    </row>
    <row r="21" spans="1:21" ht="16.5" customHeight="1" x14ac:dyDescent="0.2">
      <c r="A21" s="7"/>
      <c r="B21" s="8"/>
      <c r="C21" s="8"/>
      <c r="D21" s="13"/>
      <c r="E21" s="8"/>
      <c r="F21" s="6"/>
      <c r="G21" s="6"/>
      <c r="K21" s="6"/>
      <c r="P21" s="5">
        <v>1</v>
      </c>
      <c r="Q21" s="5" t="e">
        <f>R8</f>
        <v>#DIV/0!</v>
      </c>
      <c r="R21" s="5" t="e">
        <f>IF(Q21&gt;=D4,1,"")</f>
        <v>#DIV/0!</v>
      </c>
      <c r="S21" s="163" t="e">
        <f>IF(R21=1,1,"")</f>
        <v>#DIV/0!</v>
      </c>
      <c r="T21" s="163"/>
      <c r="U21" s="163"/>
    </row>
    <row r="22" spans="1:21" ht="12.75" customHeight="1" x14ac:dyDescent="0.2">
      <c r="A22" s="7"/>
      <c r="B22" s="8"/>
      <c r="C22" s="8"/>
      <c r="D22" s="8"/>
      <c r="E22" s="8"/>
      <c r="F22" s="6"/>
      <c r="G22" s="6"/>
      <c r="K22" s="3"/>
      <c r="P22" s="5">
        <v>2</v>
      </c>
      <c r="Q22" s="5" t="e">
        <f>S8</f>
        <v>#DIV/0!</v>
      </c>
      <c r="R22" s="5" t="e">
        <f>IF(Q22&gt;=D4,IF(R21=1,"",1),"")</f>
        <v>#DIV/0!</v>
      </c>
      <c r="S22" s="163"/>
      <c r="T22" s="163" t="e">
        <f>IF(R22=1,1,"")</f>
        <v>#DIV/0!</v>
      </c>
      <c r="U22" s="163"/>
    </row>
    <row r="23" spans="1:21" ht="12.75" customHeight="1" x14ac:dyDescent="0.2">
      <c r="A23" s="7"/>
      <c r="B23" s="8"/>
      <c r="C23" s="8"/>
      <c r="D23" s="8"/>
      <c r="E23" s="8"/>
      <c r="F23" s="6"/>
      <c r="G23" s="6"/>
      <c r="P23" s="5">
        <v>3</v>
      </c>
      <c r="Q23" s="5" t="e">
        <f>T8</f>
        <v>#DIV/0!</v>
      </c>
      <c r="R23" s="5" t="e">
        <f>IF(Q23&gt;=D4,IF(Q22&gt;=D4,"",1),"")</f>
        <v>#DIV/0!</v>
      </c>
      <c r="U23" s="163" t="e">
        <f>IF(R23=1,1,"")</f>
        <v>#DIV/0!</v>
      </c>
    </row>
    <row r="24" spans="1:21" ht="12.75" customHeight="1" x14ac:dyDescent="0.2">
      <c r="A24" s="7"/>
      <c r="B24" s="8"/>
      <c r="C24" s="8"/>
      <c r="D24" s="8"/>
      <c r="E24" s="8"/>
      <c r="F24" s="6"/>
      <c r="G24" s="6"/>
      <c r="K24" s="5" t="str">
        <f>CONCATENATE(M24,"-",$O$7)</f>
        <v>1700-0</v>
      </c>
      <c r="L24" s="6" t="e">
        <f>SUM(S21:S43)</f>
        <v>#DIV/0!</v>
      </c>
      <c r="M24" s="5">
        <v>1700</v>
      </c>
      <c r="O24" s="5" t="s">
        <v>563</v>
      </c>
      <c r="P24" s="162" t="s">
        <v>564</v>
      </c>
      <c r="Q24" s="5" t="e">
        <f>R8+S8</f>
        <v>#DIV/0!</v>
      </c>
      <c r="R24" s="5" t="e">
        <f>IF(Q24&gt;=D4,IF(SUM(R21:R23)&gt;0,"",1),"")</f>
        <v>#DIV/0!</v>
      </c>
      <c r="S24" s="163" t="e">
        <f>IF(R24=1,1,"")</f>
        <v>#DIV/0!</v>
      </c>
      <c r="T24" s="163" t="e">
        <f>IF(R24=1,1,"")</f>
        <v>#DIV/0!</v>
      </c>
    </row>
    <row r="25" spans="1:21" ht="12.75" customHeight="1" x14ac:dyDescent="0.2">
      <c r="A25" s="7"/>
      <c r="B25" s="8"/>
      <c r="D25" s="8"/>
      <c r="E25" s="8"/>
      <c r="F25" s="8"/>
      <c r="G25" s="130" t="str">
        <f>+System10!G25</f>
        <v>partnerská zľava:</v>
      </c>
      <c r="K25" s="5" t="str">
        <f>CONCATENATE(M25,"-",$O$7)</f>
        <v>2350-0</v>
      </c>
      <c r="L25" s="6" t="e">
        <f>SUM(T21:T43)</f>
        <v>#DIV/0!</v>
      </c>
      <c r="M25" s="5">
        <v>2350</v>
      </c>
      <c r="P25" s="5" t="s">
        <v>576</v>
      </c>
      <c r="Q25" s="5" t="e">
        <f>S8+S8</f>
        <v>#DIV/0!</v>
      </c>
      <c r="R25" s="5" t="e">
        <f>IF(Q25&gt;=D4,IF(SUM(R21:R24)&gt;0,"",1),"")</f>
        <v>#DIV/0!</v>
      </c>
      <c r="T25" s="163" t="e">
        <f>IF(R25=1,2,"")</f>
        <v>#DIV/0!</v>
      </c>
    </row>
    <row r="26" spans="1:21" ht="12.75" customHeight="1" x14ac:dyDescent="0.2">
      <c r="A26" s="14" t="str">
        <f>+System10!A26</f>
        <v>Objednávacie kódy, ceny:</v>
      </c>
      <c r="B26" s="8"/>
      <c r="D26" s="8"/>
      <c r="E26" s="8"/>
      <c r="F26" s="8"/>
      <c r="G26" s="142">
        <f>profil!C15</f>
        <v>0</v>
      </c>
      <c r="H26" s="28"/>
      <c r="K26" s="5" t="str">
        <f>CONCATENATE(M26,"-",$O$7)</f>
        <v>3000-0</v>
      </c>
      <c r="L26" s="6" t="e">
        <f>SUM(U21:U43)</f>
        <v>#DIV/0!</v>
      </c>
      <c r="M26" s="5">
        <v>3000</v>
      </c>
      <c r="N26" s="160"/>
      <c r="P26" s="5" t="s">
        <v>565</v>
      </c>
      <c r="Q26" s="5" t="e">
        <f>R8+T8</f>
        <v>#DIV/0!</v>
      </c>
      <c r="R26" s="5" t="e">
        <f>IF(Q26&gt;=D4,IF(SUM(R21:R25)&gt;0,"",1),"")</f>
        <v>#DIV/0!</v>
      </c>
      <c r="S26" s="163" t="e">
        <f>IF(R26=1,1,"")</f>
        <v>#DIV/0!</v>
      </c>
      <c r="U26" s="163" t="e">
        <f>IF(R26=1,1,"")</f>
        <v>#DIV/0!</v>
      </c>
    </row>
    <row r="27" spans="1:21" ht="12.75" customHeight="1" x14ac:dyDescent="0.2">
      <c r="A27" s="7"/>
      <c r="B27" s="19" t="str">
        <f>+System10!B27</f>
        <v>kód</v>
      </c>
      <c r="C27" s="18" t="str">
        <f>+System10!C27</f>
        <v>názov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celkom</v>
      </c>
      <c r="G27" s="20" t="str">
        <f>+System10!G27</f>
        <v>celkom netto:</v>
      </c>
      <c r="I27" s="18" t="str">
        <f>texty!A29</f>
        <v>Poznámka:</v>
      </c>
      <c r="J27" s="18"/>
      <c r="K27" s="6"/>
      <c r="L27" s="5">
        <f>COUNT(L24,L25,L26)</f>
        <v>0</v>
      </c>
      <c r="M27" s="160"/>
      <c r="N27" s="160"/>
      <c r="P27" s="5" t="s">
        <v>566</v>
      </c>
      <c r="Q27" s="5" t="e">
        <f>S8+T8</f>
        <v>#DIV/0!</v>
      </c>
      <c r="R27" s="5" t="e">
        <f>IF(Q27&gt;=D4,IF(SUM(R21:R26)&gt;0,"",1),"")</f>
        <v>#DIV/0!</v>
      </c>
      <c r="T27" s="163" t="e">
        <f>IF(R27=1,1,"")</f>
        <v>#DIV/0!</v>
      </c>
      <c r="U27" s="163" t="e">
        <f>IF(R27=1,1,"")</f>
        <v>#DIV/0!</v>
      </c>
    </row>
    <row r="28" spans="1:21" ht="12.75" customHeight="1" x14ac:dyDescent="0.2">
      <c r="A28" s="7" t="str">
        <f>+System10!A28</f>
        <v>Horný profil:</v>
      </c>
      <c r="B28" s="16" t="e">
        <f>+VLOOKUP(N5,data!$C$688:$D$697,2,0)</f>
        <v>#N/A</v>
      </c>
      <c r="C28" s="25" t="e">
        <f>+VLOOKUP(B28,cennik!$A:$G,2,FALSE)</f>
        <v>#N/A</v>
      </c>
      <c r="D28" s="17">
        <v>1</v>
      </c>
      <c r="E28" s="91" t="e">
        <f>+VLOOKUP(B28,cennik!$A:$G,3,FALSE)</f>
        <v>#N/A</v>
      </c>
      <c r="F28" s="91" t="e">
        <f t="shared" ref="F28:F38" si="1">+E28*D28</f>
        <v>#N/A</v>
      </c>
      <c r="G28" s="92" t="e">
        <f t="shared" ref="G28:G38" si="2">+F28*(100-$G$26)/100</f>
        <v>#N/A</v>
      </c>
      <c r="H28" s="6" t="str">
        <f>cennik!$B$2</f>
        <v>EUR</v>
      </c>
      <c r="I28" s="469" t="str">
        <f>IFERROR(IF((VLOOKUP(B28,cennik!A:L,12,0))="O",texty!$A$250,""),"")</f>
        <v/>
      </c>
      <c r="J28" s="191" t="e">
        <f>IF(D28&gt;0,IF(VLOOKUP(B28,cennik!A:L,12,FALSE)="O",1,""),"")</f>
        <v>#N/A</v>
      </c>
      <c r="K28" s="6"/>
      <c r="L28" s="160"/>
      <c r="M28" s="160"/>
      <c r="N28" s="160"/>
      <c r="P28" s="5" t="s">
        <v>577</v>
      </c>
      <c r="Q28" s="5" t="e">
        <f>T8+T8</f>
        <v>#DIV/0!</v>
      </c>
      <c r="R28" s="5" t="e">
        <f>IF(Q28&gt;=D4,IF(SUM(R21:R27)&gt;0,"",1),"")</f>
        <v>#DIV/0!</v>
      </c>
      <c r="U28" s="163" t="e">
        <f>IF(R28=1,2,"")</f>
        <v>#DIV/0!</v>
      </c>
    </row>
    <row r="29" spans="1:21" ht="12.75" customHeight="1" x14ac:dyDescent="0.2">
      <c r="A29" s="7" t="str">
        <f>+System10!A29</f>
        <v>spodný profil:</v>
      </c>
      <c r="B29" s="16" t="e">
        <f>+VLOOKUP(N5,data!$C$698:$D$707,2,0)</f>
        <v>#N/A</v>
      </c>
      <c r="C29" s="25" t="e">
        <f>+VLOOKUP(B29,cennik!$A:$G,2,FALSE)</f>
        <v>#N/A</v>
      </c>
      <c r="D29" s="17">
        <v>1</v>
      </c>
      <c r="E29" s="91" t="e">
        <f>+VLOOKUP(B29,cennik!$A:$G,3,FALSE)</f>
        <v>#N/A</v>
      </c>
      <c r="F29" s="91" t="e">
        <f t="shared" si="1"/>
        <v>#N/A</v>
      </c>
      <c r="G29" s="92" t="e">
        <f t="shared" si="2"/>
        <v>#N/A</v>
      </c>
      <c r="H29" s="6" t="str">
        <f>cennik!$B$2</f>
        <v>EUR</v>
      </c>
      <c r="I29" s="469" t="str">
        <f>IFERROR(IF((VLOOKUP(B29,cennik!A:L,12,0))="O",texty!$A$250,""),"")</f>
        <v/>
      </c>
      <c r="J29" s="191" t="e">
        <f>IF(D29&gt;0,IF(VLOOKUP(B29,cennik!A:L,12,FALSE)="O",1,""),"")</f>
        <v>#N/A</v>
      </c>
      <c r="K29" s="6" t="s">
        <v>567</v>
      </c>
      <c r="L29" s="5" t="e">
        <f>IF(L24=0,IF(L25=0,K26,K25),K24)</f>
        <v>#DIV/0!</v>
      </c>
      <c r="M29" s="160" t="e">
        <f>IF(L29=K24,L24,IF(L29=K25,L25,IF(L29=K26,L26,"chyba")))</f>
        <v>#DIV/0!</v>
      </c>
      <c r="N29" s="160"/>
      <c r="O29" s="160"/>
      <c r="P29" s="5" t="s">
        <v>578</v>
      </c>
      <c r="Q29" s="5" t="e">
        <f>R8+R8+R8</f>
        <v>#DIV/0!</v>
      </c>
      <c r="R29" s="5" t="e">
        <f>IF(Q29&gt;=D4,IF(SUM(R21:R28)&gt;0,"",1),"")</f>
        <v>#DIV/0!</v>
      </c>
      <c r="S29" s="163" t="e">
        <f>IF(R29=1,3,"")</f>
        <v>#DIV/0!</v>
      </c>
    </row>
    <row r="30" spans="1:21" ht="12.75" customHeight="1" x14ac:dyDescent="0.2">
      <c r="A30" s="7" t="str">
        <f>+System10!$A$30</f>
        <v>krycí profil (maska):</v>
      </c>
      <c r="B30" s="16" t="e">
        <f>+VLOOKUP(N5,data!$C$708:$D$717,2,0)</f>
        <v>#N/A</v>
      </c>
      <c r="C30" s="25" t="e">
        <f>+VLOOKUP(B30,cennik!$A:$G,2,FALSE)</f>
        <v>#N/A</v>
      </c>
      <c r="D30" s="17">
        <v>1</v>
      </c>
      <c r="E30" s="91" t="e">
        <f>+VLOOKUP(B30,cennik!$A:$G,3,FALSE)</f>
        <v>#N/A</v>
      </c>
      <c r="F30" s="91" t="e">
        <f>+E30*D30</f>
        <v>#N/A</v>
      </c>
      <c r="G30" s="92" t="e">
        <f>+F30*(100-$G$26)/100</f>
        <v>#N/A</v>
      </c>
      <c r="H30" s="6" t="str">
        <f>cennik!$B$2</f>
        <v>EUR</v>
      </c>
      <c r="I30" s="469" t="str">
        <f>IFERROR(IF((VLOOKUP(B30,cennik!A:L,12,0))="O",texty!$A$250,""),"")</f>
        <v/>
      </c>
      <c r="J30" s="191" t="e">
        <f>IF(D30&gt;0,IF(VLOOKUP(B30,cennik!A:L,12,FALSE)="O",1,""),"")</f>
        <v>#N/A</v>
      </c>
      <c r="K30" s="6"/>
      <c r="M30" s="160"/>
      <c r="N30" s="160"/>
      <c r="O30" s="160"/>
      <c r="S30" s="163"/>
    </row>
    <row r="31" spans="1:21" ht="12.75" customHeight="1" x14ac:dyDescent="0.2">
      <c r="A31" s="7" t="str">
        <f>+System10!A31</f>
        <v>horné vozíky (sady)</v>
      </c>
      <c r="B31" s="16">
        <v>98048</v>
      </c>
      <c r="C31" s="25" t="str">
        <f>+VLOOKUP(B31,cennik!$A:$G,2,FALSE)</f>
        <v>SEVROLL 10209 Future horný vozík 10mm L+P</v>
      </c>
      <c r="D31" s="17">
        <f>IF((D50+D51)&gt;D4,0,D4-(D50+D51))</f>
        <v>0</v>
      </c>
      <c r="E31" s="91">
        <f>+VLOOKUP(B31,cennik!$A:$G,3,FALSE)</f>
        <v>6.8506999999999998</v>
      </c>
      <c r="F31" s="91">
        <f t="shared" si="1"/>
        <v>0</v>
      </c>
      <c r="G31" s="92">
        <f t="shared" si="2"/>
        <v>0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K31" s="6" t="s">
        <v>568</v>
      </c>
      <c r="L31" s="5" t="e">
        <f>IF(L29=K26,"jiné",IF(L29=K24,IF(L25&lt;&gt;0,K25,IF(L26&lt;&gt;0,K26,"jiné")),IF(L26&lt;&gt;0,K26,"jiné")))</f>
        <v>#DIV/0!</v>
      </c>
      <c r="M31" s="160" t="e">
        <f>IF(L31=K25,L25,IF(L31=K26,L26,IF(L31=K27,L27,0)))</f>
        <v>#DIV/0!</v>
      </c>
      <c r="N31" s="160"/>
      <c r="O31" s="160"/>
      <c r="P31" s="5" t="s">
        <v>569</v>
      </c>
      <c r="Q31" s="5" t="e">
        <f>R8+2*S8</f>
        <v>#DIV/0!</v>
      </c>
      <c r="R31" s="5" t="e">
        <f>IF(Q31&gt;=D4,IF(SUM(R21:R29)&gt;0,"",1),"")</f>
        <v>#DIV/0!</v>
      </c>
      <c r="S31" s="163" t="e">
        <f>IF(R31=1,1,"")</f>
        <v>#DIV/0!</v>
      </c>
      <c r="T31" s="163" t="e">
        <f>IF(R31=1,2,"")</f>
        <v>#DIV/0!</v>
      </c>
    </row>
    <row r="32" spans="1:21" ht="12.75" customHeight="1" x14ac:dyDescent="0.2">
      <c r="A32" s="7" t="str">
        <f>+System10!A32</f>
        <v>spodné vozíky (sada)</v>
      </c>
      <c r="B32" s="16">
        <v>328321</v>
      </c>
      <c r="C32" s="25" t="str">
        <f>+VLOOKUP(B32,cennik!$A:$G,2,FALSE)</f>
        <v>SEVROLL 10238 spodný vozík WD10 V 2ks bez pozicionéru</v>
      </c>
      <c r="D32" s="17">
        <f>+D4</f>
        <v>0</v>
      </c>
      <c r="E32" s="91">
        <f>+VLOOKUP(B32,cennik!$A:$G,3,FALSE)</f>
        <v>5.9682199999999996</v>
      </c>
      <c r="F32" s="91">
        <f t="shared" si="1"/>
        <v>0</v>
      </c>
      <c r="G32" s="92">
        <f t="shared" si="2"/>
        <v>0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579</v>
      </c>
      <c r="Q32" s="5" t="e">
        <f>S8+S8+S8</f>
        <v>#DIV/0!</v>
      </c>
      <c r="R32" s="5" t="e">
        <f>IF(Q32&gt;=D4,IF(SUM(R21:R31)&gt;0,"",1),"")</f>
        <v>#DIV/0!</v>
      </c>
      <c r="T32" s="163" t="e">
        <f>IF(R32=1,3,"")</f>
        <v>#DIV/0!</v>
      </c>
    </row>
    <row r="33" spans="1:21" ht="12.75" customHeight="1" x14ac:dyDescent="0.2">
      <c r="A33" s="7" t="str">
        <f>+System10!A33</f>
        <v>dorazový kartáč</v>
      </c>
      <c r="B33" s="16">
        <v>98067</v>
      </c>
      <c r="C33" s="25" t="str">
        <f>+VLOOKUP(B33,cennik!$A:$G,2,FALSE)</f>
        <v>SEVROLL dorazová kefa zásuvná 14x4mm sivá</v>
      </c>
      <c r="D33" s="17">
        <f>CEILING((B4*D4*2/1000),1)</f>
        <v>0</v>
      </c>
      <c r="E33" s="91">
        <f>+VLOOKUP(B33,cennik!$A:$G,3,FALSE)</f>
        <v>0.19361999999999999</v>
      </c>
      <c r="F33" s="91">
        <f t="shared" si="1"/>
        <v>0</v>
      </c>
      <c r="G33" s="92">
        <f t="shared" si="2"/>
        <v>0</v>
      </c>
      <c r="H33" s="6" t="str">
        <f>cennik!$B$2</f>
        <v>EUR</v>
      </c>
      <c r="I33" s="469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21" ht="12.75" customHeight="1" x14ac:dyDescent="0.2">
      <c r="A34" s="7" t="str">
        <f>+System10!A34</f>
        <v>úchytková lišta</v>
      </c>
      <c r="B34" s="16" t="e">
        <f>IF(B12&gt;2700, VLOOKUP(O7,data!$C$505:$D$506,2,0),IF(B12&gt;1785, VLOOKUP(O7,data!$C$502:$D$503,2,0),IF(B12&gt;1347, VLOOKUP(O7,data!$C$505:$D$506,2,0), VLOOKUP(O7,data!$C$502:$D$503,2,0))))</f>
        <v>#N/A</v>
      </c>
      <c r="C34" s="25" t="e">
        <f>+VLOOKUP(B34,cennik!$A:$G,2,FALSE)</f>
        <v>#N/A</v>
      </c>
      <c r="D34" s="17">
        <f>IF(B12&lt;=1785,D4*2/2,D4*2)</f>
        <v>0</v>
      </c>
      <c r="E34" s="91" t="e">
        <f>+VLOOKUP(B34,cennik!$A:$G,3,FALSE)</f>
        <v>#N/A</v>
      </c>
      <c r="F34" s="91" t="e">
        <f t="shared" si="1"/>
        <v>#N/A</v>
      </c>
      <c r="G34" s="92" t="e">
        <f t="shared" si="2"/>
        <v>#N/A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</row>
    <row r="35" spans="1:21" ht="12.75" customHeight="1" x14ac:dyDescent="0.2">
      <c r="A35" s="7" t="str">
        <f>+System10!A35</f>
        <v>spojovacia skrutka</v>
      </c>
      <c r="B35" s="6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>+E35*D35</f>
        <v>0</v>
      </c>
      <c r="G35" s="92">
        <f>+F35*(100-$G$26)/100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3"/>
    </row>
    <row r="36" spans="1:21" ht="12.75" customHeight="1" x14ac:dyDescent="0.2">
      <c r="A36" s="7" t="str">
        <f>+System10!A36</f>
        <v>horný profil rámu (vodiaca lišta)</v>
      </c>
      <c r="B36" s="16" t="e">
        <f>+VLOOKUP(L29,data!C305:D322,2,0)</f>
        <v>#DIV/0!</v>
      </c>
      <c r="C36" s="25" t="e">
        <f>+VLOOKUP(B36,cennik!$A:$G,2,FALSE)</f>
        <v>#DIV/0!</v>
      </c>
      <c r="D36" s="64" t="e">
        <f>M29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6" t="str">
        <f>cennik!$B$2</f>
        <v>EUR</v>
      </c>
      <c r="I36" s="469" t="str">
        <f>IFERROR(IF((VLOOKUP(B36,cennik!A:L,12,0))="O",texty!$A$250,""),"")</f>
        <v/>
      </c>
      <c r="J36" s="191" t="e">
        <f>IF(D36&gt;0,IF(VLOOKUP(B36,cennik!A:L,12,FALSE)="O",1,""),"")</f>
        <v>#DIV/0!</v>
      </c>
      <c r="K36" s="3">
        <f>+System10!L22</f>
        <v>0</v>
      </c>
    </row>
    <row r="37" spans="1:21" ht="12.75" customHeight="1" x14ac:dyDescent="0.2">
      <c r="A37" s="7" t="str">
        <f>+System10!A37</f>
        <v>horný profil rámu (vodiaca lišta)</v>
      </c>
      <c r="B37" s="16" t="e">
        <f>IF(L31&lt;&gt;"jiné",+VLOOKUP(L31,data!C304:D321,2,0),"")</f>
        <v>#DIV/0!</v>
      </c>
      <c r="C37" s="25" t="e">
        <f>IF(L31&lt;&gt;"jiné",+VLOOKUP(B37,cennik!$A:$G,2,FALSE),texty!$A$2)</f>
        <v>#DIV/0!</v>
      </c>
      <c r="D37" s="64" t="e">
        <f>M31</f>
        <v>#DIV/0!</v>
      </c>
      <c r="E37" s="91" t="e">
        <f>IF(L31&lt;&gt;"jiné",+VLOOKUP(B37,cennik!$A:$G,3,FALSE),0)</f>
        <v>#DIV/0!</v>
      </c>
      <c r="F37" s="91" t="e">
        <f>+E37*D37</f>
        <v>#DIV/0!</v>
      </c>
      <c r="G37" s="92" t="e">
        <f>+F37*(100-$G$26)/100</f>
        <v>#DIV/0!</v>
      </c>
      <c r="H37" s="6" t="str">
        <f>cennik!$B$2</f>
        <v>EUR</v>
      </c>
      <c r="I37" s="469" t="str">
        <f>IFERROR(IF((VLOOKUP(B37,cennik!A:L,12,0))="O",texty!$A$250,""),"")</f>
        <v/>
      </c>
      <c r="J37" s="191" t="e">
        <f>IF(D37&gt;0,IF(VLOOKUP(B37,cennik!A:L,12,FALSE)="O",1,""),"")</f>
        <v>#DIV/0!</v>
      </c>
      <c r="K37" s="3"/>
    </row>
    <row r="38" spans="1:21" ht="12.75" customHeight="1" x14ac:dyDescent="0.2">
      <c r="A38" s="7" t="str">
        <f>+System10!A38</f>
        <v>horizontálny spodný profil rámu</v>
      </c>
      <c r="B38" s="6" t="e">
        <f>+VLOOKUP(L29,data!$C$370:$D$384,2,0)</f>
        <v>#DIV/0!</v>
      </c>
      <c r="C38" s="25" t="e">
        <f>+VLOOKUP(B38,cennik!$A:$G,2,FALSE)</f>
        <v>#DIV/0!</v>
      </c>
      <c r="D38" s="64" t="e">
        <f>M29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6" t="str">
        <f>cennik!$B$2</f>
        <v>EUR</v>
      </c>
      <c r="I38" s="469" t="str">
        <f>IFERROR(IF((VLOOKUP(B38,cennik!A:L,12,0))="O",texty!$A$250,""),"")</f>
        <v/>
      </c>
      <c r="J38" s="191" t="e">
        <f>IF(D38&gt;0,IF(VLOOKUP(B38,cennik!A:L,12,FALSE)="O",1,""),"")</f>
        <v>#DIV/0!</v>
      </c>
      <c r="K38" s="3" t="str">
        <f>+System10!L24</f>
        <v>1700-0</v>
      </c>
    </row>
    <row r="39" spans="1:21" ht="12.75" customHeight="1" x14ac:dyDescent="0.2">
      <c r="A39" s="7" t="str">
        <f>+System10!A39</f>
        <v>horizontálny spodný profil rámu</v>
      </c>
      <c r="B39" s="16" t="e">
        <f>IF(L31&lt;&gt;"jiné",+VLOOKUP(L31,data!$C$370:$D$384,2,0),"")</f>
        <v>#DIV/0!</v>
      </c>
      <c r="C39" s="25" t="e">
        <f>IF(L31&lt;&gt;"jiné",+VLOOKUP(B39,cennik!$A:$G,2,FALSE),texty!$A$2)</f>
        <v>#DIV/0!</v>
      </c>
      <c r="D39" s="64" t="e">
        <f>M31</f>
        <v>#DIV/0!</v>
      </c>
      <c r="E39" s="91" t="e">
        <f>IF(L31&lt;&gt;"jiné",+VLOOKUP(B39,cennik!$A:$G,3,FALSE),0)</f>
        <v>#DIV/0!</v>
      </c>
      <c r="F39" s="91" t="e">
        <f>+E39*D39</f>
        <v>#DIV/0!</v>
      </c>
      <c r="G39" s="92" t="e">
        <f>+F39*(100-$G$26)/100</f>
        <v>#DIV/0!</v>
      </c>
      <c r="H39" s="6" t="str">
        <f>cennik!$B$2</f>
        <v>EUR</v>
      </c>
      <c r="I39" s="469" t="str">
        <f>IFERROR(IF((VLOOKUP(B39,cennik!A:L,12,0))="O",texty!$A$250,""),"")</f>
        <v/>
      </c>
      <c r="J39" s="191" t="e">
        <f>IF(D39&gt;0,IF(VLOOKUP(B39,cennik!A:L,12,FALSE)="O",1,""),"")</f>
        <v>#DIV/0!</v>
      </c>
      <c r="K39" s="3"/>
    </row>
    <row r="40" spans="1:21" ht="12.75" customHeight="1" x14ac:dyDescent="0.2">
      <c r="E40" s="94"/>
      <c r="F40" s="94"/>
      <c r="G40" s="94"/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">
      <c r="A41" s="14" t="str">
        <f>texty!$A$66</f>
        <v>Voliteľné príslušenstvo:</v>
      </c>
      <c r="B41" s="15"/>
      <c r="D41" s="26" t="str">
        <f>System10!$D$41</f>
        <v>zadajte počet:</v>
      </c>
      <c r="E41" s="95"/>
      <c r="F41" s="95"/>
      <c r="G41" s="94"/>
      <c r="I41" s="469" t="str">
        <f>IFERROR(IF((VLOOKUP(B41,cennik!A:L,12,0))="O",texty!$A$250,""),"")</f>
        <v/>
      </c>
      <c r="J41" s="191"/>
      <c r="K41" s="3"/>
    </row>
    <row r="42" spans="1:21" ht="12.75" customHeight="1" x14ac:dyDescent="0.2">
      <c r="A42" s="7" t="str">
        <f>texty!$A$88</f>
        <v>pozicionér do horného vedenia</v>
      </c>
      <c r="B42" s="15">
        <v>298035</v>
      </c>
      <c r="C42" s="25" t="str">
        <f>+VLOOKUP(B42,cennik!$A:$G,2,FALSE)</f>
        <v>SEVROLL 20326 Fix pozicionér pre horný vozík transparentný</v>
      </c>
      <c r="D42" s="29"/>
      <c r="E42" s="91">
        <f>+VLOOKUP(B42,cennik!$A:$G,3,FALSE)</f>
        <v>1.0837300000000001</v>
      </c>
      <c r="F42" s="96">
        <f t="shared" ref="F42:F53" si="3">+CEILING(D42,1)*E42</f>
        <v>0</v>
      </c>
      <c r="G42" s="92">
        <f t="shared" ref="G42:G49" si="4">+F42*(100-$G$26)/100</f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21" ht="12.75" customHeight="1" x14ac:dyDescent="0.2">
      <c r="A43" s="7" t="str">
        <f>+System10!A43</f>
        <v xml:space="preserve">pozicionér </v>
      </c>
      <c r="B43" s="16">
        <v>89063</v>
      </c>
      <c r="C43" s="25" t="str">
        <f>+VLOOKUP(B43,cennik!$A:$G,2,FALSE)</f>
        <v>SEVROLL 20080 pozicionér spodného vozíka HI-TEC</v>
      </c>
      <c r="D43" s="29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  <c r="L43" s="160"/>
      <c r="M43" s="160"/>
      <c r="N43" s="160"/>
      <c r="O43" s="160"/>
      <c r="P43" s="5" t="s">
        <v>570</v>
      </c>
      <c r="Q43" s="5" t="e">
        <f>R8+2*T8</f>
        <v>#DIV/0!</v>
      </c>
      <c r="R43" s="5" t="e">
        <f>IF(Q43&gt;=D4,IF(SUM(R21:R32)&gt;0,"",1),"")</f>
        <v>#DIV/0!</v>
      </c>
      <c r="S43" s="163" t="e">
        <f>IF(R43=1,1,"")</f>
        <v>#DIV/0!</v>
      </c>
      <c r="U43" s="163" t="e">
        <f>IF(R43=1,2,"")</f>
        <v>#DIV/0!</v>
      </c>
    </row>
    <row r="44" spans="1:21" ht="12.75" customHeight="1" x14ac:dyDescent="0.2">
      <c r="A44" s="7" t="str">
        <f>texty!A179</f>
        <v>skrutka k spodnémi vedeniu</v>
      </c>
      <c r="B44" s="15">
        <v>98019</v>
      </c>
      <c r="C44" s="25" t="str">
        <f>+VLOOKUP(B44,cennik!$A:$G,2,FALSE)</f>
        <v>SEVROLL 20041 skrutka 2,5x18mm polguľatá hlava zinok biely</v>
      </c>
      <c r="D44" s="29"/>
      <c r="E44" s="91">
        <f>+VLOOKUP(B44,cennik!$A:$G,3,FALSE)</f>
        <v>2.9159999999999998E-2</v>
      </c>
      <c r="F44" s="96">
        <f t="shared" si="3"/>
        <v>0</v>
      </c>
      <c r="G44" s="92">
        <f t="shared" si="4"/>
        <v>0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">
      <c r="A45" s="422" t="str">
        <f>texty!$A$228</f>
        <v> Tlmič dorazu MINI do 25 kg (pár)</v>
      </c>
      <c r="B45" s="16">
        <v>318662</v>
      </c>
      <c r="C45" s="25" t="str">
        <f>+VLOOKUP(B45,cennik!$A:$G,2,FALSE)</f>
        <v>SEVROLL 20368-SV tlmič dorazu Mini SV25 (14-25kg)</v>
      </c>
      <c r="D45" s="29"/>
      <c r="E45" s="91">
        <f>+VLOOKUP(B45,cennik!$A:$G,3,FALSE)</f>
        <v>22.75825</v>
      </c>
      <c r="F45" s="96">
        <f t="shared" si="3"/>
        <v>0</v>
      </c>
      <c r="G45" s="92">
        <f t="shared" si="4"/>
        <v>0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">
      <c r="A46" s="422" t="str">
        <f>texty!$A$229</f>
        <v> Tlmič dorazu MINI do 40 kg (pár)</v>
      </c>
      <c r="B46" s="24">
        <v>283956</v>
      </c>
      <c r="C46" s="25" t="str">
        <f>+VLOOKUP(B46,cennik!$A:$G,2,FALSE)</f>
        <v>SEVROLL 20258-SV tlmič dorazu Mini SV40 (25 - 40kg)</v>
      </c>
      <c r="D46" s="29"/>
      <c r="E46" s="91">
        <f>+VLOOKUP(B46,cennik!$A:$G,3,FALSE)</f>
        <v>22.75825</v>
      </c>
      <c r="F46" s="96">
        <f t="shared" si="3"/>
        <v>0</v>
      </c>
      <c r="G46" s="92">
        <f t="shared" si="4"/>
        <v>0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">
      <c r="A47" s="422" t="str">
        <f>texty!$A$230</f>
        <v> Tlmič dorazu MINI do 60 kg (pár)</v>
      </c>
      <c r="B47" s="24">
        <v>351743</v>
      </c>
      <c r="C47" s="25" t="str">
        <f>+VLOOKUP(B47,cennik!$A:$G,2,FALSE)</f>
        <v>SEVROLL 20339-SV tlmič dorazu Mini SV60 (40 - 60kg)</v>
      </c>
      <c r="D47" s="29"/>
      <c r="E47" s="91">
        <f>+VLOOKUP(B47,cennik!$A:$G,3,FALSE)</f>
        <v>22.75825</v>
      </c>
      <c r="F47" s="96">
        <f t="shared" si="3"/>
        <v>0</v>
      </c>
      <c r="G47" s="92">
        <f t="shared" si="4"/>
        <v>0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3"/>
    </row>
    <row r="48" spans="1:21" ht="12.75" customHeight="1" x14ac:dyDescent="0.2">
      <c r="A48" s="422" t="str">
        <f>texty!$A$231</f>
        <v> Tlmič pre stredné krídlo do 25 kg</v>
      </c>
      <c r="B48" s="24">
        <v>318663</v>
      </c>
      <c r="C48" s="25" t="str">
        <f>+VLOOKUP(B48,cennik!$A:$G,2,FALSE)</f>
        <v>SEVROLL 20363-SV tlmič Central 10/18mm obojstranný 25kg</v>
      </c>
      <c r="D48" s="29"/>
      <c r="E48" s="91">
        <f>+VLOOKUP(B48,cennik!$A:$G,3,FALSE)</f>
        <v>48.741869999999999</v>
      </c>
      <c r="F48" s="96">
        <f t="shared" si="3"/>
        <v>0</v>
      </c>
      <c r="G48" s="92">
        <f t="shared" si="4"/>
        <v>0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3"/>
    </row>
    <row r="49" spans="1:11" ht="15.4" customHeight="1" x14ac:dyDescent="0.2">
      <c r="A49" s="422" t="str">
        <f>texty!$A$232</f>
        <v> Tlmič pre stredné krídlo do 40 kg</v>
      </c>
      <c r="B49" s="24">
        <v>283955</v>
      </c>
      <c r="C49" s="25" t="str">
        <f>+VLOOKUP(B49,cennik!$A:$G,2,FALSE)</f>
        <v>SEVROLL 20319-SV tlmič Central 10/18mm obojstranný 25-40kg</v>
      </c>
      <c r="D49" s="29"/>
      <c r="E49" s="91">
        <f>+VLOOKUP(B49,cennik!$A:$G,3,FALSE)</f>
        <v>48.741869999999999</v>
      </c>
      <c r="F49" s="96">
        <f t="shared" si="3"/>
        <v>0</v>
      </c>
      <c r="G49" s="92">
        <f t="shared" si="4"/>
        <v>0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1" ht="12.75" customHeight="1" x14ac:dyDescent="0.2">
      <c r="A50" s="7" t="str">
        <f>System10!A49</f>
        <v>tlmič dorazu (pár) 25 kg</v>
      </c>
      <c r="B50" s="24">
        <v>227185</v>
      </c>
      <c r="C50" s="25" t="str">
        <f>+VLOOKUP(B50,cennik!$A:$G,2,FALSE)</f>
        <v>K-SEVROLL tlmič dorazu 10/18mm 14-25kg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ref="G50:G56" si="5">+F50*(100-$G$26)/100</f>
        <v>0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">
      <c r="A51" s="7" t="str">
        <f>texty!$A$98</f>
        <v>tlmič dorazu (pár) 50 kg</v>
      </c>
      <c r="B51" s="24">
        <v>227187</v>
      </c>
      <c r="C51" s="25" t="str">
        <f>+VLOOKUP(B51,cennik!$A:$G,2,FALSE)</f>
        <v>K-SEVROLL tlmič dorazu 10/18mm 25-50kg L+P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5"/>
        <v>0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1" ht="12.75" customHeight="1" x14ac:dyDescent="0.2">
      <c r="A52" s="7" t="str">
        <f>texty!$A$100</f>
        <v>spojovací profil H10-3metre</v>
      </c>
      <c r="B52" s="16" t="e">
        <f>+VLOOKUP(O7,data!C457:D459,2,0)</f>
        <v>#N/A</v>
      </c>
      <c r="C52" s="25" t="e">
        <f>+VLOOKUP(B52,cennik!$A:$G,2,FALSE)</f>
        <v>#N/A</v>
      </c>
      <c r="D52" s="29"/>
      <c r="E52" s="91" t="e">
        <f>+VLOOKUP(B52,cennik!$A:$G,3,FALSE)</f>
        <v>#N/A</v>
      </c>
      <c r="F52" s="96" t="e">
        <f t="shared" si="3"/>
        <v>#N/A</v>
      </c>
      <c r="G52" s="92" t="e">
        <f t="shared" si="5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1" ht="12.75" customHeight="1" x14ac:dyDescent="0.2">
      <c r="A53" s="7" t="str">
        <f>texty!$A$101</f>
        <v>spojovací profil H30-3metre</v>
      </c>
      <c r="B53" s="17" t="e">
        <f>+VLOOKUP(O7,data!C468:D470,2,0)</f>
        <v>#N/A</v>
      </c>
      <c r="C53" s="25" t="e">
        <f>+VLOOKUP(B53,cennik!$A:$G,2,FALSE)</f>
        <v>#N/A</v>
      </c>
      <c r="D53" s="29"/>
      <c r="E53" s="91" t="e">
        <f>+VLOOKUP(B53,cennik!$A:$G,3,FALSE)</f>
        <v>#N/A</v>
      </c>
      <c r="F53" s="96" t="e">
        <f t="shared" si="3"/>
        <v>#N/A</v>
      </c>
      <c r="G53" s="92" t="e">
        <f t="shared" si="5"/>
        <v>#N/A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1" ht="12.75" customHeight="1" x14ac:dyDescent="0.2">
      <c r="A54" s="422" t="str">
        <f>texty!A240</f>
        <v>zámok posuvných dverí</v>
      </c>
      <c r="B54" s="17">
        <v>216363</v>
      </c>
      <c r="C54" s="25" t="str">
        <f>+VLOOKUP(B54,cennik!$A:$G,2,FALSE)</f>
        <v>SEVROLL 20356 zámok na posuvné dvere 10/18mm</v>
      </c>
      <c r="D54" s="30"/>
      <c r="E54" s="91">
        <f>+VLOOKUP(B54,cennik!$A:$G,3,FALSE)</f>
        <v>15.72176</v>
      </c>
      <c r="F54" s="91">
        <f>+E54*D54</f>
        <v>0</v>
      </c>
      <c r="G54" s="92">
        <f>+F54*(100-$G$26)/100</f>
        <v>0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">
      <c r="A55" s="7" t="str">
        <f>texty!$A$92</f>
        <v>spojovacia skrutka</v>
      </c>
      <c r="B55" s="16">
        <v>89244</v>
      </c>
      <c r="C55" s="25" t="str">
        <f>+VLOOKUP(B55,cennik!$A:$G,2,FALSE)</f>
        <v>SEVROLL 20001 skrutkovrut 6,3x32 SEVROLL a Simple</v>
      </c>
      <c r="D55" s="30"/>
      <c r="E55" s="91">
        <f>+VLOOKUP(B55,cennik!$A:$G,3,FALSE)</f>
        <v>0.15482000000000001</v>
      </c>
      <c r="F55" s="91">
        <f>+E55*D55</f>
        <v>0</v>
      </c>
      <c r="G55" s="92">
        <f>+F55*(100-$G$26)/100</f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">
      <c r="A56" s="7" t="str">
        <f>System10!A55</f>
        <v>protiprachový kartáč</v>
      </c>
      <c r="B56" s="17">
        <v>95946</v>
      </c>
      <c r="C56" s="25" t="str">
        <f>+VLOOKUP(B56,cennik!$A:$G,2,FALSE)</f>
        <v>SEVROLL protiprach.kartáč zásuvný 4,8x13mm</v>
      </c>
      <c r="D56" s="30"/>
      <c r="E56" s="91">
        <f>+VLOOKUP(B56,cennik!$A:$G,3,FALSE)</f>
        <v>0.18106</v>
      </c>
      <c r="F56" s="91">
        <f>+E56*D56</f>
        <v>0</v>
      </c>
      <c r="G56" s="92">
        <f t="shared" si="5"/>
        <v>0</v>
      </c>
      <c r="H56" s="6" t="str">
        <f>cennik!$B$2</f>
        <v>EUR</v>
      </c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">
      <c r="A57" s="7"/>
      <c r="B57" s="17"/>
      <c r="C57" s="25"/>
      <c r="D57" s="91"/>
      <c r="E57" s="91"/>
      <c r="F57" s="91"/>
      <c r="G57" s="92"/>
      <c r="I57" s="469" t="str">
        <f>IFERROR(IF((VLOOKUP(B57,cennik!A:L,12,0))="O",texty!$A$250,""),"")</f>
        <v/>
      </c>
      <c r="J57" s="191"/>
      <c r="K57" s="6"/>
    </row>
    <row r="58" spans="1:11" ht="12.75" customHeight="1" x14ac:dyDescent="0.2">
      <c r="A58" s="41" t="e">
        <f>CONCATENATE(texty!$A$6,ROUND((C13/1000),1),texty!$A$8)</f>
        <v>#DIV/0!</v>
      </c>
      <c r="B58" s="42"/>
      <c r="C58" s="43"/>
      <c r="D58" s="44"/>
      <c r="E58" s="97"/>
      <c r="F58" s="97"/>
      <c r="G58" s="98"/>
      <c r="I58" s="469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1" ht="12.75" customHeight="1" x14ac:dyDescent="0.2">
      <c r="C59" s="40" t="str">
        <f>texty!$A$10</f>
        <v>Potrebná dĺžka tesnenia pri celkovom presklení (nutné objednať celé metre)</v>
      </c>
      <c r="D59" s="39" t="e">
        <f>CEILING(((B9+C9)*2/1000*D4),1)</f>
        <v>#DIV/0!</v>
      </c>
      <c r="E59" s="94"/>
      <c r="F59" s="94"/>
      <c r="G59" s="94"/>
      <c r="I59" s="469" t="str">
        <f>IFERROR(IF((VLOOKUP(B59,cennik!A:L,12,0))="O",texty!$A$250,""),"")</f>
        <v/>
      </c>
      <c r="J59" s="191"/>
      <c r="K59" s="6"/>
    </row>
    <row r="60" spans="1:11" ht="12.75" customHeight="1" x14ac:dyDescent="0.2">
      <c r="A60" s="48" t="str">
        <f>texty!$A$12</f>
        <v>(pri kombináciach s H profilmi je nutné pripočítať potrebnú dĺžku - tesnenie musí byť po celom odvode každého skla</v>
      </c>
      <c r="B60" s="46"/>
      <c r="C60" s="47"/>
      <c r="D60" s="46"/>
      <c r="E60" s="99"/>
      <c r="F60" s="99"/>
      <c r="G60" s="99"/>
      <c r="I60" s="469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">
      <c r="A61" s="7" t="str">
        <f>System10!A59</f>
        <v>tesnenie na sklo 4mm</v>
      </c>
      <c r="B61" s="17">
        <v>89238</v>
      </c>
      <c r="C61" s="25" t="str">
        <f>+VLOOKUP(B61,cennik!$A:$G,2,FALSE)</f>
        <v>SEVROLL 20031-SV tesnenie na sklo 10/4mm</v>
      </c>
      <c r="D61" s="45"/>
      <c r="E61" s="91">
        <f>+VLOOKUP(B61,cennik!$A:$G,3,FALSE)</f>
        <v>0.79988999999999999</v>
      </c>
      <c r="F61" s="96">
        <f>+CEILING(D61,1)*E61</f>
        <v>0</v>
      </c>
      <c r="G61" s="92">
        <f>+F61*(100-$G$26)/100</f>
        <v>0</v>
      </c>
      <c r="H61" s="6" t="str">
        <f>cennik!$B$2</f>
        <v>EUR</v>
      </c>
      <c r="I61" s="469" t="str">
        <f>IFERROR(IF((VLOOKUP(B61,cennik!A:L,12,0))="O",texty!$A$250,""),"")</f>
        <v/>
      </c>
      <c r="J61" s="191" t="str">
        <f>IF(D61&gt;0,IF(VLOOKUP(B61,cennik!A:L,12,FALSE)="O",1,""),"")</f>
        <v/>
      </c>
      <c r="K61" s="6"/>
    </row>
    <row r="62" spans="1:11" ht="12.75" customHeight="1" x14ac:dyDescent="0.2">
      <c r="A62" s="7" t="str">
        <f>texty!A103</f>
        <v>tesnenie na sklo 4,5 mm</v>
      </c>
      <c r="B62" s="17">
        <v>135164</v>
      </c>
      <c r="C62" s="25" t="str">
        <f>+VLOOKUP(B62,cennik!$A:$G,2,FALSE)</f>
        <v>SEVROLL 20032-SV tesnenie na sklo 10/4,5mm</v>
      </c>
      <c r="D62" s="45"/>
      <c r="E62" s="91">
        <f>+VLOOKUP(B62,cennik!$A:$G,3,FALSE)</f>
        <v>0.79988999999999999</v>
      </c>
      <c r="F62" s="96">
        <f>+CEILING(D62,1)*E62</f>
        <v>0</v>
      </c>
      <c r="G62" s="92">
        <f>+F62*(100-$G$26)/100</f>
        <v>0</v>
      </c>
      <c r="H62" s="6" t="str">
        <f>cennik!$B$2</f>
        <v>EUR</v>
      </c>
      <c r="I62" s="469" t="str">
        <f>IFERROR(IF((VLOOKUP(B62,cennik!A:L,12,0))="O",texty!$A$250,""),"")</f>
        <v/>
      </c>
      <c r="J62" s="191" t="str">
        <f>IF(D62&gt;0,IF(VLOOKUP(B62,cennik!A:L,12,FALSE)="O",1,""),"")</f>
        <v/>
      </c>
      <c r="K62" s="3"/>
    </row>
    <row r="63" spans="1:11" ht="12.75" customHeight="1" x14ac:dyDescent="0.2">
      <c r="A63" s="7" t="str">
        <f>System10!A61</f>
        <v>tesnenie na sklo 6mm</v>
      </c>
      <c r="B63" s="17">
        <v>89243</v>
      </c>
      <c r="C63" s="25" t="str">
        <f>+VLOOKUP(B63,cennik!$A:$G,2,FALSE)</f>
        <v>SEVROLL 20033-SV tesnenie na sklo 10/6mm</v>
      </c>
      <c r="D63" s="45"/>
      <c r="E63" s="91">
        <f>+VLOOKUP(B63,cennik!$A:$G,3,FALSE)</f>
        <v>0.79988999999999999</v>
      </c>
      <c r="F63" s="96">
        <f>+CEILING(D63,1)*E63</f>
        <v>0</v>
      </c>
      <c r="G63" s="92">
        <f>+F63*(100-$G$26)/100</f>
        <v>0</v>
      </c>
      <c r="H63" s="6" t="str">
        <f>cennik!$B$2</f>
        <v>EUR</v>
      </c>
      <c r="I63" s="469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5" x14ac:dyDescent="0.2">
      <c r="A64" s="271" t="str">
        <f>texty!$A$190</f>
        <v>Ďalšie príslušenstvo</v>
      </c>
      <c r="E64" s="94"/>
      <c r="F64" s="94"/>
      <c r="G64" s="94"/>
      <c r="I64" s="469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">
      <c r="A65" s="271" t="str">
        <f>texty!$A$244</f>
        <v>Technický nákres tohoto systému</v>
      </c>
      <c r="B65" s="167">
        <v>129677</v>
      </c>
      <c r="C65" s="167" t="str">
        <f>VLOOKUP(B65,cennik!A:C,2,0)</f>
        <v>SEVROLL 20173 montážny prípravok pre lamino 10mm malý</v>
      </c>
      <c r="D65" s="45"/>
      <c r="E65" s="91">
        <f>+VLOOKUP(B65,cennik!$A:$G,3,FALSE)</f>
        <v>5.0214600000000003</v>
      </c>
      <c r="F65" s="96">
        <f>+CEILING(D65,1)*E65</f>
        <v>0</v>
      </c>
      <c r="G65" s="92">
        <f>F65</f>
        <v>0</v>
      </c>
      <c r="H65" s="6" t="str">
        <f>cennik!$B$2</f>
        <v>EUR</v>
      </c>
      <c r="I65" s="469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">
      <c r="B66" s="167">
        <v>128842</v>
      </c>
      <c r="C66" s="167" t="str">
        <f>VLOOKUP(B66,cennik!A:C,2,0)</f>
        <v>SEVROLL 20144 vrták stupňovitý 6,5/9,5mm</v>
      </c>
      <c r="D66" s="45"/>
      <c r="E66" s="91">
        <f>+VLOOKUP(B66,cennik!$A:$G,3,FALSE)</f>
        <v>26.752659999999999</v>
      </c>
      <c r="F66" s="96">
        <f>+CEILING(D66,1)*E66</f>
        <v>0</v>
      </c>
      <c r="G66" s="92">
        <f>F66</f>
        <v>0</v>
      </c>
      <c r="H66" s="6" t="str">
        <f>cennik!$B$2</f>
        <v>EUR</v>
      </c>
      <c r="I66" s="469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">
      <c r="A67" s="646" t="str">
        <f>IF(SUM(D50:D51)&gt;0,IF(C7&lt;(B4/3),texty!$A$212,""),"")</f>
        <v/>
      </c>
      <c r="B67" s="646"/>
      <c r="C67" s="646"/>
      <c r="D67" s="646"/>
      <c r="E67" s="646"/>
      <c r="F67" s="646"/>
      <c r="G67" s="646"/>
      <c r="H67" s="646"/>
      <c r="I67" s="646"/>
      <c r="J67" s="134"/>
    </row>
    <row r="68" spans="1:13" ht="12.75" customHeight="1" x14ac:dyDescent="0.2">
      <c r="B68" s="8"/>
      <c r="C68" s="8"/>
      <c r="D68" s="76" t="str">
        <f>texty!$A$15</f>
        <v>CELKOM  (bez DPH)</v>
      </c>
      <c r="E68" s="99"/>
      <c r="F68" s="101" t="e">
        <f>SUM(F28:F66)</f>
        <v>#N/A</v>
      </c>
      <c r="G68" s="101" t="e">
        <f>SUM(G28:G66)</f>
        <v>#N/A</v>
      </c>
      <c r="H68" s="6" t="str">
        <f>cennik!$B$2</f>
        <v>EUR</v>
      </c>
      <c r="I68" s="181"/>
      <c r="J68" s="181"/>
      <c r="K68" s="5" t="str">
        <f>texty!A128</f>
        <v xml:space="preserve">strieborná </v>
      </c>
    </row>
    <row r="69" spans="1:13" ht="12.75" customHeight="1" x14ac:dyDescent="0.2">
      <c r="A69" s="75" t="str">
        <f>System10!$A$67</f>
        <v>Vaša poznámka:</v>
      </c>
      <c r="B69" s="656"/>
      <c r="C69" s="657"/>
      <c r="D69" s="657"/>
      <c r="E69" s="657"/>
      <c r="F69" s="657"/>
      <c r="G69" s="657"/>
      <c r="K69" s="5" t="str">
        <f>texty!A130</f>
        <v>oliva</v>
      </c>
    </row>
    <row r="70" spans="1:13" ht="12.75" customHeight="1" x14ac:dyDescent="0.2">
      <c r="A70" s="648">
        <f>profil!$U$15</f>
        <v>0</v>
      </c>
      <c r="B70" s="649"/>
      <c r="C70" s="649"/>
      <c r="D70" s="649"/>
      <c r="E70" s="649"/>
      <c r="F70" s="649"/>
      <c r="G70" s="649"/>
    </row>
    <row r="71" spans="1:13" ht="12.75" customHeight="1" x14ac:dyDescent="0.2">
      <c r="A71" s="650">
        <f>IF(M71=1,texty!$A$215,IF(J71&gt;0,texty!$A$214,""))</f>
        <v>0</v>
      </c>
      <c r="B71" s="650"/>
      <c r="C71" s="650"/>
      <c r="D71" s="650"/>
      <c r="E71" s="650"/>
      <c r="F71" s="650"/>
      <c r="G71" s="650"/>
      <c r="J71" s="6" t="e">
        <f>SUM(J28:J66)</f>
        <v>#N/A</v>
      </c>
      <c r="M71" s="5">
        <f>IF(ISERROR(J71),1,0)</f>
        <v>1</v>
      </c>
    </row>
    <row r="72" spans="1:13" ht="12.75" customHeight="1" x14ac:dyDescent="0.2"/>
    <row r="73" spans="1:13" ht="12.75" customHeight="1" x14ac:dyDescent="0.2"/>
    <row r="84" spans="1:1" ht="12.75" hidden="1" customHeight="1" x14ac:dyDescent="0.2">
      <c r="A84" s="5">
        <v>3</v>
      </c>
    </row>
    <row r="85" spans="1:1" ht="12.75" customHeight="1" x14ac:dyDescent="0.2"/>
    <row r="86" spans="1:1" ht="12.75" customHeight="1" x14ac:dyDescent="0.2"/>
    <row r="87" spans="1:1" ht="12.75" customHeight="1" x14ac:dyDescent="0.2"/>
    <row r="88" spans="1:1" ht="12.75" customHeight="1" x14ac:dyDescent="0.2"/>
  </sheetData>
  <sheetProtection algorithmName="SHA-512" hashValue="ZeucUZhUqmTWHJyvqsWYUeVHD9ZhADKxKk8IQlGUijcUyZeCK2CXjyMCUw1AOJeIrvFtRxUrxjfX54ztiIsuYQ==" saltValue="Xk7197Txb4Hj92qtuO2KdQ==" spinCount="100000" sheet="1" objects="1" scenarios="1" selectLockedCell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70" priority="3">
      <formula>SUM($D$48:$D$49)&gt;0</formula>
    </cfRule>
  </conditionalFormatting>
  <conditionalFormatting sqref="D6">
    <cfRule type="expression" dxfId="168" priority="5">
      <formula>$D$4=4</formula>
    </cfRule>
    <cfRule type="expression" dxfId="167" priority="6">
      <formula>$D$4&lt;&gt;4</formula>
    </cfRule>
  </conditionalFormatting>
  <conditionalFormatting sqref="F4:I6">
    <cfRule type="expression" dxfId="166" priority="4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5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83"/>
  <sheetViews>
    <sheetView showGridLines="0" zoomScale="85" zoomScaleNormal="85" workbookViewId="0">
      <selection activeCell="B4" sqref="B4"/>
    </sheetView>
  </sheetViews>
  <sheetFormatPr defaultColWidth="0" defaultRowHeight="0" customHeight="1" zeroHeight="1" x14ac:dyDescent="0.2"/>
  <cols>
    <col min="1" max="1" width="40.42578125" style="5" customWidth="1"/>
    <col min="2" max="2" width="15.7109375" style="5" customWidth="1"/>
    <col min="3" max="3" width="63.7109375" style="5" bestFit="1" customWidth="1"/>
    <col min="4" max="4" width="13.7109375" style="5" customWidth="1"/>
    <col min="5" max="5" width="13.42578125" style="5" customWidth="1"/>
    <col min="6" max="6" width="13.140625" style="5" customWidth="1"/>
    <col min="7" max="7" width="15.140625" style="5" bestFit="1" customWidth="1"/>
    <col min="8" max="8" width="4.7109375" style="6" bestFit="1" customWidth="1"/>
    <col min="9" max="9" width="27" style="6" customWidth="1"/>
    <col min="10" max="10" width="11.28515625" style="6" hidden="1" customWidth="1"/>
    <col min="11" max="11" width="9.140625" style="5" hidden="1" customWidth="1"/>
    <col min="12" max="12" width="8.140625" style="5" hidden="1" customWidth="1"/>
    <col min="13" max="13" width="11.42578125" style="5" hidden="1" customWidth="1"/>
    <col min="14" max="14" width="7.140625" style="5" hidden="1" customWidth="1"/>
    <col min="15" max="15" width="8.7109375" style="5" hidden="1" customWidth="1"/>
    <col min="16" max="16" width="7.140625" style="5" hidden="1" customWidth="1"/>
    <col min="17" max="21" width="0" style="5" hidden="1" customWidth="1"/>
    <col min="22" max="16384" width="9.140625" style="5" hidden="1"/>
  </cols>
  <sheetData>
    <row r="1" spans="1:21" ht="13.5" customHeight="1" thickBot="1" x14ac:dyDescent="0.25">
      <c r="A1" s="7"/>
      <c r="B1" s="8"/>
      <c r="C1" s="8"/>
      <c r="D1" s="8"/>
      <c r="E1" s="8"/>
      <c r="F1" s="6"/>
      <c r="G1" s="6"/>
      <c r="K1" s="6">
        <v>2</v>
      </c>
      <c r="L1" s="5">
        <v>-8.25</v>
      </c>
    </row>
    <row r="2" spans="1:21" ht="18.75" customHeight="1" x14ac:dyDescent="0.2">
      <c r="A2" s="523" t="s">
        <v>996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6.25" thickBot="1" x14ac:dyDescent="0.25">
      <c r="A3" s="524" t="str">
        <f>CONCATENATE(texty!A243," ",5,".",61)</f>
        <v>katalóg kovania 2018 str. 5.61</v>
      </c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18" customHeight="1" x14ac:dyDescent="0.2">
      <c r="A4" s="10" t="str">
        <f>+System10!A4</f>
        <v>VNÚTORNÝ ROZMER SKRINE:</v>
      </c>
      <c r="B4" s="56"/>
      <c r="C4" s="56"/>
      <c r="D4" s="22"/>
      <c r="E4" s="22"/>
      <c r="F4" s="655"/>
      <c r="G4" s="655"/>
      <c r="H4" s="655"/>
      <c r="I4" s="655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">
      <c r="A5" s="476"/>
      <c r="B5" s="633" t="str">
        <f>texty!A46</f>
        <v>vypíšte tieto 4 políčka !!! Údaje v mm</v>
      </c>
      <c r="C5" s="633"/>
      <c r="D5" s="633"/>
      <c r="E5" s="633"/>
      <c r="F5" s="655"/>
      <c r="G5" s="655"/>
      <c r="H5" s="655"/>
      <c r="I5" s="655"/>
      <c r="J5" s="190"/>
      <c r="K5" s="3"/>
      <c r="N5" s="5" t="str">
        <f>CONCATENATE(N4,"-",E4)</f>
        <v>1500-</v>
      </c>
    </row>
    <row r="6" spans="1:21" ht="18" customHeight="1" x14ac:dyDescent="0.2">
      <c r="A6" s="10"/>
      <c r="B6" s="11" t="str">
        <f>IF(D4=4,texty!A227,"")</f>
        <v/>
      </c>
      <c r="D6" s="285">
        <v>3</v>
      </c>
      <c r="E6" s="8"/>
      <c r="F6" s="655"/>
      <c r="G6" s="655"/>
      <c r="H6" s="655"/>
      <c r="I6" s="655"/>
      <c r="J6" s="190"/>
      <c r="K6" s="6"/>
      <c r="Q6" s="636" t="s">
        <v>557</v>
      </c>
      <c r="R6" s="636" t="s">
        <v>715</v>
      </c>
      <c r="S6" s="636" t="s">
        <v>716</v>
      </c>
      <c r="T6" s="636" t="s">
        <v>560</v>
      </c>
    </row>
    <row r="7" spans="1:21" ht="12.75" customHeight="1" x14ac:dyDescent="0.2">
      <c r="A7" s="10" t="str">
        <f>texty!A71</f>
        <v>krídlo dverí:</v>
      </c>
      <c r="B7" s="57">
        <f>+B4-35</f>
        <v>-35</v>
      </c>
      <c r="C7" s="59" t="e">
        <f>+((C4-3+30*(D4-1))/D4+IF(AND(D4=4,D6=2),L1,0))</f>
        <v>#DIV/0!</v>
      </c>
      <c r="D7" s="8"/>
      <c r="E7" s="8"/>
      <c r="F7" s="50" t="str">
        <f>texty!$A$39</f>
        <v>V prípade použitia skla ako výplne</v>
      </c>
      <c r="G7" s="6"/>
      <c r="K7" s="6"/>
      <c r="N7" s="17" t="e">
        <f>IF(K11="jiné",L12,K11)</f>
        <v>#DIV/0!</v>
      </c>
      <c r="O7" s="21">
        <f>+E4</f>
        <v>0</v>
      </c>
      <c r="Q7" s="636"/>
      <c r="R7" s="636"/>
      <c r="S7" s="636"/>
      <c r="T7" s="636"/>
    </row>
    <row r="8" spans="1:21" ht="12.75" customHeight="1" x14ac:dyDescent="0.2">
      <c r="A8" s="10" t="str">
        <f>texty!A72</f>
        <v>rozmer výplne 10 mm:</v>
      </c>
      <c r="B8" s="57">
        <f>+B7-65</f>
        <v>-100</v>
      </c>
      <c r="C8" s="59" t="e">
        <f>+C7-17</f>
        <v>#DIV/0!</v>
      </c>
      <c r="D8" s="8"/>
      <c r="E8" s="8"/>
      <c r="F8" s="50" t="str">
        <f>texty!$A$40</f>
        <v>je treba použiť bezpečnostné sklo</v>
      </c>
      <c r="G8" s="6"/>
      <c r="K8" s="6" t="s">
        <v>60</v>
      </c>
      <c r="L8" s="5" t="s">
        <v>61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">
      <c r="A9" s="10" t="str">
        <f>texty!A73</f>
        <v>rozmer zrkadla / skla</v>
      </c>
      <c r="B9" s="57">
        <f>+B8</f>
        <v>-100</v>
      </c>
      <c r="C9" s="59" t="e">
        <f>+C8-4</f>
        <v>#DIV/0!</v>
      </c>
      <c r="D9" s="8"/>
      <c r="E9" s="8"/>
      <c r="F9" s="50" t="str">
        <f>texty!$A$41</f>
        <v>alebo sklo zabezpečiť ochrannou fóliou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4" si="0">Q8+$C$10+5</f>
        <v>#DIV/0!</v>
      </c>
      <c r="R9" s="5" t="e">
        <f>(1500-C10)*R19</f>
        <v>#DIV/0!</v>
      </c>
      <c r="S9" s="5" t="e">
        <f>(2000-C10)*S19</f>
        <v>#DIV/0!</v>
      </c>
      <c r="T9" s="5" t="e">
        <f>(3000-C10)*T19</f>
        <v>#DIV/0!</v>
      </c>
      <c r="U9" s="5" t="s">
        <v>562</v>
      </c>
    </row>
    <row r="10" spans="1:21" ht="12.75" customHeight="1" x14ac:dyDescent="0.2">
      <c r="A10" s="10" t="str">
        <f>texty!A74</f>
        <v>dĺžka vodiacej a krycej lišty krídla</v>
      </c>
      <c r="B10" s="57"/>
      <c r="C10" s="60" t="e">
        <f>+C7-33.2</f>
        <v>#DIV/0!</v>
      </c>
      <c r="D10" s="8"/>
      <c r="E10" s="8"/>
      <c r="F10" s="3" t="str">
        <f>texty!$A$44</f>
        <v>Maximálna hmotnosť krídla je 35 kg</v>
      </c>
      <c r="G10" s="6"/>
      <c r="K10" s="5" t="s">
        <v>59</v>
      </c>
      <c r="N10" s="17" t="e">
        <f>IF(K11="jiné",L13,"")</f>
        <v>#DIV/0!</v>
      </c>
      <c r="O10" s="21">
        <f>+E4</f>
        <v>0</v>
      </c>
      <c r="P10" s="5">
        <v>3</v>
      </c>
      <c r="Q10" s="159" t="e">
        <f t="shared" si="0"/>
        <v>#DIV/0!</v>
      </c>
    </row>
    <row r="11" spans="1:21" ht="12.75" customHeight="1" x14ac:dyDescent="0.2">
      <c r="A11" s="10" t="str">
        <f>texty!A75</f>
        <v>Horný/spodný profil</v>
      </c>
      <c r="B11" s="57"/>
      <c r="C11" s="189">
        <f>+C4</f>
        <v>0</v>
      </c>
      <c r="D11" s="8"/>
      <c r="E11" s="8"/>
      <c r="G11" s="40"/>
      <c r="K11" s="36" t="e">
        <f>IF((K9+L9)&lt;1500,1500,IF((K9+L9)&lt;2000,2000,IF((K9+L9)&lt;3000,3000,"jiné")))</f>
        <v>#DIV/0!</v>
      </c>
      <c r="M11" s="5" t="s">
        <v>62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">
      <c r="A12" s="10" t="str">
        <f>texty!A76</f>
        <v>úchytková lišta</v>
      </c>
      <c r="B12" s="488">
        <f>+B7</f>
        <v>-35</v>
      </c>
      <c r="C12" s="489"/>
      <c r="D12" s="8"/>
      <c r="E12" s="8"/>
      <c r="F12" s="6"/>
      <c r="G12" s="6"/>
      <c r="K12" s="6" t="e">
        <f>C10*(D4-1)+(D4*5)</f>
        <v>#DIV/0!</v>
      </c>
      <c r="L12" s="5" t="e">
        <f>IF(K12&lt;1500,1500,IF(K12&lt;2000,2000,IF(K12&lt;3000,3000,3000)))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">
      <c r="A13" s="10" t="str">
        <f>texty!A77</f>
        <v>dĺžka tesnenia na sklo na jednom krídle</v>
      </c>
      <c r="B13" s="58"/>
      <c r="C13" s="144" t="e">
        <f>ROUND(B8*2+C9*2,0)</f>
        <v>#DIV/0!</v>
      </c>
      <c r="D13" s="8"/>
      <c r="E13" s="8"/>
      <c r="F13" s="6"/>
      <c r="G13" s="6"/>
      <c r="K13" s="35" t="e">
        <f>C10+10</f>
        <v>#DIV/0!</v>
      </c>
      <c r="L13" s="5" t="e">
        <f>IF(M12&gt;=0,IF(K13&lt;1500,1500,IF(K13&lt;2000,2000,IF(K13&lt;3000,3000,"jiné"))),IF((K13+C10)&lt;1500,1500,IF((K13+C10)&lt;2000,2000,IF((K13+C10)&lt;3000,3000,"jiné"))))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ht="12.75" x14ac:dyDescent="0.2">
      <c r="A14" s="635" t="str">
        <f>IF(SUM(D50:D51)&gt;0,texty!A247,"")</f>
        <v/>
      </c>
      <c r="B14" s="635"/>
      <c r="C14" s="490" t="str">
        <f>texty!A78</f>
        <v>dodatočné odpočty výšky vypočítaných výplní pri použití deliacich profilov výplne:</v>
      </c>
      <c r="D14" s="8"/>
      <c r="E14" s="8"/>
      <c r="F14" s="6"/>
      <c r="G14" s="6"/>
      <c r="K14" s="6"/>
      <c r="L14" s="5" t="e">
        <f>SUM(L12:L13)</f>
        <v>#DIV/0!</v>
      </c>
      <c r="M14" s="5" t="e">
        <f>SUM(M12:M13)</f>
        <v>#DIV/0!</v>
      </c>
      <c r="P14" s="5">
        <v>7</v>
      </c>
      <c r="Q14" s="159" t="e">
        <f t="shared" si="0"/>
        <v>#DIV/0!</v>
      </c>
    </row>
    <row r="15" spans="1:21" ht="12.75" x14ac:dyDescent="0.2">
      <c r="A15" s="635"/>
      <c r="B15" s="635"/>
      <c r="C15" s="490"/>
      <c r="D15" s="8"/>
      <c r="E15" s="8"/>
      <c r="F15" s="6"/>
      <c r="G15" s="6"/>
      <c r="K15" s="6"/>
      <c r="Q15" s="159"/>
    </row>
    <row r="16" spans="1:21" ht="19.899999999999999" customHeight="1" x14ac:dyDescent="0.2">
      <c r="A16" s="635" t="str">
        <f>IF(SUM(D52:D53)&gt;0,texty!A248,"")</f>
        <v/>
      </c>
      <c r="B16" s="635"/>
      <c r="C16" s="490"/>
      <c r="D16" s="8"/>
      <c r="E16" s="8"/>
      <c r="F16" s="6"/>
      <c r="G16" s="6"/>
      <c r="K16" s="6"/>
      <c r="Q16" s="159"/>
    </row>
    <row r="17" spans="1:21" ht="19.899999999999999" customHeight="1" x14ac:dyDescent="0.2">
      <c r="A17" s="635"/>
      <c r="B17" s="635"/>
      <c r="C17" s="490"/>
      <c r="D17" s="8"/>
      <c r="E17" s="8"/>
      <c r="F17" s="6"/>
      <c r="G17" s="6"/>
      <c r="K17" s="6"/>
      <c r="Q17" s="159"/>
    </row>
    <row r="18" spans="1:21" ht="12.75" x14ac:dyDescent="0.2">
      <c r="A18" s="422"/>
      <c r="B18" s="17"/>
      <c r="C18" s="490"/>
      <c r="D18" s="8"/>
      <c r="E18" s="8"/>
      <c r="F18" s="6"/>
      <c r="G18" s="6"/>
      <c r="K18" s="6"/>
      <c r="Q18" s="159"/>
    </row>
    <row r="19" spans="1:21" ht="12.75" customHeight="1" x14ac:dyDescent="0.2">
      <c r="B19" s="17"/>
      <c r="C19" s="433"/>
      <c r="D19" s="8"/>
      <c r="E19" s="8"/>
      <c r="F19" s="6"/>
      <c r="G19" s="6"/>
      <c r="K19" s="6"/>
      <c r="L19" s="5" t="e">
        <f>L14-C4</f>
        <v>#DIV/0!</v>
      </c>
      <c r="P19" s="5" t="s">
        <v>561</v>
      </c>
      <c r="R19" s="5" t="e">
        <f>FLOOR($D$4/R8,1)</f>
        <v>#DIV/0!</v>
      </c>
      <c r="S19" s="5" t="e">
        <f>FLOOR($D$4/S8,1)</f>
        <v>#DIV/0!</v>
      </c>
      <c r="T19" s="5" t="e">
        <f>FLOOR($D$4/T8,1)</f>
        <v>#DIV/0!</v>
      </c>
    </row>
    <row r="20" spans="1:21" ht="12.75" customHeight="1" x14ac:dyDescent="0.2">
      <c r="A20" s="422"/>
      <c r="B20" s="17"/>
      <c r="C20" s="433"/>
      <c r="D20" s="8"/>
      <c r="E20" s="8"/>
      <c r="F20" s="6"/>
      <c r="G20" s="6"/>
      <c r="K20" s="6"/>
    </row>
    <row r="21" spans="1:21" ht="14.25" customHeight="1" x14ac:dyDescent="0.2">
      <c r="A21" s="422"/>
      <c r="C21" s="119"/>
      <c r="D21" s="8"/>
      <c r="E21" s="8"/>
      <c r="F21" s="6"/>
      <c r="G21" s="6"/>
      <c r="K21" s="6"/>
    </row>
    <row r="22" spans="1:21" ht="16.5" customHeight="1" x14ac:dyDescent="0.2">
      <c r="A22" s="146"/>
      <c r="B22" s="484" t="str">
        <f>texty!A242</f>
        <v>dilatácia 4 mm</v>
      </c>
      <c r="C22" s="8"/>
      <c r="E22" s="8"/>
      <c r="F22" s="6"/>
      <c r="G22" s="6"/>
      <c r="K22" s="6"/>
      <c r="L22" s="6"/>
      <c r="Q22" s="5" t="s">
        <v>581</v>
      </c>
      <c r="R22" s="5" t="s">
        <v>580</v>
      </c>
      <c r="S22" s="5">
        <v>1500</v>
      </c>
      <c r="T22" s="5">
        <v>2000</v>
      </c>
      <c r="U22" s="5">
        <v>3000</v>
      </c>
    </row>
    <row r="23" spans="1:21" ht="16.5" customHeight="1" x14ac:dyDescent="0.2">
      <c r="A23" s="204"/>
      <c r="B23" s="8"/>
      <c r="C23" s="8"/>
      <c r="D23" s="13"/>
      <c r="E23" s="8"/>
      <c r="F23" s="6"/>
      <c r="G23" s="6"/>
      <c r="K23" s="6"/>
      <c r="P23" s="5">
        <v>1</v>
      </c>
      <c r="Q23" s="5" t="e">
        <f>R8</f>
        <v>#DIV/0!</v>
      </c>
      <c r="R23" s="5" t="e">
        <f>IF(Q23&gt;=D4,1,"")</f>
        <v>#DIV/0!</v>
      </c>
      <c r="S23" s="163" t="e">
        <f>IF(R23=1,1,"")</f>
        <v>#DIV/0!</v>
      </c>
      <c r="T23" s="163"/>
      <c r="U23" s="163"/>
    </row>
    <row r="24" spans="1:21" ht="12.75" customHeight="1" x14ac:dyDescent="0.2">
      <c r="A24" s="7"/>
      <c r="B24" s="8"/>
      <c r="C24" s="8"/>
      <c r="D24" s="8"/>
      <c r="E24" s="8"/>
      <c r="F24" s="6"/>
      <c r="G24" s="6"/>
      <c r="K24" s="3"/>
      <c r="P24" s="5">
        <v>2</v>
      </c>
      <c r="Q24" s="5" t="e">
        <f>S8</f>
        <v>#DIV/0!</v>
      </c>
      <c r="R24" s="5" t="e">
        <f>IF(Q24&gt;=D4,IF(R23=1,"",1),"")</f>
        <v>#DIV/0!</v>
      </c>
      <c r="S24" s="163"/>
      <c r="T24" s="163" t="e">
        <f>IF(R24=1,1,"")</f>
        <v>#DIV/0!</v>
      </c>
      <c r="U24" s="163"/>
    </row>
    <row r="25" spans="1:21" ht="12.75" customHeight="1" x14ac:dyDescent="0.2">
      <c r="A25" s="7"/>
      <c r="B25" s="8"/>
      <c r="C25" s="8"/>
      <c r="D25" s="8"/>
      <c r="E25" s="8"/>
      <c r="F25" s="6"/>
      <c r="G25" s="6"/>
      <c r="P25" s="5">
        <v>3</v>
      </c>
      <c r="Q25" s="5" t="e">
        <f>T8</f>
        <v>#DIV/0!</v>
      </c>
      <c r="R25" s="5" t="e">
        <f>IF(Q25&gt;=D4,IF(Q24&gt;=D4,"",1),"")</f>
        <v>#DIV/0!</v>
      </c>
      <c r="U25" s="163" t="e">
        <f>IF(R25=1,1,"")</f>
        <v>#DIV/0!</v>
      </c>
    </row>
    <row r="26" spans="1:21" ht="12.75" customHeight="1" x14ac:dyDescent="0.2">
      <c r="A26" s="7"/>
      <c r="B26" s="8"/>
      <c r="C26" s="8"/>
      <c r="D26" s="8"/>
      <c r="E26" s="8"/>
      <c r="F26" s="6"/>
      <c r="G26" s="6"/>
      <c r="K26" s="5" t="str">
        <f>CONCATENATE(M26,"-",$O$7)</f>
        <v>1500-0</v>
      </c>
      <c r="L26" s="6" t="e">
        <f>SUM(S23:S35)</f>
        <v>#DIV/0!</v>
      </c>
      <c r="M26" s="5">
        <v>1500</v>
      </c>
      <c r="O26" s="5" t="s">
        <v>563</v>
      </c>
      <c r="P26" s="162" t="s">
        <v>564</v>
      </c>
      <c r="Q26" s="5" t="e">
        <f>R8+S8</f>
        <v>#DIV/0!</v>
      </c>
      <c r="R26" s="5" t="e">
        <f>IF(Q26&gt;=D4,IF(SUM(R23:R25)&gt;0,"",1),"")</f>
        <v>#DIV/0!</v>
      </c>
      <c r="S26" s="163" t="e">
        <f>IF(R26=1,1,"")</f>
        <v>#DIV/0!</v>
      </c>
      <c r="T26" s="163" t="e">
        <f>IF(R26=1,1,"")</f>
        <v>#DIV/0!</v>
      </c>
    </row>
    <row r="27" spans="1:21" ht="12.75" customHeight="1" x14ac:dyDescent="0.2">
      <c r="A27" s="7"/>
      <c r="B27" s="8"/>
      <c r="D27" s="8"/>
      <c r="E27" s="8"/>
      <c r="F27" s="8"/>
      <c r="G27" s="130" t="str">
        <f>+System10!G25</f>
        <v>partnerská zľava:</v>
      </c>
      <c r="K27" s="5" t="str">
        <f>CONCATENATE(M27,"-",$O$7)</f>
        <v>2000-0</v>
      </c>
      <c r="L27" s="6" t="e">
        <f>SUM(T23:T35)</f>
        <v>#DIV/0!</v>
      </c>
      <c r="M27" s="5">
        <v>2000</v>
      </c>
      <c r="P27" s="5" t="s">
        <v>576</v>
      </c>
      <c r="Q27" s="5" t="e">
        <f>S8+S8</f>
        <v>#DIV/0!</v>
      </c>
      <c r="R27" s="5" t="e">
        <f>IF(Q27&gt;=D4,IF(SUM(R23:R26)&gt;0,"",1),"")</f>
        <v>#DIV/0!</v>
      </c>
      <c r="T27" s="163" t="e">
        <f>IF(R27=1,2,"")</f>
        <v>#DIV/0!</v>
      </c>
    </row>
    <row r="28" spans="1:21" ht="12.75" customHeight="1" x14ac:dyDescent="0.2">
      <c r="A28" s="14" t="str">
        <f>+System10!A26</f>
        <v>Objednávacie kódy, ceny: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3000-0</v>
      </c>
      <c r="L28" s="6" t="e">
        <f>SUM(U23:U35)</f>
        <v>#DIV/0!</v>
      </c>
      <c r="M28" s="5">
        <v>3000</v>
      </c>
      <c r="N28" s="160"/>
      <c r="P28" s="5" t="s">
        <v>565</v>
      </c>
      <c r="Q28" s="5" t="e">
        <f>R8+T8</f>
        <v>#DIV/0!</v>
      </c>
      <c r="R28" s="5" t="e">
        <f>IF(Q28&gt;=D4,IF(SUM(R23:R27)&gt;0,"",1),"")</f>
        <v>#DIV/0!</v>
      </c>
      <c r="S28" s="163" t="e">
        <f>IF(R28=1,1,"")</f>
        <v>#DIV/0!</v>
      </c>
      <c r="U28" s="163" t="e">
        <f>IF(R28=1,1,"")</f>
        <v>#DIV/0!</v>
      </c>
    </row>
    <row r="29" spans="1:21" ht="12.75" customHeight="1" x14ac:dyDescent="0.2">
      <c r="A29" s="7"/>
      <c r="B29" s="19" t="str">
        <f>+System10!B27</f>
        <v>kód</v>
      </c>
      <c r="C29" s="18" t="str">
        <f>+System10!C27</f>
        <v>názov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celkom</v>
      </c>
      <c r="G29" s="20" t="str">
        <f>+System10!G27</f>
        <v>celkom netto:</v>
      </c>
      <c r="I29" s="18" t="str">
        <f>texty!A29</f>
        <v>Poznámka:</v>
      </c>
      <c r="J29" s="18"/>
      <c r="K29" s="6"/>
      <c r="L29" s="5">
        <f>COUNT(L26,L27,L28)</f>
        <v>0</v>
      </c>
      <c r="M29" s="160"/>
      <c r="N29" s="160"/>
      <c r="P29" s="5" t="s">
        <v>566</v>
      </c>
      <c r="Q29" s="5" t="e">
        <f>S8+T8</f>
        <v>#DIV/0!</v>
      </c>
      <c r="R29" s="5" t="e">
        <f>IF(Q29&gt;=D4,IF(SUM(R23:R28)&gt;0,"",1),"")</f>
        <v>#DIV/0!</v>
      </c>
      <c r="T29" s="163" t="e">
        <f>IF(R29=1,1,"")</f>
        <v>#DIV/0!</v>
      </c>
      <c r="U29" s="163" t="e">
        <f>IF(R29=1,1,"")</f>
        <v>#DIV/0!</v>
      </c>
    </row>
    <row r="30" spans="1:21" ht="12.75" customHeight="1" x14ac:dyDescent="0.2">
      <c r="A30" s="7" t="str">
        <f>+System10!A28</f>
        <v>Horný profil:</v>
      </c>
      <c r="B30" s="16" t="e">
        <f>+VLOOKUP(N5,data!$C$261:$D$278,2,0)</f>
        <v>#N/A</v>
      </c>
      <c r="C30" s="25" t="e">
        <f>+VLOOKUP(B30,cennik!$A:$G,2,FALSE)</f>
        <v>#N/A</v>
      </c>
      <c r="D30" s="17">
        <v>1</v>
      </c>
      <c r="E30" s="91" t="e">
        <f>+VLOOKUP(B30,cennik!$A:$G,3,FALSE)</f>
        <v>#N/A</v>
      </c>
      <c r="F30" s="91" t="e">
        <f>+E30*D30</f>
        <v>#N/A</v>
      </c>
      <c r="G30" s="92" t="e">
        <f>+F30*(100-$G$28)/100</f>
        <v>#N/A</v>
      </c>
      <c r="H30" s="6" t="str">
        <f>cennik!$B$2</f>
        <v>EUR</v>
      </c>
      <c r="I30" s="469" t="str">
        <f>IFERROR(IF((VLOOKUP(B30,cennik!A:L,12,0))="O",texty!$A$250,""),"")</f>
        <v/>
      </c>
      <c r="J30" s="191" t="e">
        <f>IF(D30&gt;0,IF(VLOOKUP(B30,cennik!A:L,12,FALSE)="O",1,""),"")</f>
        <v>#N/A</v>
      </c>
      <c r="K30" s="6"/>
      <c r="L30" s="160"/>
      <c r="M30" s="160"/>
      <c r="N30" s="160"/>
      <c r="P30" s="5" t="s">
        <v>577</v>
      </c>
      <c r="Q30" s="5" t="e">
        <f>T8+T8</f>
        <v>#DIV/0!</v>
      </c>
      <c r="R30" s="5" t="e">
        <f>IF(Q30&gt;=D4,IF(SUM(R23:R29)&gt;0,"",1),"")</f>
        <v>#DIV/0!</v>
      </c>
      <c r="U30" s="163" t="e">
        <f>IF(R30=1,2,"")</f>
        <v>#DIV/0!</v>
      </c>
    </row>
    <row r="31" spans="1:21" ht="12.75" customHeight="1" x14ac:dyDescent="0.2">
      <c r="A31" s="7" t="str">
        <f>+System10!A29</f>
        <v>spodný profil:</v>
      </c>
      <c r="B31" s="16" t="e">
        <f>+VLOOKUP(N5,data!$C$281:$D$298,2,0)</f>
        <v>#N/A</v>
      </c>
      <c r="C31" s="25" t="e">
        <f>+VLOOKUP(B31,cennik!$A:$G,2,FALSE)</f>
        <v>#N/A</v>
      </c>
      <c r="D31" s="17">
        <v>1</v>
      </c>
      <c r="E31" s="91" t="e">
        <f>+VLOOKUP(B31,cennik!$A:$G,3,FALSE)</f>
        <v>#N/A</v>
      </c>
      <c r="F31" s="91" t="e">
        <f>+E31*D31</f>
        <v>#N/A</v>
      </c>
      <c r="G31" s="92" t="e">
        <f>+F31*(100-$G$28)/100</f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e">
        <f>IF(D31&gt;0,IF(VLOOKUP(B31,cennik!A:L,12,FALSE)="O",1,""),"")</f>
        <v>#N/A</v>
      </c>
      <c r="K31" s="6" t="s">
        <v>567</v>
      </c>
      <c r="L31" s="5" t="e">
        <f>IF(L26=0,IF(L27=0,K28,K27),K26)</f>
        <v>#DIV/0!</v>
      </c>
      <c r="M31" s="160" t="e">
        <f>IF(L31=K26,L26,IF(L31=K27,L27,IF(L31=K28,L28,"chyba")))</f>
        <v>#DIV/0!</v>
      </c>
      <c r="N31" s="160"/>
      <c r="O31" s="160"/>
      <c r="P31" s="5" t="s">
        <v>578</v>
      </c>
      <c r="Q31" s="5" t="e">
        <f>R8+R8+R8</f>
        <v>#DIV/0!</v>
      </c>
      <c r="R31" s="5" t="e">
        <f>IF(Q31&gt;=D4,IF(SUM(R23:R30)&gt;0,"",1),"")</f>
        <v>#DIV/0!</v>
      </c>
      <c r="S31" s="163" t="e">
        <f>IF(R31=1,3,"")</f>
        <v>#DIV/0!</v>
      </c>
    </row>
    <row r="32" spans="1:21" ht="12.75" customHeight="1" x14ac:dyDescent="0.2">
      <c r="A32" s="7" t="str">
        <f>texty!$A$210</f>
        <v>záslepko spodného vedenia</v>
      </c>
      <c r="B32" s="16">
        <v>216362</v>
      </c>
      <c r="C32" s="25" t="str">
        <f>+VLOOKUP(B32,cennik!$A:$G,2,FALSE)</f>
        <v>SEVROLL 20233 záslepka spodného vedenia Simple/Blue priesvitná, guma</v>
      </c>
      <c r="D32" s="17">
        <f>CEILING(C4/1000,1)</f>
        <v>0</v>
      </c>
      <c r="E32" s="91">
        <f>+VLOOKUP(B32,cennik!$A:$G,3,FALSE)</f>
        <v>1.0063200000000001</v>
      </c>
      <c r="F32" s="91">
        <f>+E32*D32</f>
        <v>0</v>
      </c>
      <c r="G32" s="92">
        <f>+F32*(100-$G$28)/100</f>
        <v>0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">
      <c r="A33" s="7" t="str">
        <f>+System10!A31</f>
        <v>horné vozíky (sady)</v>
      </c>
      <c r="B33" s="16">
        <v>349942</v>
      </c>
      <c r="C33" s="25" t="str">
        <f>+VLOOKUP(B33,cennik!$A:$G,2,FALSE)</f>
        <v>SEVROLL 10239 horný vozík Blue 10mm asymetrický L+P</v>
      </c>
      <c r="D33" s="17">
        <f>+D4</f>
        <v>0</v>
      </c>
      <c r="E33" s="91">
        <f>+VLOOKUP(B33,cennik!$A:$G,3,FALSE)</f>
        <v>3.6124200000000002</v>
      </c>
      <c r="F33" s="91">
        <f>+E33*D33</f>
        <v>0</v>
      </c>
      <c r="G33" s="92">
        <f>+F33*(100-$G$28)/100</f>
        <v>0</v>
      </c>
      <c r="H33" s="6" t="str">
        <f>cennik!$B$2</f>
        <v>EUR</v>
      </c>
      <c r="I33" s="469" t="str">
        <f>IFERROR(IF((VLOOKUP(B33,cennik!A:L,12,0))="O",texty!$A$250,""),"")</f>
        <v/>
      </c>
      <c r="J33" s="191" t="str">
        <f>IF(D33&gt;0,IF(VLOOKUP(B33,cennik!A:L,12,FALSE)="O",1,""),"")</f>
        <v/>
      </c>
      <c r="K33" s="6" t="s">
        <v>568</v>
      </c>
      <c r="L33" s="5" t="e">
        <f>IF(L31=K28,"jiné",IF(L31=K26,IF(L27&lt;&gt;0,K27,IF(L28&lt;&gt;0,K28,"jiné")),IF(L28&lt;&gt;0,K28,"jiné")))</f>
        <v>#DIV/0!</v>
      </c>
      <c r="M33" s="160" t="e">
        <f>IF(L33=K27,L27,IF(L33=K28,L28,IF(L33=K29,L29,0)))</f>
        <v>#DIV/0!</v>
      </c>
      <c r="N33" s="160"/>
      <c r="O33" s="160"/>
      <c r="P33" s="5" t="s">
        <v>569</v>
      </c>
      <c r="Q33" s="5" t="e">
        <f>R8+2*S8</f>
        <v>#DIV/0!</v>
      </c>
      <c r="R33" s="5" t="e">
        <f>IF(Q33&gt;=D4,IF(SUM(R23:R31)&gt;0,"",1),"")</f>
        <v>#DIV/0!</v>
      </c>
      <c r="S33" s="163" t="e">
        <f>IF(R33=1,1,"")</f>
        <v>#DIV/0!</v>
      </c>
      <c r="T33" s="163" t="e">
        <f>IF(R33=1,2,"")</f>
        <v>#DIV/0!</v>
      </c>
    </row>
    <row r="34" spans="1:21" ht="12.75" customHeight="1" x14ac:dyDescent="0.2">
      <c r="A34" s="7" t="str">
        <f>+System10!A32</f>
        <v>spodné vozíky (sada)</v>
      </c>
      <c r="B34" s="16">
        <v>229446</v>
      </c>
      <c r="C34" s="25" t="str">
        <f>+VLOOKUP(B34,cennik!$A:$G,2,FALSE)</f>
        <v>SEVROLL 10223 spodný vozík Simple/Blue V (rámový systém) - 2ks</v>
      </c>
      <c r="D34" s="17">
        <f>+D4</f>
        <v>0</v>
      </c>
      <c r="E34" s="91">
        <f>+VLOOKUP(B34,cennik!$A:$G,3,FALSE)</f>
        <v>2.70932</v>
      </c>
      <c r="F34" s="91">
        <f>+E34*D34</f>
        <v>0</v>
      </c>
      <c r="G34" s="92">
        <f>+F34*(100-$G$28)/100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  <c r="L34" s="160"/>
      <c r="M34" s="160"/>
      <c r="N34" s="160"/>
      <c r="O34" s="160"/>
      <c r="P34" s="5" t="s">
        <v>579</v>
      </c>
      <c r="Q34" s="5" t="e">
        <f>S8+S8+S8</f>
        <v>#DIV/0!</v>
      </c>
      <c r="R34" s="5" t="e">
        <f>IF(Q34&gt;=D4,IF(SUM(R23:R33)&gt;0,"",1),"")</f>
        <v>#DIV/0!</v>
      </c>
      <c r="T34" s="163" t="e">
        <f>IF(R34=1,3,"")</f>
        <v>#DIV/0!</v>
      </c>
    </row>
    <row r="35" spans="1:21" ht="12.75" customHeight="1" x14ac:dyDescent="0.2">
      <c r="A35" s="7" t="str">
        <f>+System10!A33</f>
        <v>dorazový kartáč</v>
      </c>
      <c r="B35" s="16">
        <v>98067</v>
      </c>
      <c r="C35" s="25" t="str">
        <f>+VLOOKUP(B35,cennik!$A:$G,2,FALSE)</f>
        <v>SEVROLL dorazová kefa zásuvná 14x4mm sivá</v>
      </c>
      <c r="D35" s="17">
        <f>CEILING((B4*D4*2/1000),1)</f>
        <v>0</v>
      </c>
      <c r="E35" s="91">
        <f>+VLOOKUP(B35,cennik!$A:$G,3,FALSE)</f>
        <v>0.19361999999999999</v>
      </c>
      <c r="F35" s="91">
        <f t="shared" ref="F35:F41" si="1">+E35*D35</f>
        <v>0</v>
      </c>
      <c r="G35" s="92">
        <f t="shared" ref="G35:G41" si="2">+F35*(100-$G$28)/100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</v>
      </c>
      <c r="L35" s="160"/>
      <c r="M35" s="160"/>
      <c r="N35" s="160"/>
      <c r="O35" s="160"/>
      <c r="P35" s="5" t="s">
        <v>570</v>
      </c>
      <c r="Q35" s="5" t="e">
        <f>R8+2*T8</f>
        <v>#DIV/0!</v>
      </c>
      <c r="R35" s="5" t="e">
        <f>IF(Q35&gt;=D4,IF(SUM(R23:R34)&gt;0,"",1),"")</f>
        <v>#DIV/0!</v>
      </c>
      <c r="S35" s="163" t="e">
        <f>IF(R35=1,1,"")</f>
        <v>#DIV/0!</v>
      </c>
      <c r="U35" s="163" t="e">
        <f>IF(R35=1,2,"")</f>
        <v>#DIV/0!</v>
      </c>
    </row>
    <row r="36" spans="1:21" ht="12.75" customHeight="1" x14ac:dyDescent="0.2">
      <c r="A36" s="7" t="str">
        <f>+System10!A34</f>
        <v>úchytková lišta</v>
      </c>
      <c r="B36" s="16" t="e">
        <f>+VLOOKUP(O7,data!$C$516:$D$517,2,0)</f>
        <v>#N/A</v>
      </c>
      <c r="C36" s="25" t="e">
        <f>+VLOOKUP(B36,cennik!$A:$G,2,FALSE)</f>
        <v>#N/A</v>
      </c>
      <c r="D36" s="17">
        <f>IF(B12&lt;=1347,D4*2/2,D4*2)</f>
        <v>0</v>
      </c>
      <c r="E36" s="91" t="e">
        <f>+VLOOKUP(B36,cennik!$A:$G,3,FALSE)</f>
        <v>#N/A</v>
      </c>
      <c r="F36" s="91" t="e">
        <f t="shared" si="1"/>
        <v>#N/A</v>
      </c>
      <c r="G36" s="92" t="e">
        <f t="shared" si="2"/>
        <v>#N/A</v>
      </c>
      <c r="H36" s="6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687</v>
      </c>
    </row>
    <row r="37" spans="1:21" ht="12.75" customHeight="1" x14ac:dyDescent="0.2">
      <c r="A37" s="7" t="str">
        <f>+System10!A35</f>
        <v>spojovacia skrutka</v>
      </c>
      <c r="B37" s="6">
        <v>89244</v>
      </c>
      <c r="C37" s="25" t="str">
        <f>+VLOOKUP(B37,cennik!$A:$G,2,FALSE)</f>
        <v>SEVROLL 20001 skrutkovrut 6,3x32 SEVROLL a Simple</v>
      </c>
      <c r="D37" s="17">
        <f>+D4*4</f>
        <v>0</v>
      </c>
      <c r="E37" s="91">
        <f>+VLOOKUP(B37,cennik!$A:$G,3,FALSE)</f>
        <v>0.15482000000000001</v>
      </c>
      <c r="F37" s="91">
        <f t="shared" si="1"/>
        <v>0</v>
      </c>
      <c r="G37" s="92">
        <f t="shared" si="2"/>
        <v>0</v>
      </c>
      <c r="H37" s="6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K37" s="157" t="e">
        <f>(C10*D4)+(D4-1)*5</f>
        <v>#DIV/0!</v>
      </c>
    </row>
    <row r="38" spans="1:21" ht="12.75" customHeight="1" x14ac:dyDescent="0.2">
      <c r="A38" s="7" t="str">
        <f>+System10!$A$36</f>
        <v>horný profil rámu (vodiaca lišta)</v>
      </c>
      <c r="B38" s="16" t="e">
        <f>+VLOOKUP(L31,data!C348:D353,2,0)</f>
        <v>#DIV/0!</v>
      </c>
      <c r="C38" s="25" t="e">
        <f>+VLOOKUP(B38,cennik!$A$3:$G$701,2,FALSE)</f>
        <v>#DIV/0!</v>
      </c>
      <c r="D38" s="64" t="e">
        <f>M31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6" t="str">
        <f>cennik!$B$2</f>
        <v>EUR</v>
      </c>
      <c r="I38" s="469" t="str">
        <f>IFERROR(IF((VLOOKUP(B38,cennik!A:L,12,0))="O",texty!$A$250,""),"")</f>
        <v/>
      </c>
      <c r="J38" s="191" t="e">
        <f>IF(D38&gt;0,IF(VLOOKUP(B38,cennik!A:L,12,FALSE)="O",1,""),"")</f>
        <v>#DIV/0!</v>
      </c>
      <c r="K38" s="3"/>
    </row>
    <row r="39" spans="1:21" ht="12.75" customHeight="1" x14ac:dyDescent="0.2">
      <c r="A39" s="7" t="str">
        <f>+System10!$A$36</f>
        <v>horný profil rámu (vodiaca lišta)</v>
      </c>
      <c r="B39" s="6" t="e">
        <f>IF(L33&lt;&gt;"jiné",+VLOOKUP(L33,data!C348:D353,2,0),"")</f>
        <v>#DIV/0!</v>
      </c>
      <c r="C39" s="38" t="e">
        <f>IF(L33&lt;&gt;"jiné",+VLOOKUP(B39,cennik!$A$3:$G$701,2,FALSE),texty!$A$2)</f>
        <v>#DIV/0!</v>
      </c>
      <c r="D39" s="64" t="e">
        <f>M33</f>
        <v>#DIV/0!</v>
      </c>
      <c r="E39" s="93" t="e">
        <f>IF(L33&lt;&gt;"jiné",+VLOOKUP(B39,cennik!$A:$G,3,FALSE),0)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6" t="str">
        <f>cennik!$B$2</f>
        <v>EUR</v>
      </c>
      <c r="I39" s="469" t="str">
        <f>IFERROR(IF((VLOOKUP(B39,cennik!A:L,12,0))="O",texty!$A$250,""),"")</f>
        <v/>
      </c>
      <c r="J39" s="191" t="e">
        <f>IF(D39&gt;0,IF(VLOOKUP(B39,cennik!A:L,12,FALSE)="O",1,""),"")</f>
        <v>#DIV/0!</v>
      </c>
      <c r="K39" s="3"/>
    </row>
    <row r="40" spans="1:21" ht="12.75" customHeight="1" x14ac:dyDescent="0.2">
      <c r="A40" s="7" t="str">
        <f>+System10!A38</f>
        <v>horizontálny spodný profil rámu</v>
      </c>
      <c r="B40" s="16" t="e">
        <f>+VLOOKUP(L31,data!$C$437:$D$442,2,0)</f>
        <v>#DIV/0!</v>
      </c>
      <c r="C40" s="25" t="e">
        <f>+VLOOKUP(B40,cennik!$A$3:$G$701,2,FALSE)</f>
        <v>#DIV/0!</v>
      </c>
      <c r="D40" s="64" t="e">
        <f>M31</f>
        <v>#DIV/0!</v>
      </c>
      <c r="E40" s="91" t="e">
        <f>+VLOOKUP(B40,cennik!$A:$G,3,FALSE)</f>
        <v>#DIV/0!</v>
      </c>
      <c r="F40" s="91" t="e">
        <f t="shared" si="1"/>
        <v>#DIV/0!</v>
      </c>
      <c r="G40" s="92" t="e">
        <f t="shared" si="2"/>
        <v>#DIV/0!</v>
      </c>
      <c r="H40" s="6" t="str">
        <f>cennik!$B$2</f>
        <v>EUR</v>
      </c>
      <c r="I40" s="469" t="str">
        <f>IFERROR(IF((VLOOKUP(B40,cennik!A:L,12,0))="O",texty!$A$250,""),"")</f>
        <v/>
      </c>
      <c r="J40" s="191" t="e">
        <f>IF(D40&gt;0,IF(VLOOKUP(B40,cennik!A:L,12,FALSE)="O",1,""),"")</f>
        <v>#DIV/0!</v>
      </c>
      <c r="K40" s="3" t="str">
        <f>+System10!L24</f>
        <v>1700-0</v>
      </c>
    </row>
    <row r="41" spans="1:21" ht="12.75" customHeight="1" x14ac:dyDescent="0.2">
      <c r="A41" s="7" t="str">
        <f>+System10!A39</f>
        <v>horizontálny spodný profil rámu</v>
      </c>
      <c r="B41" s="6" t="e">
        <f>IF(L33&lt;&gt;"jiné",+VLOOKUP(L33,data!$C$437:$D$442,2,0),"")</f>
        <v>#DIV/0!</v>
      </c>
      <c r="C41" s="25" t="e">
        <f>IF(L33&lt;&gt;"jiné",+VLOOKUP(B41,cennik!$A$3:$G$701,2,FALSE),texty!A2)</f>
        <v>#DIV/0!</v>
      </c>
      <c r="D41" s="64" t="e">
        <f>M33</f>
        <v>#DIV/0!</v>
      </c>
      <c r="E41" s="93" t="e">
        <f>IF(L33&lt;&gt;"jiné",+VLOOKUP(B39,cennik!$A:$G,3,FALSE),0)</f>
        <v>#DIV/0!</v>
      </c>
      <c r="F41" s="91" t="e">
        <f t="shared" si="1"/>
        <v>#DIV/0!</v>
      </c>
      <c r="G41" s="92" t="e">
        <f t="shared" si="2"/>
        <v>#DIV/0!</v>
      </c>
      <c r="H41" s="6" t="str">
        <f>cennik!$B$2</f>
        <v>EUR</v>
      </c>
      <c r="I41" s="469" t="str">
        <f>IFERROR(IF((VLOOKUP(B41,cennik!A:L,12,0))="O",texty!$A$250,""),"")</f>
        <v/>
      </c>
      <c r="J41" s="191" t="e">
        <f>IF(D41&gt;0,IF(VLOOKUP(B41,cennik!A:L,12,FALSE)="O",1,""),"")</f>
        <v>#DIV/0!</v>
      </c>
      <c r="K41" s="3"/>
    </row>
    <row r="42" spans="1:21" ht="12.75" customHeight="1" x14ac:dyDescent="0.2">
      <c r="A42" s="7"/>
      <c r="B42" s="6"/>
      <c r="C42" s="25"/>
      <c r="D42" s="64"/>
      <c r="E42" s="93"/>
      <c r="F42" s="91"/>
      <c r="G42" s="92"/>
      <c r="I42" s="469" t="str">
        <f>IFERROR(IF((VLOOKUP(B42,cennik!A:L,12,0))="O",texty!$A$250,""),"")</f>
        <v/>
      </c>
      <c r="J42" s="191"/>
      <c r="K42" s="3"/>
    </row>
    <row r="43" spans="1:21" ht="12.75" customHeight="1" x14ac:dyDescent="0.2">
      <c r="A43" s="14" t="str">
        <f>texty!$A$66</f>
        <v>Voliteľné príslušenstvo:</v>
      </c>
      <c r="B43" s="15"/>
      <c r="D43" s="26" t="str">
        <f>System10!$D$41</f>
        <v>zadajte počet:</v>
      </c>
      <c r="E43" s="95"/>
      <c r="F43" s="95"/>
      <c r="G43" s="94"/>
      <c r="I43" s="469" t="str">
        <f>IFERROR(IF((VLOOKUP(B43,cennik!A:L,12,0))="O",texty!$A$250,""),"")</f>
        <v/>
      </c>
      <c r="J43" s="191"/>
      <c r="K43" s="3"/>
    </row>
    <row r="44" spans="1:21" ht="12.75" customHeight="1" x14ac:dyDescent="0.2">
      <c r="A44" s="7" t="str">
        <f>texty!$A$88</f>
        <v>pozicionér do horného vedenia</v>
      </c>
      <c r="B44" s="15">
        <v>298035</v>
      </c>
      <c r="C44" s="25" t="str">
        <f>+VLOOKUP(B44,cennik!$A:$G,2,FALSE)</f>
        <v>SEVROLL 20326 Fix pozicionér pre horný vozík transparentný</v>
      </c>
      <c r="D44" s="29"/>
      <c r="E44" s="91">
        <f>+VLOOKUP(B44,cennik!$A:$G,3,FALSE)</f>
        <v>1.0837300000000001</v>
      </c>
      <c r="F44" s="96">
        <f>+CEILING(D44,1)*E44</f>
        <v>0</v>
      </c>
      <c r="G44" s="92">
        <f>+F44*(100-$G$28)/100</f>
        <v>0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">
      <c r="A45" s="7" t="str">
        <f>+System10!$A$43</f>
        <v xml:space="preserve">pozicionér </v>
      </c>
      <c r="B45" s="200">
        <v>229681</v>
      </c>
      <c r="C45" s="25" t="str">
        <f>+VLOOKUP(B45,cennik!$A:$G,2,FALSE)</f>
        <v>SEVROLL 10163 Simple/Blue pozicionér pre spodný vozík</v>
      </c>
      <c r="D45" s="29"/>
      <c r="E45" s="91">
        <f>+VLOOKUP(B45,cennik!$A:$G,3,FALSE)</f>
        <v>0.36124000000000001</v>
      </c>
      <c r="F45" s="96">
        <f>+CEILING(D45,1)*E45</f>
        <v>0</v>
      </c>
      <c r="G45" s="92">
        <f>+F45*(100-$G$28)/100</f>
        <v>0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">
      <c r="A46" s="7" t="str">
        <f>texty!$A$179</f>
        <v>skrutka k spodnémi vedeniu</v>
      </c>
      <c r="B46" s="15">
        <v>98019</v>
      </c>
      <c r="C46" s="25" t="str">
        <f>+VLOOKUP(B46,cennik!$A:$G,2,FALSE)</f>
        <v>SEVROLL 20041 skrutka 2,5x18mm polguľatá hlava zinok biely</v>
      </c>
      <c r="D46" s="29"/>
      <c r="E46" s="91">
        <f>+VLOOKUP(B46,cennik!$A:$G,3,FALSE)</f>
        <v>2.9159999999999998E-2</v>
      </c>
      <c r="F46" s="96">
        <f>+CEILING(D46,1)*E46</f>
        <v>0</v>
      </c>
      <c r="G46" s="92">
        <f>+F46*(100-$G$24)/100</f>
        <v>0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">
      <c r="A47" s="7" t="str">
        <f>texty!$A$203</f>
        <v>spojovací H profil Simple 10</v>
      </c>
      <c r="B47" s="16" t="e">
        <f>+VLOOKUP(K26,data!$C$348:$D$353,2,0)</f>
        <v>#N/A</v>
      </c>
      <c r="C47" s="25" t="e">
        <f>+VLOOKUP(B47,cennik!$A:$G,2,FALSE)</f>
        <v>#N/A</v>
      </c>
      <c r="D47" s="30"/>
      <c r="E47" s="91" t="e">
        <f>+VLOOKUP(B47,cennik!$A:$G,3,FALSE)</f>
        <v>#N/A</v>
      </c>
      <c r="F47" s="91" t="e">
        <f>+E47*D47</f>
        <v>#N/A</v>
      </c>
      <c r="G47" s="92" t="e">
        <f t="shared" ref="G47:G54" si="3">+F47*(100-$G$28)/100</f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">
      <c r="A48" s="7" t="str">
        <f>texty!$A$203</f>
        <v>spojovací H profil Simple 10</v>
      </c>
      <c r="B48" s="16" t="e">
        <f>+VLOOKUP(K27,data!$C$348:$D$353,2,0)</f>
        <v>#N/A</v>
      </c>
      <c r="C48" s="25" t="e">
        <f>+VLOOKUP(B48,cennik!$A:$G,2,FALSE)</f>
        <v>#N/A</v>
      </c>
      <c r="D48" s="30"/>
      <c r="E48" s="91" t="e">
        <f>+VLOOKUP(B48,cennik!$A:$G,3,FALSE)</f>
        <v>#N/A</v>
      </c>
      <c r="F48" s="91" t="e">
        <f>+E48*D48</f>
        <v>#N/A</v>
      </c>
      <c r="G48" s="92" t="e">
        <f t="shared" si="3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">
      <c r="A49" s="7" t="str">
        <f>texty!$A$203</f>
        <v>spojovací H profil Simple 10</v>
      </c>
      <c r="B49" s="16" t="e">
        <f>+VLOOKUP(K28,data!$C$348:$D$353,2,0)</f>
        <v>#N/A</v>
      </c>
      <c r="C49" s="25" t="e">
        <f>+VLOOKUP(B49,cennik!$A:$G,2,FALSE)</f>
        <v>#N/A</v>
      </c>
      <c r="D49" s="30"/>
      <c r="E49" s="91" t="e">
        <f>+VLOOKUP(B49,cennik!$A:$G,3,FALSE)</f>
        <v>#N/A</v>
      </c>
      <c r="F49" s="91" t="e">
        <f>+E49*D49</f>
        <v>#N/A</v>
      </c>
      <c r="G49" s="92" t="e">
        <f t="shared" si="3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">
      <c r="A50" s="422" t="str">
        <f>texty!$A$228</f>
        <v> Tlmič dorazu MINI do 25 kg (pár)</v>
      </c>
      <c r="B50" s="16">
        <v>350024</v>
      </c>
      <c r="C50" s="25" t="str">
        <f>+VLOOKUP(B50,cennik!$A:$G,2,FALSE)</f>
        <v>SEVROLL 20375-BL tlmič dorazu Simple/Blue 10/18 25kg L+P</v>
      </c>
      <c r="D50" s="530"/>
      <c r="E50" s="91">
        <f>+VLOOKUP(B50,cennik!$A:$G,3,FALSE)</f>
        <v>24.48705</v>
      </c>
      <c r="F50" s="96">
        <f>+CEILING(D50,1)*E50</f>
        <v>0</v>
      </c>
      <c r="G50" s="92">
        <f t="shared" si="3"/>
        <v>0</v>
      </c>
      <c r="H50" s="6" t="str">
        <f>cennik!$B$2</f>
        <v>EUR</v>
      </c>
      <c r="I50" s="469" t="str">
        <f>IFERROR(IF((VLOOKUP(B50,cennik!A:L,12,0))="O",texty!$A$250,""),"")</f>
        <v>Na objednávku</v>
      </c>
      <c r="J50" s="191" t="str">
        <f>IF(D50&gt;0,IF(VLOOKUP(B50,cennik!A:L,12,FALSE)="O",1,""),"")</f>
        <v/>
      </c>
      <c r="K50" s="6"/>
    </row>
    <row r="51" spans="1:11" ht="12.75" customHeight="1" x14ac:dyDescent="0.2">
      <c r="A51" s="422" t="str">
        <f>texty!$A$229</f>
        <v> Tlmič dorazu MINI do 40 kg (pár)</v>
      </c>
      <c r="B51" s="24">
        <v>293776</v>
      </c>
      <c r="C51" s="25" t="str">
        <f>+VLOOKUP(B51,cennik!$A:$G,2,FALSE)</f>
        <v>SEVROLL tlmič doraz.Simple 10/18, 25 - 40kg (L+P)</v>
      </c>
      <c r="D51" s="29"/>
      <c r="E51" s="91">
        <f>+VLOOKUP(B51,cennik!$A:$G,3,FALSE)</f>
        <v>24.48705</v>
      </c>
      <c r="F51" s="96">
        <f>+CEILING(D51,1)*E51</f>
        <v>0</v>
      </c>
      <c r="G51" s="92">
        <f t="shared" si="3"/>
        <v>0</v>
      </c>
      <c r="H51" s="6" t="str">
        <f>cennik!$B$2</f>
        <v>EUR</v>
      </c>
      <c r="I51" s="469" t="str">
        <f>IFERROR(IF((VLOOKUP(B51,cennik!A:L,12,0))="O",texty!$A$250,""),"")</f>
        <v>Na objednávku</v>
      </c>
      <c r="J51" s="191" t="str">
        <f>IF(D51&gt;0,IF(VLOOKUP(B51,cennik!A:L,12,FALSE)="O",1,""),"")</f>
        <v/>
      </c>
      <c r="K51" s="6"/>
    </row>
    <row r="52" spans="1:11" ht="12.75" customHeight="1" x14ac:dyDescent="0.2">
      <c r="A52" s="422"/>
      <c r="B52" s="24"/>
      <c r="C52" s="25"/>
      <c r="D52" s="531"/>
      <c r="E52" s="91"/>
      <c r="F52" s="96"/>
      <c r="G52" s="92"/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">
      <c r="A53" s="422"/>
      <c r="B53" s="24"/>
      <c r="C53" s="25"/>
      <c r="D53" s="531"/>
      <c r="E53" s="91"/>
      <c r="F53" s="96"/>
      <c r="G53" s="92"/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">
      <c r="A54" s="7" t="str">
        <f>texty!$A$92</f>
        <v>spojovacia skrutka</v>
      </c>
      <c r="B54" s="16">
        <v>89244</v>
      </c>
      <c r="C54" s="25" t="str">
        <f>+VLOOKUP(B54,cennik!$A:$G,2,FALSE)</f>
        <v>SEVROLL 20001 skrutkovrut 6,3x32 SEVROLL a Simple</v>
      </c>
      <c r="D54" s="30"/>
      <c r="E54" s="91">
        <f>+VLOOKUP(B54,cennik!$A:$G,3,FALSE)</f>
        <v>0.15482000000000001</v>
      </c>
      <c r="F54" s="91">
        <f>+E54*D54</f>
        <v>0</v>
      </c>
      <c r="G54" s="92">
        <f t="shared" si="3"/>
        <v>0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">
      <c r="A55" s="7"/>
      <c r="B55" s="16"/>
      <c r="C55" s="25"/>
      <c r="D55" s="91"/>
      <c r="E55" s="91"/>
      <c r="F55" s="91"/>
      <c r="G55" s="92"/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">
      <c r="A56" s="41" t="e">
        <f>CONCATENATE(texty!$A$6,ROUND((C13/1000),1),texty!$A$8)</f>
        <v>#DIV/0!</v>
      </c>
      <c r="B56" s="42"/>
      <c r="C56" s="43"/>
      <c r="D56" s="44"/>
      <c r="E56" s="97"/>
      <c r="F56" s="97"/>
      <c r="G56" s="98"/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">
      <c r="C57" s="40" t="str">
        <f>texty!$A$10</f>
        <v>Potrebná dĺžka tesnenia pri celkovom presklení (nutné objednať celé metre)</v>
      </c>
      <c r="D57" s="39" t="e">
        <f>CEILING(((B9+C9)*2/1000*D4),1)</f>
        <v>#DIV/0!</v>
      </c>
      <c r="E57" s="94"/>
      <c r="F57" s="94"/>
      <c r="G57" s="94"/>
      <c r="I57" s="469" t="str">
        <f>IFERROR(IF((VLOOKUP(B57,cennik!A:L,12,0))="O",texty!$A$250,""),"")</f>
        <v/>
      </c>
      <c r="J57" s="191"/>
      <c r="K57" s="6"/>
    </row>
    <row r="58" spans="1:11" ht="12.75" customHeight="1" x14ac:dyDescent="0.2">
      <c r="A58" s="48" t="str">
        <f>texty!$A$12</f>
        <v>(pri kombináciach s H profilmi je nutné pripočítať potrebnú dĺžku - tesnenie musí byť po celom odvode každého skla</v>
      </c>
      <c r="B58" s="46"/>
      <c r="C58" s="47"/>
      <c r="D58" s="46"/>
      <c r="E58" s="99"/>
      <c r="F58" s="99"/>
      <c r="G58" s="99"/>
      <c r="I58" s="469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1" ht="12.75" customHeight="1" x14ac:dyDescent="0.2">
      <c r="A59" s="7" t="str">
        <f>System10!A59</f>
        <v>tesnenie na sklo 4mm</v>
      </c>
      <c r="B59" s="17">
        <v>89238</v>
      </c>
      <c r="C59" s="25" t="str">
        <f>+VLOOKUP(B59,cennik!$A:$G,2,FALSE)</f>
        <v>SEVROLL 20031-SV tesnenie na sklo 10/4mm</v>
      </c>
      <c r="D59" s="45"/>
      <c r="E59" s="91">
        <f>+VLOOKUP(B59,cennik!$A:$G,3,FALSE)</f>
        <v>0.79988999999999999</v>
      </c>
      <c r="F59" s="96">
        <f>+CEILING(D59,1)*E59</f>
        <v>0</v>
      </c>
      <c r="G59" s="92">
        <f>+F59*(100-$G$28)/100</f>
        <v>0</v>
      </c>
      <c r="H59" s="6" t="str">
        <f>cennik!$B$2</f>
        <v>EUR</v>
      </c>
      <c r="I59" s="469" t="str">
        <f>IFERROR(IF((VLOOKUP(B59,cennik!A:L,12,0))="O",texty!$A$250,""),"")</f>
        <v/>
      </c>
      <c r="J59" s="191" t="str">
        <f>IF(D59&gt;0,IF(VLOOKUP(B59,cennik!A:L,12,FALSE)="O",1,""),"")</f>
        <v/>
      </c>
      <c r="K59" s="6"/>
    </row>
    <row r="60" spans="1:11" ht="12.75" customHeight="1" x14ac:dyDescent="0.2">
      <c r="A60" s="7" t="str">
        <f>texty!A103</f>
        <v>tesnenie na sklo 4,5 mm</v>
      </c>
      <c r="B60" s="17">
        <v>135164</v>
      </c>
      <c r="C60" s="25" t="str">
        <f>+VLOOKUP(B60,cennik!$A:$G,2,FALSE)</f>
        <v>SEVROLL 20032-SV tesnenie na sklo 10/4,5mm</v>
      </c>
      <c r="D60" s="45"/>
      <c r="E60" s="91">
        <f>+VLOOKUP(B60,cennik!$A:$G,3,FALSE)</f>
        <v>0.79988999999999999</v>
      </c>
      <c r="F60" s="96">
        <f>+CEILING(D60,1)*E60</f>
        <v>0</v>
      </c>
      <c r="G60" s="92">
        <f>+F60*(100-$G$28)/100</f>
        <v>0</v>
      </c>
      <c r="H60" s="6" t="str">
        <f>cennik!$B$2</f>
        <v>EUR</v>
      </c>
      <c r="I60" s="469" t="str">
        <f>IFERROR(IF((VLOOKUP(B60,cennik!A:L,12,0))="O",texty!$A$250,""),"")</f>
        <v/>
      </c>
      <c r="J60" s="191" t="str">
        <f>IF(D60&gt;0,IF(VLOOKUP(B60,cennik!A:L,12,FALSE)="O",1,""),"")</f>
        <v/>
      </c>
      <c r="K60" s="3"/>
    </row>
    <row r="61" spans="1:11" ht="12.75" customHeight="1" x14ac:dyDescent="0.2">
      <c r="A61" s="7" t="str">
        <f>System10!A61</f>
        <v>tesnenie na sklo 6mm</v>
      </c>
      <c r="B61" s="17">
        <v>89243</v>
      </c>
      <c r="C61" s="25" t="str">
        <f>+VLOOKUP(B61,cennik!$A:$G,2,FALSE)</f>
        <v>SEVROLL 20033-SV tesnenie na sklo 10/6mm</v>
      </c>
      <c r="D61" s="45"/>
      <c r="E61" s="91">
        <f>+VLOOKUP(B61,cennik!$A:$G,3,FALSE)</f>
        <v>0.79988999999999999</v>
      </c>
      <c r="F61" s="96">
        <f>+CEILING(D61,1)*E61</f>
        <v>0</v>
      </c>
      <c r="G61" s="92">
        <f>+F61*(100-$G$28)/100</f>
        <v>0</v>
      </c>
      <c r="H61" s="6" t="str">
        <f>cennik!$B$2</f>
        <v>EUR</v>
      </c>
      <c r="I61" s="469" t="str">
        <f>IFERROR(IF((VLOOKUP(B61,cennik!A:L,12,0))="O",texty!$A$250,""),"")</f>
        <v/>
      </c>
      <c r="J61" s="191" t="str">
        <f>IF(D61&gt;0,IF(VLOOKUP(B61,cennik!A:L,12,FALSE)="O",1,""),"")</f>
        <v/>
      </c>
      <c r="K61" s="6"/>
    </row>
    <row r="62" spans="1:11" ht="15" x14ac:dyDescent="0.2">
      <c r="A62" s="271" t="str">
        <f>texty!$A$190</f>
        <v>Ďalšie príslušenstvo</v>
      </c>
      <c r="E62" s="94"/>
      <c r="F62" s="94"/>
      <c r="G62" s="94"/>
      <c r="I62" s="469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2.75" customHeight="1" x14ac:dyDescent="0.2">
      <c r="A63" s="271" t="str">
        <f>texty!$A$244</f>
        <v>Technický nákres tohoto systému</v>
      </c>
      <c r="B63" s="167">
        <v>128842</v>
      </c>
      <c r="C63" s="167" t="str">
        <f>VLOOKUP(B63,cennik!A:C,2,0)</f>
        <v>SEVROLL 20144 vrták stupňovitý 6,5/9,5mm</v>
      </c>
      <c r="D63" s="45"/>
      <c r="E63" s="91">
        <f>+VLOOKUP(B63,cennik!$A:$G,3,FALSE)</f>
        <v>26.752659999999999</v>
      </c>
      <c r="F63" s="96">
        <f>+CEILING(D63,1)*E63</f>
        <v>0</v>
      </c>
      <c r="G63" s="92">
        <f>F63</f>
        <v>0</v>
      </c>
      <c r="H63" s="6" t="str">
        <f>cennik!$B$2</f>
        <v>EUR</v>
      </c>
      <c r="I63" s="469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">
      <c r="E64" s="94"/>
      <c r="F64" s="94"/>
      <c r="G64" s="94"/>
      <c r="I64" s="181"/>
      <c r="J64" s="181"/>
    </row>
    <row r="65" spans="1:13" ht="12.75" customHeight="1" x14ac:dyDescent="0.2">
      <c r="B65" s="8"/>
      <c r="C65" s="8"/>
      <c r="D65" s="76" t="str">
        <f>texty!$A$15</f>
        <v>CELKOM  (bez DPH)</v>
      </c>
      <c r="E65" s="99"/>
      <c r="F65" s="101" t="e">
        <f>SUM(F30:F63)</f>
        <v>#N/A</v>
      </c>
      <c r="G65" s="101" t="e">
        <f>SUM(G30:G63)</f>
        <v>#N/A</v>
      </c>
      <c r="H65" s="6" t="str">
        <f>cennik!$B$2</f>
        <v>EUR</v>
      </c>
      <c r="I65" s="181"/>
      <c r="J65" s="181"/>
      <c r="K65" s="5" t="str">
        <f>texty!A128</f>
        <v xml:space="preserve">strieborná </v>
      </c>
    </row>
    <row r="66" spans="1:13" ht="12.75" customHeight="1" x14ac:dyDescent="0.2">
      <c r="A66" s="75" t="str">
        <f>System10!$A$67</f>
        <v>Vaša poznámka:</v>
      </c>
      <c r="B66" s="656"/>
      <c r="C66" s="657"/>
      <c r="D66" s="657"/>
      <c r="E66" s="657"/>
      <c r="F66" s="657"/>
      <c r="G66" s="657"/>
      <c r="K66" s="5" t="str">
        <f>texty!A130</f>
        <v>oliva</v>
      </c>
    </row>
    <row r="67" spans="1:13" ht="12.75" customHeight="1" x14ac:dyDescent="0.2">
      <c r="A67" s="648">
        <f>profil!$U$15</f>
        <v>0</v>
      </c>
      <c r="B67" s="648"/>
      <c r="C67" s="648"/>
      <c r="D67" s="648"/>
      <c r="E67" s="648"/>
      <c r="F67" s="648"/>
      <c r="G67" s="648"/>
    </row>
    <row r="68" spans="1:13" ht="12.75" customHeight="1" x14ac:dyDescent="0.2">
      <c r="A68" s="650">
        <f>IF(M68=1,texty!$A$215,IF(J68&gt;0,texty!$A$214,""))</f>
        <v>0</v>
      </c>
      <c r="B68" s="650"/>
      <c r="C68" s="650"/>
      <c r="D68" s="650"/>
      <c r="E68" s="650"/>
      <c r="F68" s="650"/>
      <c r="G68" s="650"/>
      <c r="J68" s="6" t="e">
        <f>SUM(J30:J63)</f>
        <v>#N/A</v>
      </c>
      <c r="M68" s="5">
        <f>IF(ISERROR(J68),1,0)</f>
        <v>1</v>
      </c>
    </row>
    <row r="69" spans="1:13" ht="12.75" hidden="1" customHeight="1" x14ac:dyDescent="0.2"/>
    <row r="70" spans="1:13" ht="12.75" hidden="1" customHeight="1" x14ac:dyDescent="0.2"/>
    <row r="71" spans="1:13" ht="12.75" hidden="1" customHeight="1" x14ac:dyDescent="0.2"/>
    <row r="72" spans="1:13" ht="12.75" hidden="1" customHeight="1" x14ac:dyDescent="0.2"/>
    <row r="73" spans="1:13" ht="12.75" hidden="1" customHeight="1" x14ac:dyDescent="0.2"/>
    <row r="74" spans="1:13" ht="12.75" hidden="1" customHeight="1" x14ac:dyDescent="0.2"/>
    <row r="75" spans="1:13" ht="12.75" hidden="1" customHeight="1" x14ac:dyDescent="0.2"/>
    <row r="76" spans="1:13" ht="12.75" hidden="1" customHeight="1" x14ac:dyDescent="0.2"/>
    <row r="77" spans="1:13" ht="12.75" hidden="1" customHeight="1" x14ac:dyDescent="0.2"/>
    <row r="78" spans="1:13" ht="12.75" hidden="1" customHeight="1" x14ac:dyDescent="0.2"/>
    <row r="79" spans="1:13" ht="12.75" hidden="1" customHeight="1" x14ac:dyDescent="0.2"/>
    <row r="80" spans="1:13" ht="12.75" hidden="1" customHeight="1" x14ac:dyDescent="0.2"/>
    <row r="81" spans="1:1" ht="12.75" hidden="1" customHeight="1" x14ac:dyDescent="0.2">
      <c r="A81" s="5">
        <v>3</v>
      </c>
    </row>
    <row r="82" spans="1:1" ht="12.75" customHeight="1" x14ac:dyDescent="0.2"/>
    <row r="83" spans="1:1" ht="12.75" customHeight="1" x14ac:dyDescent="0.2"/>
  </sheetData>
  <sheetProtection algorithmName="SHA-512" hashValue="Gul7a4f72bv/Qe5e38S7F39mB5KkSoeeqs/2bs4qE+aXBxVvxEwEAicunyBLK5UbnDrpmQZN10XDGWUuea2IGg==" saltValue="1NOHmAZJc2pwA0FRB0UeCg==" spinCount="100000" sheet="1" objects="1" scenarios="1" selectLockedCells="1"/>
  <mergeCells count="11">
    <mergeCell ref="A68:G68"/>
    <mergeCell ref="A67:G67"/>
    <mergeCell ref="T6:T7"/>
    <mergeCell ref="B66:G66"/>
    <mergeCell ref="F4:I6"/>
    <mergeCell ref="Q6:Q7"/>
    <mergeCell ref="R6:R7"/>
    <mergeCell ref="S6:S7"/>
    <mergeCell ref="B5:E5"/>
    <mergeCell ref="A14:B15"/>
    <mergeCell ref="A16:B17"/>
  </mergeCells>
  <conditionalFormatting sqref="A14">
    <cfRule type="expression" dxfId="165" priority="43">
      <formula>SUM($D$50:$D$51)&gt;0</formula>
    </cfRule>
  </conditionalFormatting>
  <conditionalFormatting sqref="A16">
    <cfRule type="expression" dxfId="164" priority="3">
      <formula>SUM($D$52:$D$53)&gt;0</formula>
    </cfRule>
  </conditionalFormatting>
  <conditionalFormatting sqref="D6">
    <cfRule type="expression" dxfId="162" priority="6">
      <formula>$D$4=4</formula>
    </cfRule>
    <cfRule type="expression" dxfId="161" priority="7">
      <formula>$D$4&lt;&gt;4</formula>
    </cfRule>
  </conditionalFormatting>
  <conditionalFormatting sqref="D54">
    <cfRule type="expression" dxfId="160" priority="8" stopIfTrue="1">
      <formula>IF(#REF!&gt;0,IF($D$54=0,1,0),0)</formula>
    </cfRule>
  </conditionalFormatting>
  <conditionalFormatting sqref="F4:I6">
    <cfRule type="expression" dxfId="159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$K$65:$K$66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2" location="'Blue 10 mm'!A56" display="'Blue 10 mm'!A56" xr:uid="{00000000-0004-0000-0F00-000001000000}"/>
    <hyperlink ref="A63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A30:I63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9.42578125" style="5" customWidth="1"/>
    <col min="2" max="2" width="15.7109375" style="5" customWidth="1"/>
    <col min="3" max="3" width="63.7109375" style="5" bestFit="1" customWidth="1"/>
    <col min="4" max="4" width="13.7109375" style="5" customWidth="1"/>
    <col min="5" max="5" width="13.42578125" style="5" customWidth="1"/>
    <col min="6" max="6" width="13.140625" style="5" customWidth="1"/>
    <col min="7" max="7" width="15.140625" style="5" bestFit="1" customWidth="1"/>
    <col min="8" max="8" width="4.7109375" style="6" customWidth="1"/>
    <col min="9" max="9" width="28.42578125" style="6" customWidth="1"/>
    <col min="10" max="10" width="11.28515625" style="6" hidden="1" customWidth="1"/>
    <col min="11" max="11" width="9.140625" style="5" hidden="1" customWidth="1"/>
    <col min="12" max="12" width="8.140625" style="5" hidden="1" customWidth="1"/>
    <col min="13" max="13" width="11.42578125" style="5" hidden="1" customWidth="1"/>
    <col min="14" max="14" width="7.140625" style="5" hidden="1" customWidth="1"/>
    <col min="15" max="15" width="8.7109375" style="5" hidden="1" customWidth="1"/>
    <col min="16" max="16" width="7.140625" style="5" hidden="1" customWidth="1"/>
    <col min="17" max="21" width="0" style="5" hidden="1" customWidth="1"/>
    <col min="22" max="16384" width="9.140625" style="5" hidden="1"/>
  </cols>
  <sheetData>
    <row r="1" spans="1:21" ht="13.5" customHeight="1" thickBot="1" x14ac:dyDescent="0.25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 x14ac:dyDescent="0.2">
      <c r="A2" s="523" t="s">
        <v>1007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6.25" thickBot="1" x14ac:dyDescent="0.25">
      <c r="A3" s="524" t="str">
        <f>CONCATENATE(texty!A243," ",5,".",61)</f>
        <v>katalóg kovania 2018 str. 5.61</v>
      </c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18" customHeight="1" x14ac:dyDescent="0.2">
      <c r="A4" s="10" t="str">
        <f>+System10!A4</f>
        <v>VNÚTORNÝ ROZMER SKRINE:</v>
      </c>
      <c r="B4" s="56"/>
      <c r="C4" s="56"/>
      <c r="D4" s="22"/>
      <c r="E4" s="22"/>
      <c r="F4" s="655"/>
      <c r="G4" s="655"/>
      <c r="H4" s="655"/>
      <c r="I4" s="655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">
      <c r="A5" s="476"/>
      <c r="B5" s="633" t="str">
        <f>texty!A46</f>
        <v>vypíšte tieto 4 políčka !!! Údaje v mm</v>
      </c>
      <c r="C5" s="633"/>
      <c r="D5" s="633"/>
      <c r="E5" s="633"/>
      <c r="F5" s="655"/>
      <c r="G5" s="655"/>
      <c r="H5" s="655"/>
      <c r="I5" s="655"/>
      <c r="J5" s="190"/>
      <c r="K5" s="3"/>
      <c r="N5" s="5" t="str">
        <f>CONCATENATE(N4,"-",E4)</f>
        <v>1500-</v>
      </c>
    </row>
    <row r="6" spans="1:21" ht="18" customHeight="1" x14ac:dyDescent="0.2">
      <c r="A6" s="10"/>
      <c r="B6" s="11" t="str">
        <f>IF(D4=4,texty!A227,"")</f>
        <v/>
      </c>
      <c r="D6" s="285">
        <v>3</v>
      </c>
      <c r="E6" s="8"/>
      <c r="F6" s="655"/>
      <c r="G6" s="655"/>
      <c r="H6" s="655"/>
      <c r="I6" s="655"/>
      <c r="J6" s="190"/>
      <c r="K6" s="6"/>
      <c r="Q6" s="636" t="s">
        <v>557</v>
      </c>
      <c r="R6" s="636" t="s">
        <v>715</v>
      </c>
      <c r="S6" s="636" t="s">
        <v>716</v>
      </c>
      <c r="T6" s="636" t="s">
        <v>560</v>
      </c>
    </row>
    <row r="7" spans="1:21" ht="12.75" customHeight="1" x14ac:dyDescent="0.2">
      <c r="A7" s="10" t="str">
        <f>+System10!$A$7</f>
        <v>krídlo dverí:</v>
      </c>
      <c r="B7" s="57">
        <f>+B4-35</f>
        <v>-35</v>
      </c>
      <c r="C7" s="59" t="e">
        <f>+((C4-3+18*(D4-1))/D4+IF(AND(D4=4,D6=2),L1,0))</f>
        <v>#DIV/0!</v>
      </c>
      <c r="D7" s="8"/>
      <c r="E7" s="8"/>
      <c r="F7" s="50" t="str">
        <f>texty!$A$39</f>
        <v>V prípade použitia skla ako výplne</v>
      </c>
      <c r="G7" s="6"/>
      <c r="K7" s="6"/>
      <c r="N7" s="17" t="e">
        <f>IF(K11="jiné",L12,K11)</f>
        <v>#DIV/0!</v>
      </c>
      <c r="O7" s="21">
        <f>+E4</f>
        <v>0</v>
      </c>
      <c r="Q7" s="636"/>
      <c r="R7" s="636"/>
      <c r="S7" s="636"/>
      <c r="T7" s="636"/>
    </row>
    <row r="8" spans="1:21" ht="12.75" customHeight="1" x14ac:dyDescent="0.2">
      <c r="A8" s="10" t="str">
        <f>+System10!A8</f>
        <v>rozmer výplne 10 mm:</v>
      </c>
      <c r="B8" s="57">
        <f>+B7-65</f>
        <v>-100</v>
      </c>
      <c r="C8" s="59" t="e">
        <f>+C7-18</f>
        <v>#DIV/0!</v>
      </c>
      <c r="D8" s="8"/>
      <c r="E8" s="8"/>
      <c r="F8" s="50" t="str">
        <f>texty!$A$40</f>
        <v>je treba použiť bezpečnostné sklo</v>
      </c>
      <c r="G8" s="6"/>
      <c r="K8" s="6" t="s">
        <v>60</v>
      </c>
      <c r="L8" s="5" t="s">
        <v>61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">
      <c r="A9" s="10" t="str">
        <f>+System10!A9</f>
        <v>rozmer zrkadla / skla</v>
      </c>
      <c r="B9" s="57">
        <f>+B8</f>
        <v>-100</v>
      </c>
      <c r="C9" s="59" t="e">
        <f>+C8-4</f>
        <v>#DIV/0!</v>
      </c>
      <c r="D9" s="8"/>
      <c r="E9" s="8"/>
      <c r="F9" s="50" t="str">
        <f>texty!$A$41</f>
        <v>alebo sklo zabezpečiť ochrannou fóliou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4" si="0">Q8+$C$10+5</f>
        <v>#DIV/0!</v>
      </c>
      <c r="R9" s="5" t="e">
        <f>(1500-C10)*R20</f>
        <v>#DIV/0!</v>
      </c>
      <c r="S9" s="5" t="e">
        <f>(2000-C10)*S20</f>
        <v>#DIV/0!</v>
      </c>
      <c r="T9" s="5" t="e">
        <f>(3000-C10)*T20</f>
        <v>#DIV/0!</v>
      </c>
      <c r="U9" s="5" t="s">
        <v>562</v>
      </c>
    </row>
    <row r="10" spans="1:21" ht="12.75" customHeight="1" x14ac:dyDescent="0.2">
      <c r="A10" s="10" t="str">
        <f>+System10!A10</f>
        <v>dĺžka vodiacej a krycej lišty krídla</v>
      </c>
      <c r="B10" s="57"/>
      <c r="C10" s="60" t="e">
        <f>+C7-34.2</f>
        <v>#DIV/0!</v>
      </c>
      <c r="D10" s="8"/>
      <c r="E10" s="8"/>
      <c r="F10" s="49"/>
      <c r="G10" s="6"/>
      <c r="K10" s="5" t="s">
        <v>59</v>
      </c>
      <c r="N10" s="17" t="e">
        <f>IF(K11="jiné",L13,"")</f>
        <v>#DIV/0!</v>
      </c>
      <c r="O10" s="21">
        <f>+E4</f>
        <v>0</v>
      </c>
      <c r="P10" s="5">
        <v>3</v>
      </c>
      <c r="Q10" s="159" t="e">
        <f t="shared" si="0"/>
        <v>#DIV/0!</v>
      </c>
    </row>
    <row r="11" spans="1:21" ht="12.75" customHeight="1" x14ac:dyDescent="0.2">
      <c r="A11" s="10" t="str">
        <f>+System10!A11</f>
        <v>Horný/spodný profil</v>
      </c>
      <c r="B11" s="57"/>
      <c r="C11" s="189">
        <f>+C4</f>
        <v>0</v>
      </c>
      <c r="D11" s="8"/>
      <c r="E11" s="8"/>
      <c r="F11" s="3" t="str">
        <f>texty!$A$44</f>
        <v>Maximálna hmotnosť krídla je 35 kg</v>
      </c>
      <c r="G11" s="40"/>
      <c r="K11" s="36" t="e">
        <f>IF((K9+L9)&lt;1500,1500,IF((K9+L9)&lt;2000,2000,IF((K9+L9)&lt;3000,3000,"jiné")))</f>
        <v>#DIV/0!</v>
      </c>
      <c r="M11" s="5" t="s">
        <v>62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">
      <c r="A12" s="10" t="str">
        <f>+System10!A12</f>
        <v>úchytková lišta</v>
      </c>
      <c r="B12" s="488">
        <f>+B7</f>
        <v>-35</v>
      </c>
      <c r="C12" s="489"/>
      <c r="D12" s="8"/>
      <c r="E12" s="8"/>
      <c r="F12" s="6"/>
      <c r="G12" s="6"/>
      <c r="K12" s="6" t="e">
        <f>C10*(D4-1)+(D4*5)</f>
        <v>#DIV/0!</v>
      </c>
      <c r="L12" s="5" t="e">
        <f>IF(K12&lt;1700,1700,IF(K12&lt;2350,2350,IF(K12&lt;3000,3000,3000)))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">
      <c r="A13" s="7" t="str">
        <f>System10!A13</f>
        <v>dĺžka tesnenia na sklo na jednom krídle</v>
      </c>
      <c r="B13" s="58"/>
      <c r="C13" s="144" t="e">
        <f>ROUND((B8*2+C9*2),0)</f>
        <v>#DIV/0!</v>
      </c>
      <c r="D13" s="8"/>
      <c r="E13" s="8"/>
      <c r="F13" s="6"/>
      <c r="G13" s="6"/>
      <c r="K13" s="35" t="e">
        <f>C10+10</f>
        <v>#DIV/0!</v>
      </c>
      <c r="L13" s="5" t="e">
        <f>IF(M12&gt;=0,IF(K13&lt;1700,1700,IF(K13&lt;2350,2350,IF(K13&lt;3000,3000,"jiné"))),IF((K13+C10)&lt;1700,1700,IF((K13+C10)&lt;2350,2350,IF((K13+C10)&lt;3000,3000,"jiné"))))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x14ac:dyDescent="0.2">
      <c r="A14" s="635" t="str">
        <f>IF(SUM(D52:D53)&gt;0,texty!A247,"")</f>
        <v/>
      </c>
      <c r="B14" s="635"/>
      <c r="C14" s="490" t="str">
        <f>texty!A78</f>
        <v>dodatočné odpočty výšky vypočítaných výplní pri použití deliacich profilov výplne:</v>
      </c>
      <c r="D14" s="8"/>
      <c r="E14" s="8"/>
      <c r="F14" s="6"/>
      <c r="G14" s="6"/>
      <c r="K14" s="6"/>
      <c r="L14" s="5" t="e">
        <f>SUM(L12:L13)</f>
        <v>#DIV/0!</v>
      </c>
      <c r="M14" s="5" t="e">
        <f>SUM(M12:M13)</f>
        <v>#DIV/0!</v>
      </c>
      <c r="P14" s="5">
        <v>7</v>
      </c>
      <c r="Q14" s="159" t="e">
        <f t="shared" si="0"/>
        <v>#DIV/0!</v>
      </c>
    </row>
    <row r="15" spans="1:21" x14ac:dyDescent="0.2">
      <c r="A15" s="635"/>
      <c r="B15" s="635"/>
      <c r="C15" s="490"/>
      <c r="D15" s="8"/>
      <c r="E15" s="8"/>
      <c r="F15" s="6"/>
      <c r="G15" s="6"/>
      <c r="K15" s="6"/>
      <c r="Q15" s="159"/>
    </row>
    <row r="16" spans="1:21" ht="19.899999999999999" customHeight="1" x14ac:dyDescent="0.2">
      <c r="A16" s="635" t="str">
        <f>IF(SUM(D55:D56)&gt;0,texty!A248,"")</f>
        <v/>
      </c>
      <c r="B16" s="635"/>
      <c r="C16" s="490"/>
      <c r="D16" s="8"/>
      <c r="E16" s="8"/>
      <c r="F16" s="6"/>
      <c r="G16" s="6"/>
      <c r="K16" s="6"/>
      <c r="Q16" s="159"/>
    </row>
    <row r="17" spans="1:21" ht="19.899999999999999" customHeight="1" x14ac:dyDescent="0.2">
      <c r="A17" s="635"/>
      <c r="B17" s="635"/>
      <c r="C17" s="490"/>
      <c r="D17" s="8"/>
      <c r="E17" s="8"/>
      <c r="F17" s="6"/>
      <c r="G17" s="6"/>
      <c r="K17" s="6"/>
      <c r="Q17" s="159"/>
    </row>
    <row r="18" spans="1:21" x14ac:dyDescent="0.2">
      <c r="A18" s="422"/>
      <c r="B18" s="17"/>
      <c r="C18" s="490"/>
      <c r="D18" s="8"/>
      <c r="E18" s="8"/>
      <c r="F18" s="6"/>
      <c r="G18" s="6"/>
      <c r="K18" s="6"/>
      <c r="Q18" s="159"/>
    </row>
    <row r="19" spans="1:21" x14ac:dyDescent="0.2">
      <c r="A19" s="422"/>
      <c r="B19" s="17"/>
      <c r="C19" s="490"/>
      <c r="D19" s="8"/>
      <c r="E19" s="8"/>
      <c r="F19" s="6"/>
      <c r="G19" s="6"/>
      <c r="K19" s="6"/>
      <c r="Q19" s="159"/>
    </row>
    <row r="20" spans="1:21" ht="12.75" customHeight="1" x14ac:dyDescent="0.2">
      <c r="B20" s="17"/>
      <c r="C20" s="433"/>
      <c r="D20" s="8"/>
      <c r="E20" s="8"/>
      <c r="F20" s="6"/>
      <c r="G20" s="6"/>
      <c r="K20" s="6"/>
      <c r="L20" s="5" t="e">
        <f>L14-C4</f>
        <v>#DIV/0!</v>
      </c>
      <c r="P20" s="5" t="s">
        <v>561</v>
      </c>
      <c r="R20" s="5" t="e">
        <f>FLOOR($D$4/R8,1)</f>
        <v>#DIV/0!</v>
      </c>
      <c r="S20" s="5" t="e">
        <f>FLOOR($D$4/S8,1)</f>
        <v>#DIV/0!</v>
      </c>
      <c r="T20" s="5" t="e">
        <f>FLOOR($D$4/T8,1)</f>
        <v>#DIV/0!</v>
      </c>
    </row>
    <row r="21" spans="1:21" ht="12.75" customHeight="1" x14ac:dyDescent="0.2">
      <c r="A21" s="422"/>
      <c r="B21" s="17"/>
      <c r="C21" s="433"/>
      <c r="D21" s="8"/>
      <c r="E21" s="8"/>
      <c r="F21" s="6"/>
      <c r="G21" s="6"/>
      <c r="K21" s="6"/>
    </row>
    <row r="22" spans="1:21" ht="14.25" customHeight="1" x14ac:dyDescent="0.2">
      <c r="A22" s="422"/>
      <c r="B22" s="484" t="str">
        <f>texty!A242</f>
        <v>dilatácia 4 mm</v>
      </c>
      <c r="C22" s="119"/>
      <c r="D22" s="8"/>
      <c r="E22" s="8"/>
      <c r="F22" s="6"/>
      <c r="G22" s="6"/>
      <c r="K22" s="6"/>
    </row>
    <row r="23" spans="1:21" ht="16.5" customHeight="1" x14ac:dyDescent="0.2">
      <c r="A23" s="7"/>
      <c r="B23" s="8"/>
      <c r="C23" s="8"/>
      <c r="E23" s="8"/>
      <c r="F23" s="6"/>
      <c r="G23" s="6"/>
      <c r="K23" s="6"/>
      <c r="L23" s="6"/>
      <c r="Q23" s="5" t="s">
        <v>581</v>
      </c>
      <c r="R23" s="5" t="s">
        <v>580</v>
      </c>
      <c r="S23" s="5">
        <v>1500</v>
      </c>
      <c r="T23" s="5">
        <v>2000</v>
      </c>
      <c r="U23" s="5">
        <v>3000</v>
      </c>
    </row>
    <row r="24" spans="1:21" ht="16.5" customHeight="1" x14ac:dyDescent="0.2">
      <c r="A24" s="146"/>
      <c r="B24" s="8"/>
      <c r="C24" s="8"/>
      <c r="D24" s="13"/>
      <c r="E24" s="8"/>
      <c r="F24" s="6"/>
      <c r="G24" s="6"/>
      <c r="K24" s="6"/>
      <c r="P24" s="5">
        <v>1</v>
      </c>
      <c r="Q24" s="5" t="e">
        <f>R8</f>
        <v>#DIV/0!</v>
      </c>
      <c r="R24" s="5" t="e">
        <f>IF(Q24&gt;=D4,1,"")</f>
        <v>#DIV/0!</v>
      </c>
      <c r="S24" s="163" t="e">
        <f>IF(R24=1,1,"")</f>
        <v>#DIV/0!</v>
      </c>
      <c r="T24" s="163"/>
      <c r="U24" s="163"/>
    </row>
    <row r="25" spans="1:21" ht="12.75" customHeight="1" x14ac:dyDescent="0.2">
      <c r="A25" s="204"/>
      <c r="B25" s="8"/>
      <c r="C25" s="8"/>
      <c r="D25" s="8"/>
      <c r="E25" s="8"/>
      <c r="F25" s="6"/>
      <c r="G25" s="6"/>
      <c r="K25" s="3"/>
      <c r="P25" s="5">
        <v>2</v>
      </c>
      <c r="Q25" s="5" t="e">
        <f>S8</f>
        <v>#DIV/0!</v>
      </c>
      <c r="R25" s="5" t="e">
        <f>IF(Q25&gt;=D4,IF(R24=1,"",1),"")</f>
        <v>#DIV/0!</v>
      </c>
      <c r="S25" s="163"/>
      <c r="T25" s="163" t="e">
        <f>IF(R25=1,1,"")</f>
        <v>#DIV/0!</v>
      </c>
      <c r="U25" s="163"/>
    </row>
    <row r="26" spans="1:21" ht="12.75" customHeight="1" x14ac:dyDescent="0.2">
      <c r="A26" s="7"/>
      <c r="B26" s="8"/>
      <c r="C26" s="8"/>
      <c r="D26" s="8"/>
      <c r="E26" s="8"/>
      <c r="F26" s="6"/>
      <c r="G26" s="6"/>
      <c r="P26" s="5">
        <v>3</v>
      </c>
      <c r="Q26" s="5" t="e">
        <f>T8</f>
        <v>#DIV/0!</v>
      </c>
      <c r="R26" s="5" t="e">
        <f>IF(Q26&gt;=D4,IF(Q25&gt;=D4,"",1),"")</f>
        <v>#DIV/0!</v>
      </c>
      <c r="U26" s="163" t="e">
        <f>IF(R26=1,1,"")</f>
        <v>#DIV/0!</v>
      </c>
    </row>
    <row r="27" spans="1:21" ht="12.75" customHeight="1" x14ac:dyDescent="0.2">
      <c r="A27" s="7"/>
      <c r="B27" s="8"/>
      <c r="C27" s="8"/>
      <c r="D27" s="8"/>
      <c r="E27" s="8"/>
      <c r="F27" s="6"/>
      <c r="G27" s="6"/>
      <c r="K27" s="5" t="str">
        <f>CONCATENATE(M27,"-",$O$7)</f>
        <v>1500-0</v>
      </c>
      <c r="L27" s="6" t="e">
        <f>SUM(S24:S36)</f>
        <v>#DIV/0!</v>
      </c>
      <c r="M27" s="5">
        <v>1500</v>
      </c>
      <c r="O27" s="5" t="s">
        <v>563</v>
      </c>
      <c r="P27" s="162" t="s">
        <v>564</v>
      </c>
      <c r="Q27" s="5" t="e">
        <f>R8+S8</f>
        <v>#DIV/0!</v>
      </c>
      <c r="R27" s="5" t="e">
        <f>IF(Q27&gt;=D4,IF(SUM(R24:R26)&gt;0,"",1),"")</f>
        <v>#DIV/0!</v>
      </c>
      <c r="S27" s="163" t="e">
        <f>IF(R27=1,1,"")</f>
        <v>#DIV/0!</v>
      </c>
      <c r="T27" s="163" t="e">
        <f>IF(R27=1,1,"")</f>
        <v>#DIV/0!</v>
      </c>
    </row>
    <row r="28" spans="1:21" ht="12.75" customHeight="1" x14ac:dyDescent="0.2">
      <c r="A28" s="7"/>
      <c r="B28" s="8"/>
      <c r="D28" s="8"/>
      <c r="E28" s="8"/>
      <c r="F28" s="8"/>
      <c r="G28" s="130" t="str">
        <f>+System10!G25</f>
        <v>partnerská zľava:</v>
      </c>
      <c r="K28" s="5" t="str">
        <f>CONCATENATE(M28,"-",$O$7)</f>
        <v>2000-0</v>
      </c>
      <c r="L28" s="6" t="e">
        <f>SUM(T24:T36)</f>
        <v>#DIV/0!</v>
      </c>
      <c r="M28" s="5">
        <v>2000</v>
      </c>
      <c r="P28" s="5" t="s">
        <v>576</v>
      </c>
      <c r="Q28" s="5" t="e">
        <f>S8+S8</f>
        <v>#DIV/0!</v>
      </c>
      <c r="R28" s="5" t="e">
        <f>IF(Q28&gt;=D4,IF(SUM(R24:R27)&gt;0,"",1),"")</f>
        <v>#DIV/0!</v>
      </c>
      <c r="T28" s="163" t="e">
        <f>IF(R28=1,2,"")</f>
        <v>#DIV/0!</v>
      </c>
    </row>
    <row r="29" spans="1:21" ht="12.75" customHeight="1" x14ac:dyDescent="0.2">
      <c r="A29" s="14" t="str">
        <f>+System10!A26</f>
        <v>Objednávacie kódy, ceny:</v>
      </c>
      <c r="B29" s="8"/>
      <c r="D29" s="8"/>
      <c r="E29" s="8"/>
      <c r="F29" s="8"/>
      <c r="G29" s="142">
        <f>profil!C15</f>
        <v>0</v>
      </c>
      <c r="H29" s="28"/>
      <c r="K29" s="5" t="str">
        <f>CONCATENATE(M29,"-",$O$7)</f>
        <v>3000-0</v>
      </c>
      <c r="L29" s="6" t="e">
        <f>SUM(U24:U36)</f>
        <v>#DIV/0!</v>
      </c>
      <c r="M29" s="5">
        <v>3000</v>
      </c>
      <c r="N29" s="160"/>
      <c r="P29" s="5" t="s">
        <v>565</v>
      </c>
      <c r="Q29" s="5" t="e">
        <f>R8+T8</f>
        <v>#DIV/0!</v>
      </c>
      <c r="R29" s="5" t="e">
        <f>IF(Q29&gt;=D4,IF(SUM(R24:R28)&gt;0,"",1),"")</f>
        <v>#DIV/0!</v>
      </c>
      <c r="S29" s="163" t="e">
        <f>IF(R29=1,1,"")</f>
        <v>#DIV/0!</v>
      </c>
      <c r="U29" s="163" t="e">
        <f>IF(R29=1,1,"")</f>
        <v>#DIV/0!</v>
      </c>
    </row>
    <row r="30" spans="1:21" ht="12.75" customHeight="1" x14ac:dyDescent="0.2">
      <c r="A30" s="7"/>
      <c r="B30" s="19" t="str">
        <f>+System10!B27</f>
        <v>kód</v>
      </c>
      <c r="C30" s="18" t="str">
        <f>+System10!C27</f>
        <v>názov</v>
      </c>
      <c r="D30" s="19" t="str">
        <f>+System10!D27</f>
        <v>ks</v>
      </c>
      <c r="E30" s="19" t="str">
        <f>+System10!E27</f>
        <v>cena/ks</v>
      </c>
      <c r="F30" s="19" t="str">
        <f>+System10!F27</f>
        <v>cena celkom</v>
      </c>
      <c r="G30" s="20" t="str">
        <f>+System10!G27</f>
        <v>celkom netto:</v>
      </c>
      <c r="I30" s="18" t="str">
        <f>texty!A29</f>
        <v>Poznámka:</v>
      </c>
      <c r="J30" s="18"/>
      <c r="K30" s="6"/>
      <c r="L30" s="5">
        <f>COUNT(L27,L28,L29)</f>
        <v>0</v>
      </c>
      <c r="M30" s="160"/>
      <c r="N30" s="160"/>
      <c r="P30" s="5" t="s">
        <v>566</v>
      </c>
      <c r="Q30" s="5" t="e">
        <f>S8+T8</f>
        <v>#DIV/0!</v>
      </c>
      <c r="R30" s="5" t="e">
        <f>IF(Q30&gt;=D4,IF(SUM(R24:R29)&gt;0,"",1),"")</f>
        <v>#DIV/0!</v>
      </c>
      <c r="T30" s="163" t="e">
        <f>IF(R30=1,1,"")</f>
        <v>#DIV/0!</v>
      </c>
      <c r="U30" s="163" t="e">
        <f>IF(R30=1,1,"")</f>
        <v>#DIV/0!</v>
      </c>
    </row>
    <row r="31" spans="1:21" ht="12.75" customHeight="1" x14ac:dyDescent="0.2">
      <c r="A31" s="7" t="str">
        <f>+System10!A28</f>
        <v>Horný profil:</v>
      </c>
      <c r="B31" s="16" t="e">
        <f>+VLOOKUP(N5,data!$C$261:$D$278,2,0)</f>
        <v>#N/A</v>
      </c>
      <c r="C31" s="25" t="e">
        <f>+VLOOKUP(B31,cennik!$A:$G,2,FALSE)</f>
        <v>#N/A</v>
      </c>
      <c r="D31" s="17">
        <v>1</v>
      </c>
      <c r="E31" s="91" t="e">
        <f>+VLOOKUP(B31,cennik!$A:$G,3,FALSE)</f>
        <v>#N/A</v>
      </c>
      <c r="F31" s="91" t="e">
        <f t="shared" ref="F31:F42" si="1">+E31*D31</f>
        <v>#N/A</v>
      </c>
      <c r="G31" s="92" t="e">
        <f t="shared" ref="G31:G42" si="2">+F31*(100-$G$29)/100</f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e">
        <f>IF(D31&gt;0,IF(VLOOKUP(B31,cennik!A:L,12,FALSE)="O",1,""),"")</f>
        <v>#N/A</v>
      </c>
      <c r="K31" s="6"/>
      <c r="L31" s="160"/>
      <c r="M31" s="160"/>
      <c r="N31" s="160"/>
      <c r="P31" s="5" t="s">
        <v>577</v>
      </c>
      <c r="Q31" s="5" t="e">
        <f>T8+T8</f>
        <v>#DIV/0!</v>
      </c>
      <c r="R31" s="5" t="e">
        <f>IF(Q31&gt;=D4,IF(SUM(R24:R30)&gt;0,"",1),"")</f>
        <v>#DIV/0!</v>
      </c>
      <c r="U31" s="163" t="e">
        <f>IF(R31=1,2,"")</f>
        <v>#DIV/0!</v>
      </c>
    </row>
    <row r="32" spans="1:21" ht="12.75" customHeight="1" x14ac:dyDescent="0.2">
      <c r="A32" s="7" t="str">
        <f>+System10!A29</f>
        <v>spodný profil:</v>
      </c>
      <c r="B32" s="16" t="e">
        <f>+VLOOKUP(N5,data!$C$281:$D$298,2,0)</f>
        <v>#N/A</v>
      </c>
      <c r="C32" s="25" t="e">
        <f>+VLOOKUP(B32,cennik!$A:$G,2,FALSE)</f>
        <v>#N/A</v>
      </c>
      <c r="D32" s="17">
        <v>1</v>
      </c>
      <c r="E32" s="91" t="e">
        <f>+VLOOKUP(B32,cennik!$A:$G,3,FALSE)</f>
        <v>#N/A</v>
      </c>
      <c r="F32" s="91" t="e">
        <f t="shared" si="1"/>
        <v>#N/A</v>
      </c>
      <c r="G32" s="92" t="e">
        <f t="shared" si="2"/>
        <v>#N/A</v>
      </c>
      <c r="H32" s="6" t="str">
        <f>cennik!$B$2</f>
        <v>EUR</v>
      </c>
      <c r="I32" s="469" t="str">
        <f>IFERROR(IF((VLOOKUP(B32,cennik!A:L,12,0))="O",texty!$A$250,""),"")</f>
        <v/>
      </c>
      <c r="J32" s="191" t="e">
        <f>IF(D32&gt;0,IF(VLOOKUP(B32,cennik!A:L,12,FALSE)="O",1,""),"")</f>
        <v>#N/A</v>
      </c>
      <c r="K32" s="6" t="s">
        <v>567</v>
      </c>
      <c r="L32" s="5" t="e">
        <f>IF(L27=0,IF(L28=0,K29,K28),K27)</f>
        <v>#DIV/0!</v>
      </c>
      <c r="M32" s="160" t="e">
        <f>IF(L32=K27,L27,IF(L32=K28,L28,IF(L32=K29,L29,"chyba")))</f>
        <v>#DIV/0!</v>
      </c>
      <c r="N32" s="160"/>
      <c r="O32" s="160"/>
      <c r="P32" s="5" t="s">
        <v>578</v>
      </c>
      <c r="Q32" s="5" t="e">
        <f>R8+R8+R8</f>
        <v>#DIV/0!</v>
      </c>
      <c r="R32" s="5" t="e">
        <f>IF(Q32&gt;=D4,IF(SUM(R24:R31)&gt;0,"",1),"")</f>
        <v>#DIV/0!</v>
      </c>
      <c r="S32" s="163" t="e">
        <f>IF(R32=1,3,"")</f>
        <v>#DIV/0!</v>
      </c>
    </row>
    <row r="33" spans="1:21" ht="12.75" customHeight="1" x14ac:dyDescent="0.2">
      <c r="A33" s="7" t="str">
        <f>texty!$A$210</f>
        <v>záslepko spodného vedenia</v>
      </c>
      <c r="B33" s="16">
        <v>216362</v>
      </c>
      <c r="C33" s="25" t="str">
        <f>+VLOOKUP(B33,cennik!$A:$G,2,FALSE)</f>
        <v>SEVROLL 20233 záslepka spodného vedenia Simple/Blue priesvitná, guma</v>
      </c>
      <c r="D33" s="17">
        <f>CEILING(C4/1000,1)</f>
        <v>0</v>
      </c>
      <c r="E33" s="91">
        <f>+VLOOKUP(B33,cennik!$A:$G,3,FALSE)</f>
        <v>1.0063200000000001</v>
      </c>
      <c r="F33" s="91">
        <f t="shared" si="1"/>
        <v>0</v>
      </c>
      <c r="G33" s="92">
        <f t="shared" si="2"/>
        <v>0</v>
      </c>
      <c r="H33" s="6" t="str">
        <f>cennik!$B$2</f>
        <v>EUR</v>
      </c>
      <c r="I33" s="469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  <c r="M33" s="160"/>
      <c r="N33" s="160"/>
      <c r="O33" s="160"/>
      <c r="S33" s="163"/>
    </row>
    <row r="34" spans="1:21" ht="12.75" customHeight="1" x14ac:dyDescent="0.2">
      <c r="A34" s="7" t="str">
        <f>+System10!A31</f>
        <v>horné vozíky (sady)</v>
      </c>
      <c r="B34" s="16">
        <v>349943</v>
      </c>
      <c r="C34" s="25" t="str">
        <f>+VLOOKUP(B34,cennik!$A:$G,2,FALSE)</f>
        <v>SEVROLL 10240 horný vozík Blue 10mm symetrický L+P</v>
      </c>
      <c r="D34" s="17">
        <f>+D4</f>
        <v>0</v>
      </c>
      <c r="E34" s="91">
        <f>+VLOOKUP(B34,cennik!$A:$G,3,FALSE)</f>
        <v>3.6124200000000002</v>
      </c>
      <c r="F34" s="91">
        <f t="shared" si="1"/>
        <v>0</v>
      </c>
      <c r="G34" s="92">
        <f t="shared" si="2"/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K34" s="6" t="s">
        <v>568</v>
      </c>
      <c r="L34" s="5" t="e">
        <f>IF(L32=K29,"jiné",IF(L32=K27,IF(L28&lt;&gt;0,K28,IF(L29&lt;&gt;0,K29,"jiné")),IF(L29&lt;&gt;0,K29,"jiné")))</f>
        <v>#DIV/0!</v>
      </c>
      <c r="M34" s="160" t="e">
        <f>IF(L34=K28,L28,IF(L34=K29,L29,IF(L34=K30,L30,0)))</f>
        <v>#DIV/0!</v>
      </c>
      <c r="N34" s="160"/>
      <c r="O34" s="160"/>
      <c r="P34" s="5" t="s">
        <v>569</v>
      </c>
      <c r="Q34" s="5" t="e">
        <f>R8+2*S8</f>
        <v>#DIV/0!</v>
      </c>
      <c r="R34" s="5" t="e">
        <f>IF(Q34&gt;=D4,IF(SUM(R24:R32)&gt;0,"",1),"")</f>
        <v>#DIV/0!</v>
      </c>
      <c r="S34" s="163" t="e">
        <f>IF(R34=1,1,"")</f>
        <v>#DIV/0!</v>
      </c>
      <c r="T34" s="163" t="e">
        <f>IF(R34=1,2,"")</f>
        <v>#DIV/0!</v>
      </c>
    </row>
    <row r="35" spans="1:21" ht="12.75" customHeight="1" x14ac:dyDescent="0.2">
      <c r="A35" s="7" t="str">
        <f>+System10!A32</f>
        <v>spodné vozíky (sada)</v>
      </c>
      <c r="B35" s="16">
        <v>229446</v>
      </c>
      <c r="C35" s="25" t="str">
        <f>+VLOOKUP(B35,cennik!$A:$G,2,FALSE)</f>
        <v>SEVROLL 10223 spodný vozík Simple/Blue V (rámový systém) - 2ks</v>
      </c>
      <c r="D35" s="17">
        <f>+D4</f>
        <v>0</v>
      </c>
      <c r="E35" s="91">
        <f>+VLOOKUP(B35,cennik!$A:$G,3,FALSE)</f>
        <v>2.70932</v>
      </c>
      <c r="F35" s="91">
        <f t="shared" si="1"/>
        <v>0</v>
      </c>
      <c r="G35" s="92">
        <f t="shared" si="2"/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6"/>
      <c r="L35" s="160"/>
      <c r="M35" s="160"/>
      <c r="N35" s="160"/>
      <c r="O35" s="160"/>
      <c r="P35" s="5" t="s">
        <v>579</v>
      </c>
      <c r="Q35" s="5" t="e">
        <f>S8+S8+S8</f>
        <v>#DIV/0!</v>
      </c>
      <c r="R35" s="5" t="e">
        <f>IF(Q35&gt;=D4,IF(SUM(R24:R34)&gt;0,"",1),"")</f>
        <v>#DIV/0!</v>
      </c>
      <c r="T35" s="163" t="e">
        <f>IF(R35=1,3,"")</f>
        <v>#DIV/0!</v>
      </c>
    </row>
    <row r="36" spans="1:21" ht="12.75" customHeight="1" x14ac:dyDescent="0.2">
      <c r="A36" s="7" t="str">
        <f>texty!A111</f>
        <v xml:space="preserve">pozicionér </v>
      </c>
      <c r="B36" s="200">
        <v>229681</v>
      </c>
      <c r="C36" s="25" t="str">
        <f>+VLOOKUP(B36,cennik!$A:$G,2,FALSE)</f>
        <v>SEVROLL 10163 Simple/Blue pozicionér pre spodný vozík</v>
      </c>
      <c r="D36" s="17">
        <f>+D4</f>
        <v>0</v>
      </c>
      <c r="E36" s="91">
        <f>+VLOOKUP(B36,cennik!$A:$G,3,FALSE)</f>
        <v>0.36124000000000001</v>
      </c>
      <c r="F36" s="91">
        <f t="shared" si="1"/>
        <v>0</v>
      </c>
      <c r="G36" s="92">
        <f t="shared" si="2"/>
        <v>0</v>
      </c>
      <c r="H36" s="6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K36" s="6" t="str">
        <f>CONCATENATE(3000,"-",E4)</f>
        <v>3000-</v>
      </c>
      <c r="L36" s="160"/>
      <c r="M36" s="160"/>
      <c r="N36" s="160"/>
      <c r="O36" s="160"/>
      <c r="P36" s="5" t="s">
        <v>570</v>
      </c>
      <c r="Q36" s="5" t="e">
        <f>R8+2*T8</f>
        <v>#DIV/0!</v>
      </c>
      <c r="R36" s="5" t="e">
        <f>IF(Q36&gt;=D4,IF(SUM(R24:R35)&gt;0,"",1),"")</f>
        <v>#DIV/0!</v>
      </c>
      <c r="S36" s="163" t="e">
        <f>IF(R36=1,1,"")</f>
        <v>#DIV/0!</v>
      </c>
      <c r="U36" s="163" t="e">
        <f>IF(R36=1,2,"")</f>
        <v>#DIV/0!</v>
      </c>
    </row>
    <row r="37" spans="1:21" ht="12.75" customHeight="1" x14ac:dyDescent="0.2">
      <c r="A37" s="7" t="str">
        <f>+System10!A33</f>
        <v>dorazový kartáč</v>
      </c>
      <c r="B37" s="16">
        <v>98067</v>
      </c>
      <c r="C37" s="25" t="str">
        <f>+VLOOKUP(B37,cennik!$A:$G,2,FALSE)</f>
        <v>SEVROLL dorazová kefa zásuvná 14x4mm sivá</v>
      </c>
      <c r="D37" s="17">
        <f>CEILING((B4*D4*2/1000),1)</f>
        <v>0</v>
      </c>
      <c r="E37" s="91">
        <f>+VLOOKUP(B37,cennik!$A:$G,3,FALSE)</f>
        <v>0.19361999999999999</v>
      </c>
      <c r="F37" s="91">
        <f t="shared" si="1"/>
        <v>0</v>
      </c>
      <c r="G37" s="92">
        <f t="shared" si="2"/>
        <v>0</v>
      </c>
      <c r="H37" s="6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K37" s="3" t="s">
        <v>687</v>
      </c>
    </row>
    <row r="38" spans="1:21" ht="12.75" customHeight="1" x14ac:dyDescent="0.2">
      <c r="A38" s="7" t="str">
        <f>+System10!A34</f>
        <v>úchytková lišta</v>
      </c>
      <c r="B38" s="16" t="e">
        <f>+VLOOKUP(O7,data!$C$513:$D$514,2,0)</f>
        <v>#N/A</v>
      </c>
      <c r="C38" s="25" t="e">
        <f>+VLOOKUP(B38,cennik!$A:$G,2,FALSE)</f>
        <v>#N/A</v>
      </c>
      <c r="D38" s="17">
        <f>IF(B12&lt;=1347,D4*2/2,D4*2)</f>
        <v>0</v>
      </c>
      <c r="E38" s="91" t="e">
        <f>+VLOOKUP(B38,cennik!$A:$G,3,FALSE)</f>
        <v>#N/A</v>
      </c>
      <c r="F38" s="91" t="e">
        <f t="shared" si="1"/>
        <v>#N/A</v>
      </c>
      <c r="G38" s="92" t="e">
        <f t="shared" si="2"/>
        <v>#N/A</v>
      </c>
      <c r="H38" s="6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K38" s="157" t="e">
        <f>(C10*D4)+(D4-1)*5</f>
        <v>#DIV/0!</v>
      </c>
    </row>
    <row r="39" spans="1:21" ht="12.75" customHeight="1" x14ac:dyDescent="0.2">
      <c r="A39" s="7" t="str">
        <f>+System10!A35</f>
        <v>spojovacia skrutka</v>
      </c>
      <c r="B39" s="6">
        <v>89244</v>
      </c>
      <c r="C39" s="25" t="str">
        <f>+VLOOKUP(B39,cennik!$A:$G,2,FALSE)</f>
        <v>SEVROLL 20001 skrutkovrut 6,3x32 SEVROLL a Simple</v>
      </c>
      <c r="D39" s="17">
        <f>+D4*4</f>
        <v>0</v>
      </c>
      <c r="E39" s="91">
        <f>+VLOOKUP(B39,cennik!$A:$G,3,FALSE)</f>
        <v>0.15482000000000001</v>
      </c>
      <c r="F39" s="91">
        <f>+E39*D39</f>
        <v>0</v>
      </c>
      <c r="G39" s="92">
        <f>+F39*(100-$G$29)/100</f>
        <v>0</v>
      </c>
      <c r="H39" s="6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21" ht="12.75" customHeight="1" x14ac:dyDescent="0.2">
      <c r="A40" s="7" t="str">
        <f>+System10!$A$36</f>
        <v>horný profil rámu (vodiaca lišta)</v>
      </c>
      <c r="B40" s="16" t="e">
        <f>+VLOOKUP(L32,data!C348:D353,2,0)</f>
        <v>#DIV/0!</v>
      </c>
      <c r="C40" s="25" t="e">
        <f>+VLOOKUP(B40,cennik!$A$3:$G$701,2,FALSE)</f>
        <v>#DIV/0!</v>
      </c>
      <c r="D40" s="64" t="e">
        <f>M32</f>
        <v>#DIV/0!</v>
      </c>
      <c r="E40" s="91" t="e">
        <f>+VLOOKUP(B40,cennik!$A:$G,3,FALSE)</f>
        <v>#DIV/0!</v>
      </c>
      <c r="F40" s="91" t="e">
        <f t="shared" si="1"/>
        <v>#DIV/0!</v>
      </c>
      <c r="G40" s="92" t="e">
        <f t="shared" si="2"/>
        <v>#DIV/0!</v>
      </c>
      <c r="H40" s="6" t="str">
        <f>cennik!$B$2</f>
        <v>EUR</v>
      </c>
      <c r="I40" s="469" t="str">
        <f>IFERROR(IF((VLOOKUP(B40,cennik!A:L,12,0))="O",texty!$A$250,""),"")</f>
        <v/>
      </c>
      <c r="J40" s="191" t="e">
        <f>IF(D40&gt;0,IF(VLOOKUP(B40,cennik!A:L,12,FALSE)="O",1,""),"")</f>
        <v>#DIV/0!</v>
      </c>
      <c r="K40" s="3"/>
    </row>
    <row r="41" spans="1:21" ht="12.75" customHeight="1" x14ac:dyDescent="0.2">
      <c r="A41" s="7" t="str">
        <f>+System10!$A$36</f>
        <v>horný profil rámu (vodiaca lišta)</v>
      </c>
      <c r="B41" s="6" t="e">
        <f>IF(L34&lt;&gt;"jiné",VLOOKUP(L34,data!C348:D353,2,0),"")</f>
        <v>#DIV/0!</v>
      </c>
      <c r="C41" s="38" t="e">
        <f>IF(L34&lt;&gt;"jiné",+VLOOKUP(B41,cennik!$A$3:$G$701,2,FALSE),texty!$A$2)</f>
        <v>#DIV/0!</v>
      </c>
      <c r="D41" s="64" t="e">
        <f>M34</f>
        <v>#DIV/0!</v>
      </c>
      <c r="E41" s="93" t="e">
        <f>IF(L34&lt;&gt;"jiné",+VLOOKUP(B41,cennik!$A:$G,3,FALSE),0)</f>
        <v>#DIV/0!</v>
      </c>
      <c r="F41" s="91" t="e">
        <f t="shared" si="1"/>
        <v>#DIV/0!</v>
      </c>
      <c r="G41" s="92" t="e">
        <f>+F41*(100-$G$29)/100</f>
        <v>#DIV/0!</v>
      </c>
      <c r="H41" s="6" t="str">
        <f>cennik!$B$2</f>
        <v>EUR</v>
      </c>
      <c r="I41" s="469" t="str">
        <f>IFERROR(IF((VLOOKUP(B41,cennik!A:L,12,0))="O",texty!$A$250,""),"")</f>
        <v/>
      </c>
      <c r="J41" s="191" t="e">
        <f>IF(D41&gt;0,IF(VLOOKUP(B41,cennik!A:L,12,FALSE)="O",1,""),"")</f>
        <v>#DIV/0!</v>
      </c>
      <c r="K41" s="3" t="str">
        <f>+System10!L24</f>
        <v>1700-0</v>
      </c>
    </row>
    <row r="42" spans="1:21" ht="12.75" customHeight="1" x14ac:dyDescent="0.2">
      <c r="A42" s="7" t="str">
        <f>+System10!A38</f>
        <v>horizontálny spodný profil rámu</v>
      </c>
      <c r="B42" s="16" t="e">
        <f>+VLOOKUP(L32,data!$C$437:$D$442,2,0)</f>
        <v>#DIV/0!</v>
      </c>
      <c r="C42" s="25" t="e">
        <f>+VLOOKUP(B42,cennik!$A$3:$G$701,2,FALSE)</f>
        <v>#DIV/0!</v>
      </c>
      <c r="D42" s="64" t="e">
        <f>M32</f>
        <v>#DIV/0!</v>
      </c>
      <c r="E42" s="91" t="e">
        <f>+VLOOKUP(B42,cennik!$A:$G,3,FALSE)</f>
        <v>#DIV/0!</v>
      </c>
      <c r="F42" s="91" t="e">
        <f t="shared" si="1"/>
        <v>#DIV/0!</v>
      </c>
      <c r="G42" s="92" t="e">
        <f t="shared" si="2"/>
        <v>#DIV/0!</v>
      </c>
      <c r="H42" s="6" t="str">
        <f>cennik!$B$2</f>
        <v>EUR</v>
      </c>
      <c r="I42" s="469" t="str">
        <f>IFERROR(IF((VLOOKUP(B42,cennik!A:L,12,0))="O",texty!$A$250,""),"")</f>
        <v/>
      </c>
      <c r="J42" s="191" t="e">
        <f>IF(D42&gt;0,IF(VLOOKUP(B42,cennik!A:L,12,FALSE)="O",1,""),"")</f>
        <v>#DIV/0!</v>
      </c>
      <c r="K42" s="3"/>
    </row>
    <row r="43" spans="1:21" ht="12.75" customHeight="1" x14ac:dyDescent="0.2">
      <c r="A43" s="7" t="str">
        <f>+System10!A39</f>
        <v>horizontálny spodný profil rámu</v>
      </c>
      <c r="B43" s="6" t="e">
        <f>IF(L34&lt;&gt;"jiné",+VLOOKUP(L34,data!$C$437:$D$442,2,0),"")</f>
        <v>#DIV/0!</v>
      </c>
      <c r="C43" s="25" t="e">
        <f>IF(L34&lt;&gt;"jiné",+VLOOKUP(B43,cennik!$A$3:$G$701,2,FALSE),texty!A2)</f>
        <v>#DIV/0!</v>
      </c>
      <c r="D43" s="64" t="e">
        <f>M34</f>
        <v>#DIV/0!</v>
      </c>
      <c r="E43" s="93" t="e">
        <f>IF(L34&lt;&gt;"jiné",+VLOOKUP(B41,cennik!$A:$G,3,FALSE),0)</f>
        <v>#DIV/0!</v>
      </c>
      <c r="F43" s="91" t="e">
        <f>+E43*D43</f>
        <v>#DIV/0!</v>
      </c>
      <c r="G43" s="92" t="e">
        <f>+F43*(100-$G$29)/100</f>
        <v>#DIV/0!</v>
      </c>
      <c r="H43" s="6" t="str">
        <f>cennik!$B$2</f>
        <v>EUR</v>
      </c>
      <c r="I43" s="469" t="str">
        <f>IFERROR(IF((VLOOKUP(B43,cennik!A:L,12,0))="O",texty!$A$250,""),"")</f>
        <v/>
      </c>
      <c r="J43" s="191" t="e">
        <f>IF(D43&gt;0,IF(VLOOKUP(B43,cennik!A:L,12,FALSE)="O",1,""),"")</f>
        <v>#DIV/0!</v>
      </c>
      <c r="K43" s="3"/>
    </row>
    <row r="44" spans="1:21" ht="12.75" customHeight="1" x14ac:dyDescent="0.2">
      <c r="A44" s="7"/>
      <c r="B44" s="6"/>
      <c r="C44" s="25"/>
      <c r="D44" s="64"/>
      <c r="E44" s="93"/>
      <c r="F44" s="91"/>
      <c r="G44" s="92"/>
      <c r="I44" s="469" t="str">
        <f>IFERROR(IF((VLOOKUP(B44,cennik!A:L,12,0))="O",texty!$A$250,""),"")</f>
        <v/>
      </c>
      <c r="J44" s="191"/>
      <c r="K44" s="3"/>
    </row>
    <row r="45" spans="1:21" ht="12.75" customHeight="1" x14ac:dyDescent="0.2">
      <c r="A45" s="14" t="str">
        <f>texty!$A$66</f>
        <v>Voliteľné príslušenstvo:</v>
      </c>
      <c r="B45" s="15"/>
      <c r="D45" s="26" t="str">
        <f>System10!$D$41</f>
        <v>zadajte počet:</v>
      </c>
      <c r="E45" s="95"/>
      <c r="F45" s="95"/>
      <c r="G45" s="94"/>
      <c r="I45" s="469" t="str">
        <f>IFERROR(IF((VLOOKUP(B45,cennik!A:L,12,0))="O",texty!$A$250,""),"")</f>
        <v/>
      </c>
      <c r="J45" s="191"/>
      <c r="K45" s="3"/>
    </row>
    <row r="46" spans="1:21" ht="12.75" customHeight="1" x14ac:dyDescent="0.2">
      <c r="A46" s="7" t="str">
        <f>texty!$A$88</f>
        <v>pozicionér do horného vedenia</v>
      </c>
      <c r="B46" s="15">
        <v>298035</v>
      </c>
      <c r="C46" s="25" t="str">
        <f>+VLOOKUP(B46,cennik!$A:$G,2,FALSE)</f>
        <v>SEVROLL 20326 Fix pozicionér pre horný vozík transparentný</v>
      </c>
      <c r="D46" s="29"/>
      <c r="E46" s="91">
        <f>+VLOOKUP(B46,cennik!$A:$G,3,FALSE)</f>
        <v>1.0837300000000001</v>
      </c>
      <c r="F46" s="96">
        <f>+CEILING(D46,1)*E46</f>
        <v>0</v>
      </c>
      <c r="G46" s="92">
        <f>+F46*(100-$G$29)/100</f>
        <v>0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">
      <c r="A47" s="7" t="str">
        <f>+System10!$A$43</f>
        <v xml:space="preserve">pozicionér </v>
      </c>
      <c r="B47" s="200">
        <v>229681</v>
      </c>
      <c r="C47" s="25" t="str">
        <f>+VLOOKUP(B47,cennik!$A:$G,2,FALSE)</f>
        <v>SEVROLL 10163 Simple/Blue pozicionér pre spodný vozík</v>
      </c>
      <c r="D47" s="29"/>
      <c r="E47" s="91">
        <f>+VLOOKUP(B47,cennik!$A:$G,3,FALSE)</f>
        <v>0.36124000000000001</v>
      </c>
      <c r="F47" s="96">
        <f>+CEILING(D47,1)*E47</f>
        <v>0</v>
      </c>
      <c r="G47" s="92">
        <f>+F47*(100-$G$29)/100</f>
        <v>0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">
      <c r="A48" s="7" t="str">
        <f>texty!$A$179</f>
        <v>skrutka k spodnémi vedeniu</v>
      </c>
      <c r="B48" s="15">
        <v>98019</v>
      </c>
      <c r="C48" s="25" t="str">
        <f>+VLOOKUP(B48,cennik!$A:$G,2,FALSE)</f>
        <v>SEVROLL 20041 skrutka 2,5x18mm polguľatá hlava zinok biely</v>
      </c>
      <c r="D48" s="29"/>
      <c r="E48" s="91">
        <f>+VLOOKUP(B48,cennik!$A:$G,3,FALSE)</f>
        <v>2.9159999999999998E-2</v>
      </c>
      <c r="F48" s="96">
        <f>+CEILING(D48,1)*E48</f>
        <v>0</v>
      </c>
      <c r="G48" s="92">
        <f>+F48*(100-$G$29)/100</f>
        <v>0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">
      <c r="A49" s="7" t="str">
        <f>texty!$A$203</f>
        <v>spojovací H profil Simple 10</v>
      </c>
      <c r="B49" s="16" t="e">
        <f>+VLOOKUP(K27,data!$C$348:$D$353,2,0)</f>
        <v>#N/A</v>
      </c>
      <c r="C49" s="25" t="e">
        <f>+VLOOKUP(B49,cennik!$A:$G,2,FALSE)</f>
        <v>#N/A</v>
      </c>
      <c r="D49" s="30"/>
      <c r="E49" s="91" t="e">
        <f>+VLOOKUP(B49,cennik!$A:$G,3,FALSE)</f>
        <v>#N/A</v>
      </c>
      <c r="F49" s="91" t="e">
        <f>+E49*D49</f>
        <v>#N/A</v>
      </c>
      <c r="G49" s="92" t="e">
        <f t="shared" ref="G49:G57" si="3">+F49*(100-$G$29)/100</f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">
      <c r="A50" s="7" t="str">
        <f>texty!$A$203</f>
        <v>spojovací H profil Simple 10</v>
      </c>
      <c r="B50" s="16" t="e">
        <f>+VLOOKUP(K28,data!$C$348:$D$353,2,0)</f>
        <v>#N/A</v>
      </c>
      <c r="C50" s="25" t="e">
        <f>+VLOOKUP(B50,cennik!$A:$G,2,FALSE)</f>
        <v>#N/A</v>
      </c>
      <c r="D50" s="30"/>
      <c r="E50" s="91" t="e">
        <f>+VLOOKUP(B50,cennik!$A:$G,3,FALSE)</f>
        <v>#N/A</v>
      </c>
      <c r="F50" s="91" t="e">
        <f>+E50*D50</f>
        <v>#N/A</v>
      </c>
      <c r="G50" s="92" t="e">
        <f t="shared" si="3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">
      <c r="A51" s="7" t="str">
        <f>texty!$A$203</f>
        <v>spojovací H profil Simple 10</v>
      </c>
      <c r="B51" s="16" t="e">
        <f>+VLOOKUP(K29,data!$C$348:$D$353,2,0)</f>
        <v>#N/A</v>
      </c>
      <c r="C51" s="25" t="e">
        <f>+VLOOKUP(B51,cennik!$A:$G,2,FALSE)</f>
        <v>#N/A</v>
      </c>
      <c r="D51" s="30"/>
      <c r="E51" s="91" t="e">
        <f>+VLOOKUP(B51,cennik!$A:$G,3,FALSE)</f>
        <v>#N/A</v>
      </c>
      <c r="F51" s="91" t="e">
        <f>+E51*D51</f>
        <v>#N/A</v>
      </c>
      <c r="G51" s="92" t="e">
        <f t="shared" si="3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">
      <c r="A52" s="422" t="str">
        <f>texty!$A$228</f>
        <v> Tlmič dorazu MINI do 25 kg (pár)</v>
      </c>
      <c r="B52" s="16">
        <v>350024</v>
      </c>
      <c r="C52" s="25" t="str">
        <f>+VLOOKUP(B52,cennik!$A:$G,2,FALSE)</f>
        <v>SEVROLL 20375-BL tlmič dorazu Simple/Blue 10/18 25kg L+P</v>
      </c>
      <c r="D52" s="530"/>
      <c r="E52" s="91">
        <f>+VLOOKUP(B52,cennik!$A:$G,3,FALSE)</f>
        <v>24.48705</v>
      </c>
      <c r="F52" s="96">
        <f>+CEILING(D52,1)*E52</f>
        <v>0</v>
      </c>
      <c r="G52" s="92">
        <f t="shared" si="3"/>
        <v>0</v>
      </c>
      <c r="H52" s="6" t="str">
        <f>cennik!$B$2</f>
        <v>EUR</v>
      </c>
      <c r="I52" s="469" t="str">
        <f>IFERROR(IF((VLOOKUP(B52,cennik!A:L,12,0))="O",texty!$A$250,""),"")</f>
        <v>Na objednávku</v>
      </c>
      <c r="J52" s="191" t="str">
        <f>IF(D52&gt;0,IF(VLOOKUP(B52,cennik!A:L,12,FALSE)="O",1,""),"")</f>
        <v/>
      </c>
      <c r="K52" s="6"/>
    </row>
    <row r="53" spans="1:11" ht="12.75" customHeight="1" x14ac:dyDescent="0.2">
      <c r="A53" s="422" t="str">
        <f>texty!$A$229</f>
        <v> Tlmič dorazu MINI do 40 kg (pár)</v>
      </c>
      <c r="B53" s="24">
        <v>293776</v>
      </c>
      <c r="C53" s="25" t="str">
        <f>+VLOOKUP(B53,cennik!$A:$G,2,FALSE)</f>
        <v>SEVROLL tlmič doraz.Simple 10/18, 25 - 40kg (L+P)</v>
      </c>
      <c r="D53" s="29"/>
      <c r="E53" s="91">
        <f>+VLOOKUP(B53,cennik!$A:$G,3,FALSE)</f>
        <v>24.48705</v>
      </c>
      <c r="F53" s="96">
        <f>+CEILING(D53,1)*E53</f>
        <v>0</v>
      </c>
      <c r="G53" s="92">
        <f t="shared" si="3"/>
        <v>0</v>
      </c>
      <c r="H53" s="6" t="str">
        <f>cennik!$B$2</f>
        <v>EUR</v>
      </c>
      <c r="I53" s="469" t="str">
        <f>IFERROR(IF((VLOOKUP(B53,cennik!A:L,12,0))="O",texty!$A$250,""),"")</f>
        <v>Na objednávku</v>
      </c>
      <c r="J53" s="191" t="str">
        <f>IF(D53&gt;0,IF(VLOOKUP(B53,cennik!A:L,12,FALSE)="O",1,""),"")</f>
        <v/>
      </c>
      <c r="K53" s="6"/>
    </row>
    <row r="54" spans="1:11" ht="12.75" customHeight="1" x14ac:dyDescent="0.2">
      <c r="A54" s="532"/>
      <c r="B54" s="537"/>
      <c r="C54" s="533"/>
      <c r="D54" s="531"/>
      <c r="E54" s="534"/>
      <c r="F54" s="538"/>
      <c r="G54" s="535"/>
      <c r="H54" s="536"/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">
      <c r="A55" s="532"/>
      <c r="B55" s="537"/>
      <c r="C55" s="533"/>
      <c r="D55" s="531"/>
      <c r="E55" s="534"/>
      <c r="F55" s="538"/>
      <c r="G55" s="535"/>
      <c r="H55" s="536"/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">
      <c r="A56" s="532"/>
      <c r="B56" s="537"/>
      <c r="C56" s="533"/>
      <c r="D56" s="531"/>
      <c r="E56" s="534"/>
      <c r="F56" s="538"/>
      <c r="G56" s="535"/>
      <c r="H56" s="536"/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">
      <c r="A57" s="7" t="str">
        <f>texty!$A$92</f>
        <v>spojovacia skrutka</v>
      </c>
      <c r="B57" s="16">
        <v>89244</v>
      </c>
      <c r="C57" s="25" t="str">
        <f>+VLOOKUP(B57,cennik!$A:$G,2,FALSE)</f>
        <v>SEVROLL 20001 skrutkovrut 6,3x32 SEVROLL a Simple</v>
      </c>
      <c r="D57" s="30"/>
      <c r="E57" s="91">
        <f>+VLOOKUP(B57,cennik!$A:$G,3,FALSE)</f>
        <v>0.15482000000000001</v>
      </c>
      <c r="F57" s="91">
        <f>+E57*D57</f>
        <v>0</v>
      </c>
      <c r="G57" s="92">
        <f t="shared" si="3"/>
        <v>0</v>
      </c>
      <c r="H57" s="6" t="str">
        <f>cennik!$B$2</f>
        <v>EUR</v>
      </c>
      <c r="I57" s="469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1" ht="12.75" customHeight="1" x14ac:dyDescent="0.2">
      <c r="I58" s="469" t="str">
        <f>IFERROR(IF((VLOOKUP(B58,cennik!A:L,12,0))="O",texty!$A$250,""),"")</f>
        <v/>
      </c>
      <c r="J58" s="191"/>
      <c r="K58" s="6"/>
    </row>
    <row r="59" spans="1:11" ht="12.75" customHeight="1" x14ac:dyDescent="0.2">
      <c r="H59" s="5"/>
      <c r="I59" s="469" t="str">
        <f>IFERROR(IF((VLOOKUP(B59,cennik!A:L,12,0))="O",texty!$A$250,""),"")</f>
        <v/>
      </c>
      <c r="J59" s="191" t="str">
        <f>IF(D57&gt;0,IF(VLOOKUP(B57,cennik!A:L,12,FALSE)="O",1,""),"")</f>
        <v/>
      </c>
      <c r="K59" s="6"/>
    </row>
    <row r="60" spans="1:11" ht="12.75" customHeight="1" x14ac:dyDescent="0.2">
      <c r="A60" s="41" t="e">
        <f>CONCATENATE(texty!$A$6,ROUND((C13/1000),1),texty!$A$8)</f>
        <v>#DIV/0!</v>
      </c>
      <c r="B60" s="42"/>
      <c r="C60" s="43"/>
      <c r="D60" s="44"/>
      <c r="E60" s="97"/>
      <c r="F60" s="97"/>
      <c r="G60" s="98"/>
      <c r="I60" s="469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">
      <c r="C61" s="40" t="str">
        <f>texty!$A$10</f>
        <v>Potrebná dĺžka tesnenia pri celkovom presklení (nutné objednať celé metre)</v>
      </c>
      <c r="D61" s="39" t="e">
        <f>CEILING(((B9+C9)*2/1000*D4),1)</f>
        <v>#DIV/0!</v>
      </c>
      <c r="E61" s="94"/>
      <c r="F61" s="94"/>
      <c r="G61" s="94"/>
      <c r="I61" s="469" t="str">
        <f>IFERROR(IF((VLOOKUP(B61,cennik!A:L,12,0))="O",texty!$A$250,""),"")</f>
        <v/>
      </c>
      <c r="J61" s="191"/>
      <c r="K61" s="6"/>
    </row>
    <row r="62" spans="1:11" ht="12.75" customHeight="1" x14ac:dyDescent="0.2">
      <c r="A62" s="48" t="str">
        <f>texty!$A$12</f>
        <v>(pri kombináciach s H profilmi je nutné pripočítať potrebnú dĺžku - tesnenie musí byť po celom odvode každého skla</v>
      </c>
      <c r="B62" s="46"/>
      <c r="C62" s="47"/>
      <c r="D62" s="46"/>
      <c r="E62" s="99"/>
      <c r="F62" s="99"/>
      <c r="G62" s="99"/>
      <c r="I62" s="469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2.75" customHeight="1" x14ac:dyDescent="0.2">
      <c r="A63" s="7" t="str">
        <f>System10!A59</f>
        <v>tesnenie na sklo 4mm</v>
      </c>
      <c r="B63" s="17">
        <v>89238</v>
      </c>
      <c r="C63" s="25" t="str">
        <f>+VLOOKUP(B63,cennik!$A:$G,2,FALSE)</f>
        <v>SEVROLL 20031-SV tesnenie na sklo 10/4mm</v>
      </c>
      <c r="D63" s="45"/>
      <c r="E63" s="91">
        <f>+VLOOKUP(B63,cennik!$A:$G,3,FALSE)</f>
        <v>0.79988999999999999</v>
      </c>
      <c r="F63" s="96">
        <f>+CEILING(D63,1)*E63</f>
        <v>0</v>
      </c>
      <c r="G63" s="92">
        <f>+F63*(100-$G$29)/100</f>
        <v>0</v>
      </c>
      <c r="H63" s="6" t="str">
        <f>cennik!$B$2</f>
        <v>EUR</v>
      </c>
      <c r="I63" s="469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">
      <c r="A64" s="7" t="str">
        <f>texty!A103</f>
        <v>tesnenie na sklo 4,5 mm</v>
      </c>
      <c r="B64" s="17">
        <v>135164</v>
      </c>
      <c r="C64" s="25" t="str">
        <f>+VLOOKUP(B64,cennik!$A:$G,2,FALSE)</f>
        <v>SEVROLL 20032-SV tesnenie na sklo 10/4,5mm</v>
      </c>
      <c r="D64" s="45"/>
      <c r="E64" s="91">
        <f>+VLOOKUP(B64,cennik!$A:$G,3,FALSE)</f>
        <v>0.79988999999999999</v>
      </c>
      <c r="F64" s="96">
        <f>+CEILING(D64,1)*E64</f>
        <v>0</v>
      </c>
      <c r="G64" s="92">
        <f>+F64*(100-$G$29)/100</f>
        <v>0</v>
      </c>
      <c r="H64" s="6" t="str">
        <f>cennik!$B$2</f>
        <v>EUR</v>
      </c>
      <c r="I64" s="469" t="str">
        <f>IFERROR(IF((VLOOKUP(B64,cennik!A:L,12,0))="O",texty!$A$250,""),"")</f>
        <v/>
      </c>
      <c r="J64" s="191" t="str">
        <f>IF(D64&gt;0,IF(VLOOKUP(B64,cennik!A:L,12,FALSE)="O",1,""),"")</f>
        <v/>
      </c>
      <c r="K64" s="3"/>
    </row>
    <row r="65" spans="1:13" ht="12.75" customHeight="1" x14ac:dyDescent="0.2">
      <c r="A65" s="7" t="str">
        <f>System10!A61</f>
        <v>tesnenie na sklo 6mm</v>
      </c>
      <c r="B65" s="17">
        <v>89243</v>
      </c>
      <c r="C65" s="25" t="str">
        <f>+VLOOKUP(B65,cennik!$A:$G,2,FALSE)</f>
        <v>SEVROLL 20033-SV tesnenie na sklo 10/6mm</v>
      </c>
      <c r="D65" s="45"/>
      <c r="E65" s="91">
        <f>+VLOOKUP(B65,cennik!$A:$G,3,FALSE)</f>
        <v>0.79988999999999999</v>
      </c>
      <c r="F65" s="96">
        <f>+CEILING(D65,1)*E65</f>
        <v>0</v>
      </c>
      <c r="G65" s="92">
        <f>+F65*(100-$G$29)/100</f>
        <v>0</v>
      </c>
      <c r="H65" s="6" t="str">
        <f>cennik!$B$2</f>
        <v>EUR</v>
      </c>
      <c r="I65" s="469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5" x14ac:dyDescent="0.2">
      <c r="A66" s="271" t="str">
        <f>texty!$A$190</f>
        <v>Ďalšie príslušenstvo</v>
      </c>
      <c r="E66" s="94"/>
      <c r="F66" s="94"/>
      <c r="G66" s="94"/>
      <c r="I66" s="469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">
      <c r="A67" s="271" t="str">
        <f>texty!$A$244</f>
        <v>Technický nákres tohoto systému</v>
      </c>
      <c r="B67" s="167">
        <v>128842</v>
      </c>
      <c r="C67" s="167" t="str">
        <f>VLOOKUP(B67,cennik!A:C,2,0)</f>
        <v>SEVROLL 20144 vrták stupňovitý 6,5/9,5mm</v>
      </c>
      <c r="D67" s="45"/>
      <c r="E67" s="91">
        <f>+VLOOKUP(B67,cennik!$A:$G,3,FALSE)</f>
        <v>26.752659999999999</v>
      </c>
      <c r="F67" s="96">
        <f>+CEILING(D67,1)*E67</f>
        <v>0</v>
      </c>
      <c r="G67" s="92">
        <f>F67</f>
        <v>0</v>
      </c>
      <c r="H67" s="6" t="str">
        <f>cennik!$B$2</f>
        <v>EUR</v>
      </c>
      <c r="I67" s="469" t="str">
        <f>IFERROR(IF((VLOOKUP(B67,cennik!A:L,12,0))="O",texty!$A$250,""),"")</f>
        <v/>
      </c>
      <c r="J67" s="191" t="str">
        <f>IF(D67&gt;0,IF(VLOOKUP(B67,cennik!A:L,12,FALSE)="O",1,""),"")</f>
        <v/>
      </c>
      <c r="K67" s="6"/>
    </row>
    <row r="68" spans="1:13" ht="12.75" customHeight="1" x14ac:dyDescent="0.2">
      <c r="E68" s="94"/>
      <c r="F68" s="94"/>
      <c r="G68" s="94"/>
      <c r="I68" s="181"/>
      <c r="J68" s="181"/>
    </row>
    <row r="69" spans="1:13" ht="12.75" customHeight="1" x14ac:dyDescent="0.2">
      <c r="B69" s="8"/>
      <c r="C69" s="8"/>
      <c r="D69" s="76" t="str">
        <f>texty!$A$15</f>
        <v>CELKOM  (bez DPH)</v>
      </c>
      <c r="E69" s="99"/>
      <c r="F69" s="101" t="e">
        <f>SUM(F31:F67)</f>
        <v>#N/A</v>
      </c>
      <c r="G69" s="101" t="e">
        <f>SUM(G31:G67)</f>
        <v>#N/A</v>
      </c>
      <c r="H69" s="6" t="str">
        <f>cennik!$B$2</f>
        <v>EUR</v>
      </c>
      <c r="I69" s="181"/>
      <c r="J69" s="181"/>
      <c r="K69" s="5" t="str">
        <f>texty!A128</f>
        <v xml:space="preserve">strieborná </v>
      </c>
    </row>
    <row r="70" spans="1:13" ht="12.75" customHeight="1" x14ac:dyDescent="0.2">
      <c r="A70" s="75" t="str">
        <f>System10!$A$67</f>
        <v>Vaša poznámka:</v>
      </c>
      <c r="B70" s="656"/>
      <c r="C70" s="657"/>
      <c r="D70" s="657"/>
      <c r="E70" s="657"/>
      <c r="F70" s="657"/>
      <c r="G70" s="657"/>
      <c r="K70" s="5" t="str">
        <f>texty!A130</f>
        <v>oliva</v>
      </c>
    </row>
    <row r="71" spans="1:13" ht="12.75" customHeight="1" x14ac:dyDescent="0.2">
      <c r="A71" s="648">
        <f>profil!$U$15</f>
        <v>0</v>
      </c>
      <c r="B71" s="649"/>
      <c r="C71" s="649"/>
      <c r="D71" s="649"/>
      <c r="E71" s="649"/>
      <c r="F71" s="649"/>
      <c r="G71" s="649"/>
    </row>
    <row r="72" spans="1:13" ht="12.75" customHeight="1" x14ac:dyDescent="0.2">
      <c r="A72" s="650">
        <f>IF(M72=1,texty!$A$215,IF(J72&gt;0,texty!$A$214,""))</f>
        <v>0</v>
      </c>
      <c r="B72" s="650"/>
      <c r="C72" s="650"/>
      <c r="D72" s="650"/>
      <c r="E72" s="650"/>
      <c r="F72" s="650"/>
      <c r="G72" s="650"/>
      <c r="J72" s="6" t="e">
        <f>SUM(J31:J67)</f>
        <v>#N/A</v>
      </c>
      <c r="M72" s="5">
        <f>IF(ISERROR(J72),1,0)</f>
        <v>1</v>
      </c>
    </row>
    <row r="73" spans="1:13" ht="12.75" customHeight="1" x14ac:dyDescent="0.2"/>
    <row r="85" spans="1:1" ht="12.75" hidden="1" customHeight="1" x14ac:dyDescent="0.2">
      <c r="A85" s="5">
        <v>3</v>
      </c>
    </row>
  </sheetData>
  <sheetProtection algorithmName="SHA-512" hashValue="ISBRsN8tiJZnUTO/jmhjrKrZ1mM/HVSP6Wi3YKcAo+KF9ntgv0413U1wV5dL+tFQ+UtfCDhbXj4949x5rM9jxQ==" saltValue="6NUMEGs+DtO0JySZqp9i7Q==" spinCount="100000" sheet="1" objects="1" scenarios="1" selectLockedCell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58" priority="4">
      <formula>SUM($D$52:$D$53)&gt;0</formula>
    </cfRule>
  </conditionalFormatting>
  <conditionalFormatting sqref="A16">
    <cfRule type="expression" dxfId="157" priority="3">
      <formula>SUM($D$55:$D$56)&gt;0</formula>
    </cfRule>
  </conditionalFormatting>
  <conditionalFormatting sqref="D6">
    <cfRule type="expression" dxfId="155" priority="8">
      <formula>$D$4=4</formula>
    </cfRule>
    <cfRule type="expression" dxfId="154" priority="9">
      <formula>$D$4&lt;&gt;4</formula>
    </cfRule>
  </conditionalFormatting>
  <conditionalFormatting sqref="D57">
    <cfRule type="expression" dxfId="153" priority="5" stopIfTrue="1">
      <formula>IF(#REF!&gt;0,IF($D$56=0,1,0),0)</formula>
    </cfRule>
  </conditionalFormatting>
  <conditionalFormatting sqref="F4:I6">
    <cfRule type="expression" dxfId="152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 2740 mm" sqref="B4" xr:uid="{00000000-0002-0000-1000-000002000000}">
      <formula1>0</formula1>
      <formula2>2740</formula2>
    </dataValidation>
    <dataValidation type="list" allowBlank="1" showInputMessage="1" showErrorMessage="1" sqref="E5:E6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4">
    <pageSetUpPr fitToPage="1"/>
  </sheetPr>
  <dimension ref="A1:O74"/>
  <sheetViews>
    <sheetView showGridLines="0" zoomScale="90" zoomScaleNormal="90" workbookViewId="0">
      <selection activeCell="N7" sqref="N7"/>
    </sheetView>
  </sheetViews>
  <sheetFormatPr defaultColWidth="5.42578125" defaultRowHeight="12.75" customHeight="1" zeroHeight="1" x14ac:dyDescent="0.2"/>
  <cols>
    <col min="1" max="1" width="35.7109375" style="5" customWidth="1"/>
    <col min="2" max="2" width="15.7109375" style="5" customWidth="1"/>
    <col min="3" max="3" width="37.42578125" style="5" customWidth="1"/>
    <col min="4" max="4" width="14" style="5" customWidth="1"/>
    <col min="5" max="5" width="13.42578125" style="5" customWidth="1"/>
    <col min="6" max="6" width="13.140625" style="5" customWidth="1"/>
    <col min="7" max="7" width="15.140625" style="5" bestFit="1" customWidth="1"/>
    <col min="8" max="8" width="4.7109375" style="6" bestFit="1" customWidth="1"/>
    <col min="9" max="9" width="30.140625" style="6" customWidth="1"/>
    <col min="10" max="10" width="14.140625" style="6" customWidth="1"/>
    <col min="11" max="11" width="5.7109375" style="5" customWidth="1"/>
    <col min="12" max="12" width="5.42578125" style="5" customWidth="1"/>
    <col min="13" max="13" width="4.7109375" style="5" customWidth="1"/>
    <col min="14" max="14" width="7.140625" style="5" customWidth="1"/>
    <col min="15" max="15" width="8.7109375" style="5" customWidth="1"/>
    <col min="16" max="16" width="7.140625" style="5" customWidth="1"/>
    <col min="17" max="255" width="9.140625" style="5" customWidth="1"/>
    <col min="256" max="16384" width="5.42578125" style="5"/>
  </cols>
  <sheetData>
    <row r="1" spans="1:15" ht="13.5" customHeight="1" thickBot="1" x14ac:dyDescent="0.25">
      <c r="A1" s="7"/>
      <c r="B1" s="8"/>
      <c r="C1" s="8"/>
      <c r="D1" s="8"/>
      <c r="E1" s="8"/>
      <c r="F1" s="6"/>
      <c r="G1" s="6"/>
      <c r="K1" s="6">
        <v>2</v>
      </c>
      <c r="L1" s="5">
        <v>-7</v>
      </c>
    </row>
    <row r="2" spans="1:15" ht="18.75" customHeight="1" x14ac:dyDescent="0.2">
      <c r="A2" s="523" t="s">
        <v>221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15" ht="26.25" thickBot="1" x14ac:dyDescent="0.25">
      <c r="A3" s="524" t="str">
        <f>CONCATENATE(texty!A243," ",5,".",91)</f>
        <v>katalóg kovania 2018 str. 5.91</v>
      </c>
      <c r="B3" s="420" t="str">
        <f>CONCATENATE(texty!A34," / max.         2 738 mm /")</f>
        <v>výška / max.         2 738 mm /</v>
      </c>
      <c r="C3" s="9" t="str">
        <f>CONCATENATE(texty!A35,"/max 6000/")</f>
        <v>šírka/max 6000/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15" ht="18" customHeight="1" x14ac:dyDescent="0.2">
      <c r="A4" s="10" t="str">
        <f>+System10!A4</f>
        <v>VNÚTORNÝ ROZMER SKRINE:</v>
      </c>
      <c r="B4" s="56">
        <v>1600</v>
      </c>
      <c r="C4" s="56">
        <v>3000</v>
      </c>
      <c r="D4" s="22">
        <v>3</v>
      </c>
      <c r="E4" s="22" t="s">
        <v>99</v>
      </c>
      <c r="F4" s="655"/>
      <c r="G4" s="655"/>
      <c r="H4" s="655"/>
      <c r="I4" s="655"/>
      <c r="J4" s="190"/>
      <c r="K4" s="8"/>
    </row>
    <row r="5" spans="1:15" ht="18" customHeight="1" x14ac:dyDescent="0.2">
      <c r="A5" s="660" t="str">
        <f>IF(E4&lt;&gt;K74,texty!$A$3,"")</f>
        <v>táto položka je na objednávku, počítajte prosím s dodaciou  lehotou  do 4 týždnov</v>
      </c>
      <c r="B5" s="660"/>
      <c r="C5" s="660"/>
      <c r="D5" s="660"/>
      <c r="E5" s="660"/>
      <c r="F5" s="655"/>
      <c r="G5" s="655"/>
      <c r="H5" s="655"/>
      <c r="I5" s="655"/>
      <c r="J5" s="190"/>
      <c r="K5" s="3"/>
    </row>
    <row r="6" spans="1:15" ht="18" customHeight="1" x14ac:dyDescent="0.2">
      <c r="A6" s="10"/>
      <c r="B6" s="11" t="str">
        <f>IF(D4=4,texty!A227,"")</f>
        <v/>
      </c>
      <c r="D6" s="285">
        <v>3</v>
      </c>
      <c r="E6" s="8"/>
      <c r="F6" s="655"/>
      <c r="G6" s="655"/>
      <c r="H6" s="655"/>
      <c r="I6" s="655"/>
      <c r="J6" s="190"/>
      <c r="K6" s="6"/>
    </row>
    <row r="7" spans="1:15" ht="12.75" customHeight="1" x14ac:dyDescent="0.2">
      <c r="A7" s="10" t="str">
        <f>+System10!$A$7</f>
        <v>krídlo dverí:</v>
      </c>
      <c r="B7" s="57">
        <f>+B4-38</f>
        <v>1562</v>
      </c>
      <c r="C7" s="59">
        <f>+((C4-3+25*(D4-1))/D4+IF(AND(D4=4,D6=2),L1,0))</f>
        <v>1015.6666666666666</v>
      </c>
      <c r="D7" s="8"/>
      <c r="E7" s="8"/>
      <c r="F7" s="50" t="str">
        <f>texty!$A$39</f>
        <v>V prípade použitia skla ako výplne</v>
      </c>
      <c r="G7" s="6"/>
      <c r="K7" s="6"/>
      <c r="N7" s="17">
        <f>IF(C4&lt;1801,1800,IF(C4&lt;2501,2500,IF(C4&lt;3501,3500,IF(C4&lt;4301,4300,IF(C4&lt;6001,6000,"chybná hodnota")))))</f>
        <v>3500</v>
      </c>
      <c r="O7" s="21" t="str">
        <f>+E4</f>
        <v>stříbrná</v>
      </c>
    </row>
    <row r="8" spans="1:15" ht="12.75" customHeight="1" x14ac:dyDescent="0.2">
      <c r="A8" s="10" t="str">
        <f>texty!$A$48</f>
        <v>rozmer výplne 18mm:</v>
      </c>
      <c r="B8" s="57">
        <f>+B7-68</f>
        <v>1494</v>
      </c>
      <c r="C8" s="59">
        <f>+C7-31</f>
        <v>984.66666666666663</v>
      </c>
      <c r="D8" s="8"/>
      <c r="E8" s="8"/>
      <c r="F8" s="50" t="str">
        <f>texty!$A$40</f>
        <v>je treba použiť bezpečnostné sklo</v>
      </c>
      <c r="G8" s="6"/>
      <c r="K8" s="6"/>
      <c r="N8" s="23" t="str">
        <f>CONCATENATE(N7,"-",E4)</f>
        <v>3500-stříbrná</v>
      </c>
      <c r="O8" s="21"/>
    </row>
    <row r="9" spans="1:15" ht="12.75" customHeight="1" x14ac:dyDescent="0.2">
      <c r="A9" s="10" t="str">
        <f>+System10!$A$9</f>
        <v>rozmer zrkadla / skla</v>
      </c>
      <c r="B9" s="61">
        <f>+B8</f>
        <v>1494</v>
      </c>
      <c r="C9" s="59">
        <f>C8-4</f>
        <v>980.66666666666663</v>
      </c>
      <c r="D9" s="8"/>
      <c r="E9" s="8"/>
      <c r="F9" s="50" t="str">
        <f>texty!$A$41</f>
        <v>alebo sklo zabezpečiť ochrannou fóliou</v>
      </c>
      <c r="G9" s="6"/>
      <c r="K9" s="37"/>
      <c r="L9" s="36"/>
    </row>
    <row r="10" spans="1:15" ht="12.75" customHeight="1" x14ac:dyDescent="0.2">
      <c r="A10" s="10" t="str">
        <f>+System10!$A$12</f>
        <v>úchytková lišta</v>
      </c>
      <c r="B10" s="511">
        <f>B7</f>
        <v>1562</v>
      </c>
      <c r="D10" s="8"/>
      <c r="E10" s="8"/>
      <c r="F10" s="3" t="str">
        <f>texty!$A$43</f>
        <v>Maximálna hmotnosť krídla je 50 kg</v>
      </c>
      <c r="G10" s="6"/>
      <c r="N10" s="17"/>
      <c r="O10" s="21"/>
    </row>
    <row r="11" spans="1:15" ht="12.75" customHeight="1" x14ac:dyDescent="0.2">
      <c r="A11" s="10" t="str">
        <f>texty!$A$74</f>
        <v>dĺžka vodiacej a krycej lišty krídla</v>
      </c>
      <c r="B11" s="64"/>
      <c r="C11" s="68">
        <f>C7-47.4</f>
        <v>968.26666666666665</v>
      </c>
      <c r="D11" s="8"/>
      <c r="E11" s="8"/>
      <c r="F11" s="3"/>
      <c r="G11" s="6"/>
      <c r="K11" s="36"/>
      <c r="N11" s="23"/>
      <c r="O11" s="21"/>
    </row>
    <row r="12" spans="1:15" ht="12.75" customHeight="1" x14ac:dyDescent="0.2">
      <c r="A12" s="7" t="str">
        <f>System10!A13</f>
        <v>dĺžka tesnenia na sklo na jednom krídle</v>
      </c>
      <c r="B12" s="58"/>
      <c r="C12" s="144">
        <f>B8*2+C8*2</f>
        <v>4957.333333333333</v>
      </c>
      <c r="D12" s="8"/>
      <c r="E12" s="8"/>
      <c r="F12" s="6"/>
      <c r="G12" s="6"/>
      <c r="K12" s="6"/>
    </row>
    <row r="13" spans="1:15" ht="12.75" customHeight="1" x14ac:dyDescent="0.2">
      <c r="A13" s="635" t="str">
        <f>IF(SUM(D44:D45)&gt;0,texty!A246,"")</f>
        <v/>
      </c>
      <c r="B13" s="635"/>
      <c r="C13" s="86"/>
      <c r="D13" s="8"/>
      <c r="E13" s="8"/>
      <c r="G13" s="40"/>
      <c r="K13" s="35"/>
    </row>
    <row r="14" spans="1:15" ht="25.5" x14ac:dyDescent="0.2">
      <c r="A14" s="635"/>
      <c r="B14" s="635"/>
      <c r="C14" s="502" t="str">
        <f>texty!A78</f>
        <v>dodatočné odpočty výšky vypočítaných výplní pri použití deliacich profilov výplne:</v>
      </c>
      <c r="D14" s="8"/>
      <c r="E14" s="8"/>
      <c r="K14" s="6"/>
    </row>
    <row r="18" spans="1:10" x14ac:dyDescent="0.2">
      <c r="A18" s="10"/>
      <c r="C18" s="12"/>
      <c r="D18" s="8"/>
      <c r="E18" s="8"/>
      <c r="F18" s="6"/>
      <c r="G18" s="6"/>
      <c r="I18" s="6" t="e">
        <f>IF(B34=data!$D$64,texty!$A$239,+VLOOKUP(B34,cennik!$A:$G,2,FALSE))</f>
        <v>#N/A</v>
      </c>
    </row>
    <row r="19" spans="1:10" ht="14.25" customHeight="1" x14ac:dyDescent="0.2">
      <c r="A19" s="10"/>
      <c r="B19" s="484" t="str">
        <f>texty!A242</f>
        <v>dilatácia 4 mm</v>
      </c>
      <c r="C19" s="27"/>
      <c r="D19" s="8"/>
      <c r="E19" s="8"/>
      <c r="F19" s="6"/>
      <c r="G19" s="6"/>
    </row>
    <row r="20" spans="1:10" ht="16.5" customHeight="1" x14ac:dyDescent="0.2">
      <c r="A20" s="10"/>
      <c r="B20" s="8"/>
      <c r="C20" s="8"/>
      <c r="E20" s="8"/>
      <c r="F20" s="6"/>
      <c r="G20" s="6"/>
    </row>
    <row r="21" spans="1:10" ht="16.5" customHeight="1" x14ac:dyDescent="0.2">
      <c r="B21" s="8"/>
      <c r="C21" s="8"/>
      <c r="D21" s="13"/>
      <c r="E21" s="8"/>
      <c r="F21" s="6"/>
      <c r="G21" s="6"/>
    </row>
    <row r="22" spans="1:10" ht="12.75" customHeight="1" x14ac:dyDescent="0.2">
      <c r="B22" s="8"/>
      <c r="C22" s="8"/>
      <c r="D22" s="8"/>
      <c r="E22" s="8"/>
      <c r="F22" s="6"/>
    </row>
    <row r="23" spans="1:10" ht="12.75" customHeight="1" x14ac:dyDescent="0.2">
      <c r="A23" s="39"/>
      <c r="B23" s="27"/>
      <c r="C23" s="8"/>
      <c r="D23" s="8"/>
      <c r="E23" s="8"/>
      <c r="F23" s="6"/>
      <c r="G23" s="134"/>
    </row>
    <row r="24" spans="1:10" ht="12.75" customHeight="1" x14ac:dyDescent="0.2">
      <c r="A24" s="7"/>
      <c r="B24" s="8"/>
      <c r="C24" s="8"/>
      <c r="D24" s="8"/>
      <c r="E24" s="8"/>
      <c r="F24" s="6"/>
      <c r="G24" s="134" t="str">
        <f>+System10!G25</f>
        <v>partnerská zľava:</v>
      </c>
    </row>
    <row r="25" spans="1:10" ht="12.75" customHeight="1" x14ac:dyDescent="0.2">
      <c r="A25" s="14" t="str">
        <f>+System10!$A$26</f>
        <v>Objednávacie kódy, ceny:</v>
      </c>
      <c r="B25" s="8"/>
      <c r="C25" s="8"/>
      <c r="D25" s="8"/>
      <c r="E25" s="8"/>
      <c r="F25" s="6"/>
      <c r="G25" s="143">
        <f>profil!C15</f>
        <v>0</v>
      </c>
      <c r="H25" s="6" t="s">
        <v>57</v>
      </c>
    </row>
    <row r="26" spans="1:10" s="82" customFormat="1" ht="12.75" customHeight="1" x14ac:dyDescent="0.2">
      <c r="A26" s="80"/>
      <c r="B26" s="81" t="str">
        <f>+System10!B27</f>
        <v>kód</v>
      </c>
      <c r="C26" s="81" t="str">
        <f>+System10!C27</f>
        <v>názov</v>
      </c>
      <c r="D26" s="81" t="str">
        <f>+System10!D27</f>
        <v>ks</v>
      </c>
      <c r="E26" s="81" t="str">
        <f>+System10!E27</f>
        <v>cena/ks</v>
      </c>
      <c r="F26" s="18" t="str">
        <f>+System10!F27</f>
        <v>cena celkom</v>
      </c>
      <c r="G26" s="18" t="str">
        <f>+System10!G27</f>
        <v>celkom netto:</v>
      </c>
      <c r="H26" s="18"/>
      <c r="I26" s="18" t="str">
        <f>texty!A29</f>
        <v>Poznámka:</v>
      </c>
      <c r="J26" s="18"/>
    </row>
    <row r="27" spans="1:10" ht="12.75" customHeight="1" x14ac:dyDescent="0.2">
      <c r="A27" s="7" t="str">
        <f>System10!A28</f>
        <v>Horný profil:</v>
      </c>
      <c r="B27" s="8" t="e">
        <f>+VLOOKUP(N8,data!$C$718:$D$722,2,0)</f>
        <v>#N/A</v>
      </c>
      <c r="C27" s="38" t="e">
        <f>+VLOOKUP(B27,cennik!$A:$G,2,FALSE)</f>
        <v>#N/A</v>
      </c>
      <c r="D27" s="8">
        <v>1</v>
      </c>
      <c r="E27" s="102" t="e">
        <f>+VLOOKUP(B27,cennik!$A:$G,3,FALSE)</f>
        <v>#N/A</v>
      </c>
      <c r="F27" s="102" t="e">
        <f t="shared" ref="F27:F33" si="0">+E27*D27</f>
        <v>#N/A</v>
      </c>
      <c r="G27" s="104" t="e">
        <f t="shared" ref="G27:G33" si="1">+F27*(100-$G$25)/100</f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</row>
    <row r="28" spans="1:10" ht="12.75" customHeight="1" x14ac:dyDescent="0.2">
      <c r="A28" s="72" t="str">
        <f>System10!A29</f>
        <v>spodný profil:</v>
      </c>
      <c r="B28" s="8" t="e">
        <f>+VLOOKUP($N$8,data!$C$723:$D$727,2,0)</f>
        <v>#N/A</v>
      </c>
      <c r="C28" s="38" t="e">
        <f>+VLOOKUP(B28,cennik!$A:$G,2,FALSE)</f>
        <v>#N/A</v>
      </c>
      <c r="D28" s="8">
        <v>1</v>
      </c>
      <c r="E28" s="102" t="e">
        <f>+VLOOKUP(B28,cennik!$A:$G,3,FALSE)</f>
        <v>#N/A</v>
      </c>
      <c r="F28" s="102" t="e">
        <f t="shared" si="0"/>
        <v>#N/A</v>
      </c>
      <c r="G28" s="104" t="e">
        <f t="shared" si="1"/>
        <v>#N/A</v>
      </c>
      <c r="H28" s="6" t="str">
        <f>cennik!$B$2</f>
        <v>EUR</v>
      </c>
      <c r="I28" s="469" t="str">
        <f>IFERROR(IF((VLOOKUP(B28,cennik!A:L,12,0))="O",texty!$A$250,""),"")</f>
        <v/>
      </c>
      <c r="J28" s="191" t="e">
        <f>IF(D28&gt;0,IF(VLOOKUP(B28,cennik!A:L,12,FALSE)="O",1,""),"")</f>
        <v>#N/A</v>
      </c>
    </row>
    <row r="29" spans="1:10" ht="12.75" customHeight="1" x14ac:dyDescent="0.2">
      <c r="A29" s="72" t="str">
        <f>texty!A83</f>
        <v>krycí profil (maska):</v>
      </c>
      <c r="B29" s="8" t="e">
        <f>+VLOOKUP($N$8,data!$C$739:$D$743,2,0)</f>
        <v>#N/A</v>
      </c>
      <c r="C29" s="38" t="e">
        <f>+VLOOKUP(B29,cennik!$A:$G,2,FALSE)</f>
        <v>#N/A</v>
      </c>
      <c r="D29" s="8">
        <v>1</v>
      </c>
      <c r="E29" s="102" t="e">
        <f>+VLOOKUP(B29,cennik!$A:$G,3,FALSE)</f>
        <v>#N/A</v>
      </c>
      <c r="F29" s="102" t="e">
        <f>+E29*D29</f>
        <v>#N/A</v>
      </c>
      <c r="G29" s="104" t="e">
        <f>+F29*(100-$G$25)/100</f>
        <v>#N/A</v>
      </c>
      <c r="H29" s="6" t="str">
        <f>cennik!$B$2</f>
        <v>EUR</v>
      </c>
      <c r="I29" s="469" t="str">
        <f>IFERROR(IF((VLOOKUP(B29,cennik!A:L,12,0))="O",texty!$A$250,""),"")</f>
        <v/>
      </c>
      <c r="J29" s="191" t="e">
        <f>IF(D29&gt;0,IF(VLOOKUP(B29,cennik!A:L,12,FALSE)="O",1,""),"")</f>
        <v>#N/A</v>
      </c>
    </row>
    <row r="30" spans="1:10" ht="12.75" customHeight="1" x14ac:dyDescent="0.2">
      <c r="A30" s="7" t="str">
        <f>System10!A31</f>
        <v>horné vozíky (sady)</v>
      </c>
      <c r="B30" s="185">
        <v>229439</v>
      </c>
      <c r="C30" s="38" t="str">
        <f>+VLOOKUP(B30,cennik!$A:$G,2,FALSE)</f>
        <v>SEVROLL 10208 Maxim horný vozík 18mm - 2ks</v>
      </c>
      <c r="D30" s="17">
        <f>IF((D47+D48)&gt;D4,0,D4-(D48+D47))</f>
        <v>3</v>
      </c>
      <c r="E30" s="102">
        <f>+VLOOKUP(B30,cennik!$A:$G,3,FALSE)</f>
        <v>7.1822600000000003</v>
      </c>
      <c r="F30" s="105">
        <f t="shared" si="0"/>
        <v>21.546780000000002</v>
      </c>
      <c r="G30" s="104">
        <f t="shared" si="1"/>
        <v>21.546780000000002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</row>
    <row r="31" spans="1:10" ht="12.75" customHeight="1" x14ac:dyDescent="0.2">
      <c r="A31" s="7" t="str">
        <f>System10!A32</f>
        <v>spodné vozíky (sada)</v>
      </c>
      <c r="B31" s="16">
        <v>328321</v>
      </c>
      <c r="C31" s="38" t="str">
        <f>+VLOOKUP(B31,cennik!$A:$G,2,FALSE)</f>
        <v>SEVROLL 10238 spodný vozík WD10 V 2ks bez pozicionéru</v>
      </c>
      <c r="D31" s="17">
        <f>+D4</f>
        <v>3</v>
      </c>
      <c r="E31" s="102">
        <f>+VLOOKUP(B31,cennik!$A:$G,3,FALSE)</f>
        <v>5.9682199999999996</v>
      </c>
      <c r="F31" s="105">
        <f t="shared" si="0"/>
        <v>17.90466</v>
      </c>
      <c r="G31" s="104">
        <f t="shared" si="1"/>
        <v>17.90466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</row>
    <row r="32" spans="1:10" ht="12.75" customHeight="1" x14ac:dyDescent="0.2">
      <c r="A32" s="7" t="str">
        <f>System10!A33</f>
        <v>dorazový kartáč</v>
      </c>
      <c r="B32" s="16">
        <v>98067</v>
      </c>
      <c r="C32" s="38" t="str">
        <f>+VLOOKUP(B32,cennik!$A:$G,2,FALSE)</f>
        <v>SEVROLL dorazová kefa zásuvná 14x4mm sivá</v>
      </c>
      <c r="D32" s="17">
        <f>CEILING((B4*D4*2/1000),1)</f>
        <v>10</v>
      </c>
      <c r="E32" s="102">
        <f>+VLOOKUP(B32,cennik!$A:$G,3,FALSE)</f>
        <v>0.19361999999999999</v>
      </c>
      <c r="F32" s="105">
        <f t="shared" si="0"/>
        <v>1.9361999999999999</v>
      </c>
      <c r="G32" s="104">
        <f t="shared" si="1"/>
        <v>1.9362000000000001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</row>
    <row r="33" spans="1:10" ht="12.75" customHeight="1" x14ac:dyDescent="0.2">
      <c r="A33" s="7" t="str">
        <f>System10!A34</f>
        <v>úchytková lišta</v>
      </c>
      <c r="B33" s="16">
        <v>188680</v>
      </c>
      <c r="C33" s="38" t="str">
        <f>+VLOOKUP(B33,cennik!$A:$G,2,FALSE)</f>
        <v>SEVROLL Prosper II úch.lišta 2,7m strieborná</v>
      </c>
      <c r="D33" s="17">
        <f>IF(B10&lt;=1347,D4*2/2,D4*2)</f>
        <v>6</v>
      </c>
      <c r="E33" s="102">
        <f>+VLOOKUP(B33,cennik!$A:$G,3,FALSE)</f>
        <v>21.970980000000001</v>
      </c>
      <c r="F33" s="105">
        <f t="shared" si="0"/>
        <v>131.82588000000001</v>
      </c>
      <c r="G33" s="104">
        <f t="shared" si="1"/>
        <v>131.82588000000001</v>
      </c>
      <c r="H33" s="6" t="str">
        <f>cennik!$B$2</f>
        <v>EUR</v>
      </c>
      <c r="I33" s="469" t="str">
        <f>IFERROR(IF((VLOOKUP(B33,cennik!A:L,12,0))="O",texty!$A$250,""),"")</f>
        <v/>
      </c>
      <c r="J33" s="191" t="e">
        <f>IF(D33&gt;0,IF(VLOOKUP(B33,cennik!A:L,12,FALSE)="O",1,""),"")</f>
        <v>#N/A</v>
      </c>
    </row>
    <row r="34" spans="1:10" ht="12.75" customHeight="1" x14ac:dyDescent="0.2">
      <c r="A34" s="7" t="str">
        <f>System10!A36</f>
        <v>horný profil rámu (vodiaca lišta)</v>
      </c>
      <c r="B34" s="8" t="e">
        <f>+VLOOKUP(N8,data!$C$728:$D$739,2,0)</f>
        <v>#N/A</v>
      </c>
      <c r="C34" s="38" t="e">
        <f>IF(B34=data!$D$64,texty!$A$239,+VLOOKUP(B34,cennik!$A:$G,2,FALSE))</f>
        <v>#N/A</v>
      </c>
      <c r="D34" s="17">
        <v>1</v>
      </c>
      <c r="E34" s="102">
        <f>IFERROR(+VLOOKUP(B34,cennik!$A:$G,3,FALSE),0)</f>
        <v>0</v>
      </c>
      <c r="F34" s="105">
        <f>+E34*D34</f>
        <v>0</v>
      </c>
      <c r="G34" s="104">
        <f>+F34*(100-$G$25)/100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e">
        <f>IF(D34&gt;0,IF(VLOOKUP(B34,cennik!A:L,12,FALSE)="O",1,""),"")</f>
        <v>#N/A</v>
      </c>
    </row>
    <row r="35" spans="1:10" ht="12.75" customHeight="1" x14ac:dyDescent="0.2">
      <c r="A35" s="7" t="str">
        <f>System10!A38</f>
        <v>horizontálny spodný profil rámu</v>
      </c>
      <c r="B35" s="8" t="e">
        <f>+VLOOKUP(N8,data!$C$744:$D$754,2,0)</f>
        <v>#N/A</v>
      </c>
      <c r="C35" s="38" t="e">
        <f>IF(B35=data!$D$64,texty!$A$239,+VLOOKUP(B35,cennik!$A:$G,2,FALSE))</f>
        <v>#N/A</v>
      </c>
      <c r="D35" s="17">
        <v>1</v>
      </c>
      <c r="E35" s="102">
        <f>IFERROR(+VLOOKUP(B35,cennik!$A:$G,3,FALSE),0)</f>
        <v>0</v>
      </c>
      <c r="F35" s="105">
        <f>+E35*D35</f>
        <v>0</v>
      </c>
      <c r="G35" s="104">
        <f>+F35*(100-$G$25)/100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e">
        <f>IF(D35&gt;0,IF(VLOOKUP(B35,cennik!A:L,12,FALSE)="O",1,""),"")</f>
        <v>#N/A</v>
      </c>
    </row>
    <row r="36" spans="1:10" ht="12.75" customHeight="1" x14ac:dyDescent="0.2">
      <c r="A36" s="7" t="s">
        <v>12</v>
      </c>
      <c r="B36" s="16">
        <v>89244</v>
      </c>
      <c r="C36" s="38" t="str">
        <f>+VLOOKUP(B36,cennik!$A:$G,2,FALSE)</f>
        <v>SEVROLL 20001 skrutkovrut 6,3x32 SEVROLL a Simple</v>
      </c>
      <c r="D36" s="17">
        <f>+D4*4</f>
        <v>12</v>
      </c>
      <c r="E36" s="102">
        <f>+VLOOKUP(B36,cennik!$A:$G,3,FALSE)</f>
        <v>0.15482000000000001</v>
      </c>
      <c r="F36" s="91">
        <f>+E36*D36</f>
        <v>1.8578400000000002</v>
      </c>
      <c r="G36" s="92">
        <f>+F36*(100-$G$25)/100</f>
        <v>1.8578400000000002</v>
      </c>
      <c r="H36" s="6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</row>
    <row r="37" spans="1:10" ht="12.75" customHeight="1" x14ac:dyDescent="0.2">
      <c r="A37" s="7"/>
      <c r="B37" s="16"/>
      <c r="C37" s="25"/>
      <c r="D37" s="17"/>
      <c r="E37" s="105"/>
      <c r="F37" s="105"/>
      <c r="G37" s="104"/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</row>
    <row r="38" spans="1:10" ht="12.75" customHeight="1" x14ac:dyDescent="0.2">
      <c r="A38" s="14" t="str">
        <f>texty!$A$66</f>
        <v>Voliteľné príslušenstvo:</v>
      </c>
      <c r="B38" s="16"/>
      <c r="C38" s="25"/>
      <c r="D38" s="26" t="str">
        <f>+System10!D41</f>
        <v>zadajte počet:</v>
      </c>
      <c r="E38" s="105"/>
      <c r="F38" s="105"/>
      <c r="G38" s="104"/>
      <c r="I38" s="469" t="str">
        <f>IFERROR(IF((VLOOKUP(B38,cennik!A:L,12,0))="O",texty!$A$250,""),"")</f>
        <v/>
      </c>
      <c r="J38" s="191"/>
    </row>
    <row r="39" spans="1:10" ht="12.75" customHeight="1" x14ac:dyDescent="0.2">
      <c r="A39" s="7" t="str">
        <f>texty!$A$88</f>
        <v>pozicionér do horného vedenia</v>
      </c>
      <c r="B39" s="16">
        <v>298035</v>
      </c>
      <c r="C39" s="38" t="str">
        <f>+VLOOKUP(B39,cennik!$A:$G,2,FALSE)</f>
        <v>SEVROLL 20326 Fix pozicionér pre horný vozík transparentný</v>
      </c>
      <c r="D39" s="29"/>
      <c r="E39" s="102">
        <f>+VLOOKUP(B39,cennik!$A:$G,3,FALSE)</f>
        <v>1.0837300000000001</v>
      </c>
      <c r="F39" s="105">
        <f t="shared" ref="F39:F46" si="2">+E39*D39</f>
        <v>0</v>
      </c>
      <c r="G39" s="104">
        <f>+F39*(100-$G$25)/100</f>
        <v>0</v>
      </c>
      <c r="H39" s="6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</row>
    <row r="40" spans="1:10" ht="12.75" customHeight="1" x14ac:dyDescent="0.2">
      <c r="A40" s="7" t="str">
        <f>System10!A43</f>
        <v xml:space="preserve">pozicionér </v>
      </c>
      <c r="B40" s="16">
        <v>89063</v>
      </c>
      <c r="C40" s="38" t="str">
        <f>+VLOOKUP(B40,cennik!$A:$G,2,FALSE)</f>
        <v>SEVROLL 20080 pozicionér spodného vozíka HI-TEC</v>
      </c>
      <c r="D40" s="29"/>
      <c r="E40" s="102">
        <f>+VLOOKUP(B40,cennik!$A:$G,3,FALSE)</f>
        <v>0.30964000000000003</v>
      </c>
      <c r="F40" s="105">
        <f t="shared" si="2"/>
        <v>0</v>
      </c>
      <c r="G40" s="104">
        <f>+F40*(100-$G$25)/100</f>
        <v>0</v>
      </c>
      <c r="H40" s="6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</row>
    <row r="41" spans="1:10" ht="12.75" customHeight="1" x14ac:dyDescent="0.2">
      <c r="A41" s="422" t="str">
        <f>texty!$A$228</f>
        <v> Tlmič dorazu MINI do 25 kg (pár)</v>
      </c>
      <c r="B41" s="16">
        <v>318662</v>
      </c>
      <c r="C41" s="25" t="str">
        <f>+VLOOKUP(B41,cennik!$A:$G,2,FALSE)</f>
        <v>SEVROLL 20368-SV tlmič dorazu Mini SV25 (14-25kg)</v>
      </c>
      <c r="D41" s="29"/>
      <c r="E41" s="91">
        <f>+VLOOKUP(B41,cennik!$A:$G,3,FALSE)</f>
        <v>22.75825</v>
      </c>
      <c r="F41" s="105">
        <f t="shared" si="2"/>
        <v>0</v>
      </c>
      <c r="G41" s="104">
        <f t="shared" ref="G41:G46" si="3">+F41*(100-$G$25)/100</f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</row>
    <row r="42" spans="1:10" ht="12.75" customHeight="1" x14ac:dyDescent="0.2">
      <c r="A42" s="422" t="str">
        <f>texty!$A$229</f>
        <v> Tlmič dorazu MINI do 40 kg (pár)</v>
      </c>
      <c r="B42" s="24">
        <v>283956</v>
      </c>
      <c r="C42" s="25" t="str">
        <f>+VLOOKUP(B42,cennik!$A:$G,2,FALSE)</f>
        <v>SEVROLL 20258-SV tlmič dorazu Mini SV40 (25 - 40kg)</v>
      </c>
      <c r="D42" s="29"/>
      <c r="E42" s="91">
        <f>+VLOOKUP(B42,cennik!$A:$G,3,FALSE)</f>
        <v>22.75825</v>
      </c>
      <c r="F42" s="105">
        <f t="shared" si="2"/>
        <v>0</v>
      </c>
      <c r="G42" s="104">
        <f t="shared" si="3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</row>
    <row r="43" spans="1:10" ht="12.75" customHeight="1" x14ac:dyDescent="0.2">
      <c r="A43" s="422" t="str">
        <f>texty!$A$230</f>
        <v> Tlmič dorazu MINI do 60 kg (pár)</v>
      </c>
      <c r="B43" s="24">
        <v>351743</v>
      </c>
      <c r="C43" s="25" t="str">
        <f>+VLOOKUP(B43,cennik!$A:$G,2,FALSE)</f>
        <v>SEVROLL 20339-SV tlmič dorazu Mini SV60 (40 - 60kg)</v>
      </c>
      <c r="D43" s="29"/>
      <c r="E43" s="91">
        <f>+VLOOKUP(B43,cennik!$A:$G,3,FALSE)</f>
        <v>22.75825</v>
      </c>
      <c r="F43" s="105">
        <f t="shared" si="2"/>
        <v>0</v>
      </c>
      <c r="G43" s="104">
        <f t="shared" si="3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</row>
    <row r="44" spans="1:10" ht="12.75" customHeight="1" x14ac:dyDescent="0.2">
      <c r="A44" s="422" t="str">
        <f>texty!$A$231</f>
        <v> Tlmič pre stredné krídlo do 25 kg</v>
      </c>
      <c r="B44" s="24">
        <v>318663</v>
      </c>
      <c r="C44" s="25" t="str">
        <f>+VLOOKUP(B44,cennik!$A:$G,2,FALSE)</f>
        <v>SEVROLL 20363-SV tlmič Central 10/18mm obojstranný 25kg</v>
      </c>
      <c r="D44" s="29"/>
      <c r="E44" s="91">
        <f>+VLOOKUP(B44,cennik!$A:$G,3,FALSE)</f>
        <v>48.741869999999999</v>
      </c>
      <c r="F44" s="105">
        <f t="shared" si="2"/>
        <v>0</v>
      </c>
      <c r="G44" s="104">
        <f t="shared" si="3"/>
        <v>0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</row>
    <row r="45" spans="1:10" ht="12.75" customHeight="1" x14ac:dyDescent="0.2">
      <c r="A45" s="422" t="str">
        <f>texty!$A$232</f>
        <v> Tlmič pre stredné krídlo do 40 kg</v>
      </c>
      <c r="B45" s="24">
        <v>283955</v>
      </c>
      <c r="C45" s="25" t="str">
        <f>+VLOOKUP(B45,cennik!$A:$G,2,FALSE)</f>
        <v>SEVROLL 20319-SV tlmič Central 10/18mm obojstranný 25-40kg</v>
      </c>
      <c r="D45" s="29"/>
      <c r="E45" s="91">
        <f>+VLOOKUP(B45,cennik!$A:$G,3,FALSE)</f>
        <v>48.741869999999999</v>
      </c>
      <c r="F45" s="105">
        <f t="shared" si="2"/>
        <v>0</v>
      </c>
      <c r="G45" s="104">
        <f t="shared" si="3"/>
        <v>0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</row>
    <row r="46" spans="1:10" ht="12.75" customHeight="1" x14ac:dyDescent="0.2">
      <c r="A46" s="7" t="str">
        <f>System10!A45</f>
        <v> Tlmič dorazu MINI do 40 kg (pár)</v>
      </c>
      <c r="B46" s="24">
        <v>227185</v>
      </c>
      <c r="C46" s="25" t="str">
        <f>+VLOOKUP(B46,cennik!$A:$G,2,FALSE)</f>
        <v>K-SEVROLL tlmič dorazu 10/18mm 14-25kg L+P</v>
      </c>
      <c r="D46" s="29"/>
      <c r="E46" s="91">
        <f>+VLOOKUP(B46,cennik!$A:$G,3,FALSE)</f>
        <v>0</v>
      </c>
      <c r="F46" s="105">
        <f t="shared" si="2"/>
        <v>0</v>
      </c>
      <c r="G46" s="104">
        <f t="shared" si="3"/>
        <v>0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</row>
    <row r="47" spans="1:10" ht="12.75" customHeight="1" x14ac:dyDescent="0.2">
      <c r="A47" s="7" t="str">
        <f>System10!A49</f>
        <v>tlmič dorazu (pár) 25 kg</v>
      </c>
      <c r="B47" s="24">
        <v>227185</v>
      </c>
      <c r="C47" s="38" t="str">
        <f>+VLOOKUP(B47,cennik!$A:$G,2,FALSE)</f>
        <v>K-SEVROLL tlmič dorazu 10/18mm 14-25kg L+P</v>
      </c>
      <c r="D47" s="29"/>
      <c r="E47" s="102">
        <f>+VLOOKUP(B47,cennik!$A:$G,3,FALSE)</f>
        <v>0</v>
      </c>
      <c r="F47" s="105">
        <f>+E47*D47</f>
        <v>0</v>
      </c>
      <c r="G47" s="104">
        <f t="shared" ref="G47:G53" si="4">+F47*(100-$G$25)/100</f>
        <v>0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</row>
    <row r="48" spans="1:10" ht="12.75" customHeight="1" x14ac:dyDescent="0.2">
      <c r="A48" s="7" t="str">
        <f>texty!$A$98</f>
        <v>tlmič dorazu (pár) 50 kg</v>
      </c>
      <c r="B48" s="24">
        <v>227187</v>
      </c>
      <c r="C48" s="25" t="str">
        <f>+VLOOKUP(B48,cennik!$A:$G,2,FALSE)</f>
        <v>K-SEVROLL tlmič dorazu 10/18mm 25-50kg L+P</v>
      </c>
      <c r="D48" s="29"/>
      <c r="E48" s="91">
        <f>+VLOOKUP(B48,cennik!$A:$G,3,FALSE)</f>
        <v>0</v>
      </c>
      <c r="F48" s="105">
        <f t="shared" ref="F48:F53" si="5">+E48*D48</f>
        <v>0</v>
      </c>
      <c r="G48" s="104">
        <f t="shared" si="4"/>
        <v>0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</row>
    <row r="49" spans="1:10" ht="12.75" customHeight="1" x14ac:dyDescent="0.2">
      <c r="A49" s="7" t="str">
        <f>texty!A169</f>
        <v>spojovací profil H18 MAXIM 1,8m</v>
      </c>
      <c r="B49" s="186">
        <v>102833</v>
      </c>
      <c r="C49" s="38" t="str">
        <f>+VLOOKUP(B49,cennik!$A:$G,2,FALSE)</f>
        <v>SEVROLL 01881 Maxim spojovacia lišta H18 1,8m strieborná</v>
      </c>
      <c r="D49" s="29"/>
      <c r="E49" s="102" t="e">
        <f>+VLOOKUP(B49,cennik!$A:$G,3,FALSE)</f>
        <v>#N/A</v>
      </c>
      <c r="F49" s="105" t="e">
        <f t="shared" si="5"/>
        <v>#N/A</v>
      </c>
      <c r="G49" s="104" t="e">
        <f t="shared" si="4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</row>
    <row r="50" spans="1:10" ht="12.75" customHeight="1" x14ac:dyDescent="0.2">
      <c r="A50" s="7" t="str">
        <f>texty!A170</f>
        <v>spojovací profil H18 MAXIM 2,5m</v>
      </c>
      <c r="B50" s="186">
        <v>102834</v>
      </c>
      <c r="C50" s="38" t="str">
        <f>+VLOOKUP(B50,cennik!$A:$G,2,FALSE)</f>
        <v>SEVROLL SPOJ.LIŠTA H18 2,5M str.</v>
      </c>
      <c r="D50" s="29"/>
      <c r="E50" s="102">
        <f>+VLOOKUP(B50,cennik!$A:$G,3,FALSE)</f>
        <v>10.30363</v>
      </c>
      <c r="F50" s="105">
        <f t="shared" si="5"/>
        <v>0</v>
      </c>
      <c r="G50" s="104">
        <f t="shared" si="4"/>
        <v>0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</row>
    <row r="51" spans="1:10" ht="12.75" customHeight="1" x14ac:dyDescent="0.2">
      <c r="A51" s="7" t="str">
        <f>texty!A171</f>
        <v>spojovací profil H25 MAXIM 1,8m</v>
      </c>
      <c r="B51" s="186">
        <v>98055</v>
      </c>
      <c r="C51" s="38" t="str">
        <f>+VLOOKUP(B51,cennik!$A:$G,2,FALSE)</f>
        <v>SEVROLL Maxim spojovacia lišta H25 1,8m strieborná</v>
      </c>
      <c r="D51" s="29"/>
      <c r="E51" s="102" t="e">
        <f>+VLOOKUP(B51,cennik!$A:$G,3,FALSE)</f>
        <v>#N/A</v>
      </c>
      <c r="F51" s="105" t="e">
        <f t="shared" si="5"/>
        <v>#N/A</v>
      </c>
      <c r="G51" s="104" t="e">
        <f t="shared" si="4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0" ht="12.75" customHeight="1" x14ac:dyDescent="0.2">
      <c r="A52" s="7" t="str">
        <f>texty!A172</f>
        <v>spojovací profil H25 MAXIM 2,5m</v>
      </c>
      <c r="B52" s="186">
        <v>102832</v>
      </c>
      <c r="C52" s="38" t="str">
        <f>+VLOOKUP(B52,cennik!$A:$G,2,FALSE)</f>
        <v>SEVROLL SPOJ.LIŠTA H25 2,5M str.</v>
      </c>
      <c r="D52" s="29"/>
      <c r="E52" s="102">
        <f>+VLOOKUP(B52,cennik!$A:$G,3,FALSE)</f>
        <v>19.950659999999999</v>
      </c>
      <c r="F52" s="105">
        <f t="shared" si="5"/>
        <v>0</v>
      </c>
      <c r="G52" s="104">
        <f t="shared" si="4"/>
        <v>0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0" ht="12.75" customHeight="1" x14ac:dyDescent="0.2">
      <c r="A53" s="7" t="str">
        <f>texty!$A$92</f>
        <v>spojovacia skrutka</v>
      </c>
      <c r="B53" s="187">
        <v>89244</v>
      </c>
      <c r="C53" s="25" t="str">
        <f>+VLOOKUP(B53,cennik!$A:$G,2,FALSE)</f>
        <v>SEVROLL 20001 skrutkovrut 6,3x32 SEVROLL a Simple</v>
      </c>
      <c r="D53" s="30"/>
      <c r="E53" s="91">
        <f>+VLOOKUP(B53,cennik!$A:$G,3,FALSE)</f>
        <v>0.15482000000000001</v>
      </c>
      <c r="F53" s="105">
        <f t="shared" si="5"/>
        <v>0</v>
      </c>
      <c r="G53" s="104">
        <f t="shared" si="4"/>
        <v>0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0" ht="12.75" customHeight="1" x14ac:dyDescent="0.2">
      <c r="A54" s="41" t="str">
        <f>CONCATENATE(texty!$A$6,ROUND((C12/1000),1),texty!$A$8)</f>
        <v>Pokiaľ budete používať ako výplň sklo / zrkadlo, je nutné doobjednať tesnenie. Dĺžka tesnenia na jedno krídlo je 5m, pokiaľ je preskenných viac krídel, treba vynásobiť</v>
      </c>
      <c r="B54" s="42"/>
      <c r="C54" s="43"/>
      <c r="D54" s="44"/>
      <c r="E54" s="97"/>
      <c r="F54" s="97"/>
      <c r="G54" s="98"/>
      <c r="I54" s="469" t="str">
        <f>IFERROR(IF((VLOOKUP(B54,cennik!A:L,12,0))="O",texty!$A$250,""),"")</f>
        <v/>
      </c>
      <c r="J54" s="181"/>
    </row>
    <row r="55" spans="1:10" ht="12.75" customHeight="1" x14ac:dyDescent="0.2">
      <c r="C55" s="40" t="str">
        <f>texty!$A$10</f>
        <v>Potrebná dĺžka tesnenia pri celkovom presklení (nutné objednať celé metre)</v>
      </c>
      <c r="D55" s="39">
        <f>CEILING(((C12*D4)/1000),1)</f>
        <v>15</v>
      </c>
      <c r="E55" s="94"/>
      <c r="F55" s="94"/>
      <c r="G55" s="94"/>
      <c r="I55" s="469" t="str">
        <f>IFERROR(IF((VLOOKUP(B55,cennik!A:L,12,0))="O",texty!$A$250,""),"")</f>
        <v/>
      </c>
      <c r="J55" s="181"/>
    </row>
    <row r="56" spans="1:10" ht="12.75" customHeight="1" x14ac:dyDescent="0.2">
      <c r="A56" s="48" t="str">
        <f>texty!$A$12</f>
        <v>(pri kombináciach s H profilmi je nutné pripočítať potrebnú dĺžku - tesnenie musí byť po celom odvode každého skla</v>
      </c>
      <c r="B56" s="46"/>
      <c r="C56" s="47"/>
      <c r="D56" s="46"/>
      <c r="E56" s="99"/>
      <c r="F56" s="99"/>
      <c r="G56" s="99"/>
      <c r="I56" s="469" t="str">
        <f>IFERROR(IF((VLOOKUP(B56,cennik!A:L,12,0))="O",texty!$A$250,""),"")</f>
        <v/>
      </c>
      <c r="J56" s="181"/>
    </row>
    <row r="57" spans="1:10" ht="12.75" customHeight="1" x14ac:dyDescent="0.2">
      <c r="A57" s="7" t="str">
        <f>texty!A105</f>
        <v>tesnenie na sklo 4mm asymetrické</v>
      </c>
      <c r="B57" s="17" t="s">
        <v>70</v>
      </c>
      <c r="C57" s="38" t="str">
        <f>+VLOOKUP(B57,cennik!$A:$G,2,FALSE)</f>
        <v>SEVROLL 20106 tesnenie na sklo 18/4-4,5mm asymetrické</v>
      </c>
      <c r="D57" s="45"/>
      <c r="E57" s="102">
        <f>+VLOOKUP(B57,cennik!$A:$G,3,FALSE)</f>
        <v>2.2861500000000001</v>
      </c>
      <c r="F57" s="96">
        <f>+CEILING(D57,1)*E57</f>
        <v>0</v>
      </c>
      <c r="G57" s="104">
        <f>+F57*(100-$G$25)/100</f>
        <v>0</v>
      </c>
      <c r="H57" s="6" t="str">
        <f>cennik!$B$2</f>
        <v>EUR</v>
      </c>
      <c r="I57" s="469" t="str">
        <f>IFERROR(IF((VLOOKUP(B57,cennik!A:L,12,0))="O",texty!$A$250,""),"")</f>
        <v/>
      </c>
      <c r="J57" s="191" t="str">
        <f>IF(D57&gt;0,IF(VLOOKUP(B57,cennik!A:L,12,FALSE)="O",1,""),"")</f>
        <v/>
      </c>
    </row>
    <row r="58" spans="1:10" ht="12.75" customHeight="1" x14ac:dyDescent="0.2">
      <c r="B58" s="17">
        <v>256425</v>
      </c>
      <c r="C58" s="167" t="str">
        <f>VLOOKUP(B58,cennik!A:C,2,0)</f>
        <v>SEVROLL 20183 montážny prípravok pre systém Maxim malý</v>
      </c>
      <c r="D58" s="45"/>
      <c r="E58" s="91">
        <f>+VLOOKUP(B58,cennik!$A:$G,3,FALSE)</f>
        <v>5.2530299999999999</v>
      </c>
      <c r="F58" s="96">
        <f>+CEILING(D58,1)*E58</f>
        <v>0</v>
      </c>
      <c r="G58" s="92">
        <f>F58</f>
        <v>0</v>
      </c>
      <c r="H58" s="6" t="str">
        <f>cennik!$B$2</f>
        <v>EUR</v>
      </c>
      <c r="I58" s="469" t="str">
        <f>IFERROR(IF((VLOOKUP(B58,cennik!A:L,12,0))="O",texty!$A$250,""),"")</f>
        <v/>
      </c>
      <c r="J58" s="191" t="str">
        <f>IF(D58&gt;0,IF(VLOOKUP(B58,cennik!A:L,12,FALSE)="O",1,""),"")</f>
        <v/>
      </c>
    </row>
    <row r="59" spans="1:10" ht="12.75" customHeight="1" x14ac:dyDescent="0.2">
      <c r="B59" s="17">
        <v>128842</v>
      </c>
      <c r="C59" s="167" t="str">
        <f>VLOOKUP(B59,cennik!A:C,2,0)</f>
        <v>SEVROLL 20144 vrták stupňovitý 6,5/9,5mm</v>
      </c>
      <c r="D59" s="45"/>
      <c r="E59" s="91">
        <f>+VLOOKUP(B59,cennik!$A:$G,3,FALSE)</f>
        <v>26.752659999999999</v>
      </c>
      <c r="F59" s="96">
        <f>+CEILING(D59,1)*E59</f>
        <v>0</v>
      </c>
      <c r="G59" s="92">
        <f>F59</f>
        <v>0</v>
      </c>
      <c r="H59" s="6" t="str">
        <f>cennik!$B$2</f>
        <v>EUR</v>
      </c>
      <c r="I59" s="469" t="str">
        <f>IFERROR(IF((VLOOKUP(B59,cennik!A:L,12,0))="O",texty!$A$250,""),"")</f>
        <v/>
      </c>
      <c r="J59" s="191" t="str">
        <f>IF(D59&gt;0,IF(VLOOKUP(B59,cennik!A:L,12,FALSE)="O",1,""),"")</f>
        <v/>
      </c>
    </row>
    <row r="60" spans="1:10" ht="12.75" customHeight="1" x14ac:dyDescent="0.2">
      <c r="A60" s="7"/>
      <c r="B60" s="17"/>
      <c r="C60" s="38"/>
      <c r="D60" s="38"/>
      <c r="E60" s="102"/>
      <c r="F60" s="96"/>
      <c r="G60" s="92"/>
      <c r="I60" s="469" t="str">
        <f>IFERROR(IF((VLOOKUP(B60,cennik!A:L,12,0))="O",texty!$A$250,""),"")</f>
        <v/>
      </c>
      <c r="J60" s="191" t="str">
        <f>IF(D60&gt;0,IF(VLOOKUP(B60,cennik!A:L,12,FALSE)="O",1,""),"")</f>
        <v/>
      </c>
    </row>
    <row r="61" spans="1:10" ht="12.75" customHeight="1" x14ac:dyDescent="0.2">
      <c r="A61" s="146" t="str">
        <f>texty!A197</f>
        <v>Možnosť dodania kompletných sád profilov + kovania:</v>
      </c>
      <c r="B61" s="17"/>
      <c r="C61" s="38"/>
      <c r="D61" s="38"/>
      <c r="E61" s="102"/>
      <c r="F61" s="96"/>
      <c r="G61" s="92"/>
      <c r="I61" s="469" t="str">
        <f>IFERROR(IF((VLOOKUP(B61,cennik!A:L,12,0))="O",texty!$A$250,""),"")</f>
        <v/>
      </c>
      <c r="J61" s="191" t="str">
        <f>IF(D61&gt;0,IF(VLOOKUP(B61,cennik!A:L,12,FALSE)="O",1,""),"")</f>
        <v/>
      </c>
    </row>
    <row r="62" spans="1:10" ht="12.75" customHeight="1" x14ac:dyDescent="0.2">
      <c r="A62" s="7" t="str">
        <f>texty!A198</f>
        <v>sada 2 krídla, šírka 1,8m (profily 182716 + kovanie 98054)</v>
      </c>
      <c r="B62" s="17"/>
      <c r="C62" s="38"/>
      <c r="D62" s="38"/>
      <c r="E62" s="102"/>
      <c r="F62" s="96"/>
      <c r="G62" s="92"/>
      <c r="I62" s="469" t="str">
        <f>IFERROR(IF((VLOOKUP(B62,cennik!A:L,12,0))="O",texty!$A$250,""),"")</f>
        <v/>
      </c>
      <c r="J62" s="191" t="str">
        <f>IF(D62&gt;0,IF(VLOOKUP(B62,cennik!A:L,12,FALSE)="O",1,""),"")</f>
        <v/>
      </c>
    </row>
    <row r="63" spans="1:10" ht="12.75" customHeight="1" x14ac:dyDescent="0.2">
      <c r="A63" s="7"/>
      <c r="B63" s="17">
        <v>182716</v>
      </c>
      <c r="C63" s="38" t="e">
        <f>+VLOOKUP(B63,cennik!$A:$G,2,FALSE)</f>
        <v>#N/A</v>
      </c>
      <c r="D63" s="29"/>
      <c r="E63" s="102" t="e">
        <f>+VLOOKUP(B63,cennik!$A:$G,3,FALSE)</f>
        <v>#N/A</v>
      </c>
      <c r="F63" s="105" t="e">
        <f>+CEILING(D63,1)*E63</f>
        <v>#N/A</v>
      </c>
      <c r="G63" s="104" t="e">
        <f>+F63*(100-$G$25)/100</f>
        <v>#N/A</v>
      </c>
      <c r="H63" s="6" t="str">
        <f>cennik!$B$2</f>
        <v>EUR</v>
      </c>
      <c r="I63" s="469" t="str">
        <f>IFERROR(IF((VLOOKUP(B63,cennik!A:L,12,0))="O",texty!$A$250,""),"")</f>
        <v/>
      </c>
      <c r="J63" s="191" t="str">
        <f>IF(D63&gt;0,IF(VLOOKUP(B63,cennik!A:L,12,FALSE)="O",1,""),"")</f>
        <v/>
      </c>
    </row>
    <row r="64" spans="1:10" ht="12.75" customHeight="1" x14ac:dyDescent="0.2">
      <c r="A64" s="7"/>
      <c r="B64" s="17">
        <v>98054</v>
      </c>
      <c r="C64" s="38" t="str">
        <f>+VLOOKUP(B64,cennik!$A:$G,2,FALSE)</f>
        <v>SEVROLL Maxim sada kovania pre 2 dvere 1,8m strieborná</v>
      </c>
      <c r="D64" s="29"/>
      <c r="E64" s="102">
        <f>+VLOOKUP(B64,cennik!$A:$G,3,FALSE)</f>
        <v>27.470300000000002</v>
      </c>
      <c r="F64" s="105">
        <f>+CEILING(D64,1)*E64</f>
        <v>0</v>
      </c>
      <c r="G64" s="104">
        <f>+F64*(100-$G$25)/100</f>
        <v>0</v>
      </c>
      <c r="H64" s="6" t="str">
        <f>cennik!$B$2</f>
        <v>EUR</v>
      </c>
      <c r="I64" s="469" t="str">
        <f>IFERROR(IF((VLOOKUP(B64,cennik!A:L,12,0))="O",texty!$A$250,""),"")</f>
        <v/>
      </c>
      <c r="J64" s="191" t="str">
        <f>IF(D64&gt;0,IF(VLOOKUP(B64,cennik!A:L,12,FALSE)="O",1,""),"")</f>
        <v/>
      </c>
    </row>
    <row r="65" spans="1:13" ht="12.75" customHeight="1" x14ac:dyDescent="0.2">
      <c r="A65" s="7" t="str">
        <f>texty!A199</f>
        <v>sada 3 krídla, šírka 2,5m (profily 188479 + kovanie 100968)</v>
      </c>
      <c r="B65" s="17"/>
      <c r="C65" s="38"/>
      <c r="D65" s="38"/>
      <c r="E65" s="102"/>
      <c r="F65" s="96"/>
      <c r="G65" s="92"/>
      <c r="I65" s="469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">
      <c r="A66" s="7"/>
      <c r="B66" s="17">
        <v>100967</v>
      </c>
      <c r="C66" s="38" t="str">
        <f>+VLOOKUP(B66,cennik!$A:$G,2,FALSE)</f>
        <v>SEVROLL Maxim sada líšt pre 3 dv. 2,5m str.</v>
      </c>
      <c r="D66" s="29"/>
      <c r="E66" s="102" t="e">
        <f>+VLOOKUP(B66,cennik!$A:$G,3,FALSE)</f>
        <v>#N/A</v>
      </c>
      <c r="F66" s="105" t="e">
        <f>+CEILING(D66,1)*E66</f>
        <v>#N/A</v>
      </c>
      <c r="G66" s="104" t="e">
        <f>+F66*(100-$G$25)/100</f>
        <v>#N/A</v>
      </c>
      <c r="H66" s="6" t="str">
        <f>cennik!$B$2</f>
        <v>EUR</v>
      </c>
      <c r="I66" s="469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">
      <c r="B67" s="6">
        <v>100968</v>
      </c>
      <c r="C67" s="38" t="str">
        <f>+VLOOKUP(B67,cennik!$A:$G,2,FALSE)</f>
        <v>SEVROLL Maxim sada kovánia pre 3 dvere 2,5m strieborná</v>
      </c>
      <c r="D67" s="29"/>
      <c r="E67" s="102" t="e">
        <f>+VLOOKUP(B67,cennik!$A:$G,3,FALSE)</f>
        <v>#N/A</v>
      </c>
      <c r="F67" s="105" t="e">
        <f>+CEILING(D67,1)*E67</f>
        <v>#N/A</v>
      </c>
      <c r="G67" s="104" t="e">
        <f>+F67*(100-$G$25)/100</f>
        <v>#N/A</v>
      </c>
      <c r="H67" s="6" t="str">
        <f>cennik!$B$2</f>
        <v>EUR</v>
      </c>
      <c r="I67" s="469" t="str">
        <f>IFERROR(IF((VLOOKUP(B67,cennik!A:L,12,0))="O",texty!$A$250,""),"")</f>
        <v/>
      </c>
      <c r="J67" s="191" t="str">
        <f>IF(D67&gt;0,IF(VLOOKUP(B67,cennik!A:L,12,FALSE)="O",1,""),"")</f>
        <v/>
      </c>
      <c r="K67" s="6"/>
    </row>
    <row r="68" spans="1:13" ht="15" x14ac:dyDescent="0.2">
      <c r="A68" s="271" t="str">
        <f>texty!$A$190</f>
        <v>Ďalšie príslušenstvo</v>
      </c>
      <c r="B68" s="272"/>
      <c r="C68" s="272"/>
      <c r="D68" s="272"/>
      <c r="E68" s="272"/>
      <c r="F68" s="272"/>
      <c r="G68" s="272"/>
      <c r="H68" s="272"/>
      <c r="I68" s="272"/>
      <c r="J68" s="134"/>
      <c r="K68" s="6"/>
    </row>
    <row r="69" spans="1:13" ht="12.75" customHeight="1" x14ac:dyDescent="0.2">
      <c r="C69" s="73"/>
      <c r="D69" s="76" t="str">
        <f>texty!$A$15</f>
        <v>CELKOM  (bez DPH)</v>
      </c>
      <c r="E69" s="106"/>
      <c r="F69" s="107" t="e">
        <f>SUM(F27:F67)</f>
        <v>#N/A</v>
      </c>
      <c r="G69" s="107" t="e">
        <f>SUM(G27:G67)</f>
        <v>#N/A</v>
      </c>
      <c r="H69" s="6" t="str">
        <f>cennik!$B$2</f>
        <v>EUR</v>
      </c>
      <c r="I69" s="181"/>
      <c r="J69" s="181"/>
      <c r="K69" s="6"/>
    </row>
    <row r="70" spans="1:13" ht="12.75" customHeight="1" x14ac:dyDescent="0.2">
      <c r="A70" s="75" t="str">
        <f>System10!$A$67</f>
        <v>Vaša poznámka:</v>
      </c>
      <c r="B70" s="658"/>
      <c r="C70" s="657"/>
      <c r="D70" s="657"/>
      <c r="E70" s="657"/>
      <c r="F70" s="657"/>
      <c r="G70" s="657"/>
      <c r="K70" s="6"/>
    </row>
    <row r="71" spans="1:13" ht="12.75" customHeight="1" x14ac:dyDescent="0.2">
      <c r="A71" s="659">
        <f>profil!$U$15</f>
        <v>0</v>
      </c>
      <c r="B71" s="649"/>
      <c r="C71" s="649"/>
      <c r="D71" s="649"/>
      <c r="E71" s="649"/>
      <c r="F71" s="649"/>
      <c r="G71" s="649"/>
      <c r="K71" s="6"/>
    </row>
    <row r="72" spans="1:13" ht="12.75" customHeight="1" x14ac:dyDescent="0.2">
      <c r="A72" s="650">
        <f>IF(M72=1,texty!$A$215,IF(J72&gt;0,texty!$A$214,""))</f>
        <v>0</v>
      </c>
      <c r="B72" s="650"/>
      <c r="C72" s="650"/>
      <c r="D72" s="650"/>
      <c r="E72" s="650"/>
      <c r="F72" s="650"/>
      <c r="G72" s="650"/>
      <c r="J72" s="6" t="e">
        <f>SUM(J27:J67)</f>
        <v>#N/A</v>
      </c>
      <c r="M72" s="5">
        <f>IF(ISERROR(J72),1,0)</f>
        <v>1</v>
      </c>
    </row>
    <row r="73" spans="1:13" ht="12.75" customHeight="1" x14ac:dyDescent="0.2"/>
    <row r="74" spans="1:13" ht="12.75" customHeight="1" x14ac:dyDescent="0.2">
      <c r="K74" s="5" t="str">
        <f>texty!A128</f>
        <v xml:space="preserve">strieborná </v>
      </c>
    </row>
  </sheetData>
  <mergeCells count="6">
    <mergeCell ref="A72:G72"/>
    <mergeCell ref="B70:G70"/>
    <mergeCell ref="A71:G71"/>
    <mergeCell ref="A5:E5"/>
    <mergeCell ref="F4:I6"/>
    <mergeCell ref="A13:B14"/>
  </mergeCells>
  <conditionalFormatting sqref="A13">
    <cfRule type="expression" dxfId="151" priority="4">
      <formula>SUM($D$44:$D$45)&gt;0</formula>
    </cfRule>
  </conditionalFormatting>
  <conditionalFormatting sqref="D6">
    <cfRule type="expression" dxfId="149" priority="6">
      <formula>$D$4=4</formula>
    </cfRule>
    <cfRule type="expression" dxfId="148" priority="7">
      <formula>$D$4&lt;&gt;4</formula>
    </cfRule>
  </conditionalFormatting>
  <conditionalFormatting sqref="F4:I6">
    <cfRule type="expression" dxfId="147" priority="5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300-000000000000}">
      <formula1>0</formula1>
      <formula2>9</formula2>
    </dataValidation>
    <dataValidation type="whole" allowBlank="1" showInputMessage="1" showErrorMessage="1" errorTitle="STOP" error="Max. 6000 mm" promptTitle="Maximální šířka otvoru je 4300mm" sqref="C4" xr:uid="{00000000-0002-0000-1300-000001000000}">
      <formula1>0</formula1>
      <formula2>6000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300-000002000000}">
      <formula1>0</formula1>
      <formula2>2738</formula2>
    </dataValidation>
    <dataValidation type="list" allowBlank="1" showInputMessage="1" showErrorMessage="1" sqref="E6" xr:uid="{00000000-0002-0000-1300-000003000000}">
      <formula1>"stříbrná,zlatá,oliva"</formula1>
      <formula2>0</formula2>
    </dataValidation>
    <dataValidation type="list" allowBlank="1" showInputMessage="1" showErrorMessage="1" sqref="E4" xr:uid="{00000000-0002-0000-1300-000004000000}">
      <formula1>$K$74</formula1>
    </dataValidation>
    <dataValidation type="list" allowBlank="1" showInputMessage="1" showErrorMessage="1" sqref="D6" xr:uid="{00000000-0002-0000-1300-000005000000}">
      <formula1>$K$1:$K$2</formula1>
    </dataValidation>
  </dataValidations>
  <hyperlinks>
    <hyperlink ref="A2" location="profil!A1" display="Prosper  systém Maxim" xr:uid="{00000000-0004-0000-1300-000000000000}"/>
    <hyperlink ref="A68" location="příslušenství!A56" display="příslušenství!A56" xr:uid="{00000000-0004-0000-1300-000001000000}"/>
  </hyperlinks>
  <pageMargins left="0.70866141732283472" right="0.70866141732283472" top="0.25" bottom="0.34" header="0.17" footer="0.22"/>
  <pageSetup paperSize="9" scale="6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52FCA2-CCAD-4E2A-AC7C-03BE8C939E26}">
            <xm:f>$I27=texty!$A$250</xm:f>
            <x14:dxf>
              <font>
                <color rgb="FFFF0000"/>
              </font>
            </x14:dxf>
          </x14:cfRule>
          <xm:sqref>A27:I67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AA320"/>
  <sheetViews>
    <sheetView showGridLines="0" tabSelected="1" zoomScale="85" zoomScaleNormal="85" workbookViewId="0">
      <selection activeCell="C7" sqref="C7:Q7"/>
    </sheetView>
  </sheetViews>
  <sheetFormatPr defaultColWidth="0" defaultRowHeight="15" customHeight="1" zeroHeight="1" x14ac:dyDescent="0.25"/>
  <cols>
    <col min="1" max="1" width="3.140625" style="1" customWidth="1"/>
    <col min="2" max="2" width="11.7109375" style="1" customWidth="1"/>
    <col min="3" max="3" width="4.28515625" style="1" customWidth="1"/>
    <col min="4" max="4" width="11.7109375" style="1" customWidth="1"/>
    <col min="5" max="5" width="3.28515625" style="1" customWidth="1"/>
    <col min="6" max="6" width="12.140625" style="1" customWidth="1"/>
    <col min="7" max="7" width="3.42578125" style="1" customWidth="1"/>
    <col min="8" max="8" width="11.7109375" style="1" customWidth="1"/>
    <col min="9" max="9" width="3.42578125" style="1" customWidth="1"/>
    <col min="10" max="10" width="11.7109375" style="1" customWidth="1"/>
    <col min="11" max="11" width="3.140625" style="1" customWidth="1"/>
    <col min="12" max="12" width="11.7109375" style="1" customWidth="1"/>
    <col min="13" max="13" width="3.140625" style="1" customWidth="1"/>
    <col min="14" max="14" width="11.7109375" style="1" customWidth="1"/>
    <col min="15" max="15" width="3" style="1" customWidth="1"/>
    <col min="16" max="16" width="11.7109375" style="1" customWidth="1"/>
    <col min="17" max="17" width="3.140625" style="1" customWidth="1"/>
    <col min="18" max="18" width="5.42578125" style="1" hidden="1" customWidth="1"/>
    <col min="19" max="19" width="3.42578125" style="1" hidden="1" customWidth="1"/>
    <col min="20" max="20" width="13.7109375" style="1" hidden="1" customWidth="1"/>
    <col min="21" max="22" width="8.7109375" style="1" hidden="1" customWidth="1"/>
    <col min="23" max="16384" width="9.140625" style="1" hidden="1"/>
  </cols>
  <sheetData>
    <row r="1" spans="1:21" ht="15" customHeight="1" x14ac:dyDescent="0.4">
      <c r="A1" s="591" t="str">
        <f>texty!A22</f>
        <v>KOVANIE NA VSTAVANÉ SKRINE:</v>
      </c>
      <c r="B1" s="592"/>
      <c r="C1" s="592"/>
      <c r="D1" s="592"/>
      <c r="E1" s="592"/>
      <c r="F1" s="592"/>
      <c r="G1" s="592"/>
      <c r="H1" s="592"/>
      <c r="I1" s="592"/>
      <c r="J1" s="347"/>
      <c r="K1" s="347"/>
      <c r="L1" s="347"/>
      <c r="M1" s="347"/>
      <c r="N1" s="347"/>
      <c r="O1" s="347"/>
      <c r="P1" s="347"/>
      <c r="Q1" s="348"/>
    </row>
    <row r="2" spans="1:21" ht="15" customHeight="1" x14ac:dyDescent="0.4">
      <c r="A2" s="593"/>
      <c r="B2" s="594"/>
      <c r="C2" s="594"/>
      <c r="D2" s="594"/>
      <c r="E2" s="594"/>
      <c r="F2" s="594"/>
      <c r="G2" s="594"/>
      <c r="H2" s="594"/>
      <c r="I2" s="594"/>
      <c r="J2" s="31"/>
      <c r="K2" s="31"/>
      <c r="L2" s="31"/>
      <c r="M2" s="31"/>
      <c r="N2" s="31"/>
      <c r="O2" s="31"/>
      <c r="P2" s="31"/>
      <c r="Q2" s="32"/>
    </row>
    <row r="3" spans="1:21" ht="28.5" customHeight="1" thickBot="1" x14ac:dyDescent="0.45">
      <c r="A3" s="595"/>
      <c r="B3" s="596"/>
      <c r="C3" s="596"/>
      <c r="D3" s="596"/>
      <c r="E3" s="596"/>
      <c r="F3" s="596"/>
      <c r="G3" s="596"/>
      <c r="H3" s="596"/>
      <c r="I3" s="596"/>
      <c r="J3" s="33"/>
      <c r="K3" s="33"/>
      <c r="L3" s="33"/>
      <c r="M3" s="33"/>
      <c r="N3" s="33"/>
      <c r="O3" s="33"/>
      <c r="P3" s="33"/>
      <c r="Q3" s="34"/>
    </row>
    <row r="4" spans="1:21" ht="15" customHeight="1" x14ac:dyDescent="0.4">
      <c r="A4" s="349"/>
      <c r="B4" s="232"/>
      <c r="C4" s="232"/>
      <c r="D4" s="232"/>
      <c r="E4" s="232"/>
      <c r="F4" s="232"/>
      <c r="G4" s="232"/>
      <c r="H4" s="232"/>
      <c r="I4" s="232"/>
      <c r="J4" s="31"/>
      <c r="K4" s="31"/>
      <c r="L4" s="31"/>
      <c r="M4" s="31"/>
      <c r="N4" s="31"/>
      <c r="O4" s="31"/>
      <c r="P4" s="31"/>
      <c r="Q4" s="32"/>
    </row>
    <row r="5" spans="1:21" ht="19.5" customHeight="1" x14ac:dyDescent="0.25">
      <c r="A5" s="597" t="str">
        <f>texty!A23</f>
        <v>Zákazník: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9"/>
    </row>
    <row r="6" spans="1:21" ht="3" customHeight="1" thickBot="1" x14ac:dyDescent="0.45">
      <c r="A6" s="350"/>
      <c r="B6" s="233"/>
      <c r="C6" s="232"/>
      <c r="D6" s="232"/>
      <c r="E6" s="232"/>
      <c r="F6" s="232"/>
      <c r="G6" s="232"/>
      <c r="H6" s="232"/>
      <c r="I6" s="232"/>
      <c r="J6" s="31"/>
      <c r="K6" s="31"/>
      <c r="L6" s="31"/>
      <c r="M6" s="31"/>
      <c r="N6" s="31"/>
      <c r="O6" s="31"/>
      <c r="P6" s="31"/>
      <c r="Q6" s="32"/>
    </row>
    <row r="7" spans="1:21" ht="19.5" customHeight="1" thickBot="1" x14ac:dyDescent="0.3">
      <c r="A7" s="600" t="str">
        <f>texty!A24</f>
        <v>Názov:</v>
      </c>
      <c r="B7" s="601"/>
      <c r="C7" s="602"/>
      <c r="D7" s="603"/>
      <c r="E7" s="603"/>
      <c r="F7" s="603"/>
      <c r="G7" s="603"/>
      <c r="H7" s="603"/>
      <c r="I7" s="603"/>
      <c r="J7" s="603"/>
      <c r="K7" s="603"/>
      <c r="L7" s="603"/>
      <c r="M7" s="604"/>
      <c r="N7" s="604"/>
      <c r="O7" s="604"/>
      <c r="P7" s="604"/>
      <c r="Q7" s="605"/>
      <c r="T7" s="1" t="str">
        <f>CONCATENATE(texty!A23,C7,", ",C9,", ",C11,texty!A27,+C13)</f>
        <v>Zákazník:, , IČO:</v>
      </c>
    </row>
    <row r="8" spans="1:21" ht="3" customHeight="1" thickBot="1" x14ac:dyDescent="0.45">
      <c r="A8" s="350"/>
      <c r="B8" s="233"/>
      <c r="C8" s="232"/>
      <c r="D8" s="232"/>
      <c r="E8" s="232"/>
      <c r="F8" s="232"/>
      <c r="G8" s="232"/>
      <c r="H8" s="232"/>
      <c r="I8" s="232"/>
      <c r="J8" s="31"/>
      <c r="K8" s="31"/>
      <c r="L8" s="31"/>
      <c r="M8" s="31"/>
      <c r="N8" s="31"/>
      <c r="O8" s="31"/>
      <c r="P8" s="31"/>
      <c r="Q8" s="32"/>
    </row>
    <row r="9" spans="1:21" ht="19.5" customHeight="1" thickBot="1" x14ac:dyDescent="0.3">
      <c r="A9" s="600" t="str">
        <f>texty!A25</f>
        <v>Ulica:</v>
      </c>
      <c r="B9" s="601"/>
      <c r="C9" s="602"/>
      <c r="D9" s="603"/>
      <c r="E9" s="603"/>
      <c r="F9" s="603"/>
      <c r="G9" s="603"/>
      <c r="H9" s="603"/>
      <c r="I9" s="603"/>
      <c r="J9" s="603"/>
      <c r="K9" s="603"/>
      <c r="L9" s="603"/>
      <c r="M9" s="604"/>
      <c r="N9" s="604"/>
      <c r="O9" s="604"/>
      <c r="P9" s="604"/>
      <c r="Q9" s="605"/>
    </row>
    <row r="10" spans="1:21" ht="3" customHeight="1" thickBot="1" x14ac:dyDescent="0.45">
      <c r="A10" s="350"/>
      <c r="B10" s="233"/>
      <c r="C10" s="232"/>
      <c r="D10" s="232"/>
      <c r="E10" s="232"/>
      <c r="F10" s="232"/>
      <c r="G10" s="232"/>
      <c r="H10" s="232"/>
      <c r="I10" s="232"/>
      <c r="J10" s="31"/>
      <c r="K10" s="31"/>
      <c r="L10" s="31"/>
      <c r="M10" s="31"/>
      <c r="N10" s="31"/>
      <c r="O10" s="31"/>
      <c r="P10" s="31"/>
      <c r="Q10" s="32"/>
    </row>
    <row r="11" spans="1:21" ht="19.5" customHeight="1" thickBot="1" x14ac:dyDescent="0.3">
      <c r="A11" s="600" t="str">
        <f>texty!A26</f>
        <v>Mesto, PSČ:</v>
      </c>
      <c r="B11" s="601"/>
      <c r="C11" s="602"/>
      <c r="D11" s="603"/>
      <c r="E11" s="603"/>
      <c r="F11" s="603"/>
      <c r="G11" s="603"/>
      <c r="H11" s="603"/>
      <c r="I11" s="603"/>
      <c r="J11" s="603"/>
      <c r="K11" s="603"/>
      <c r="L11" s="603"/>
      <c r="M11" s="604"/>
      <c r="N11" s="604"/>
      <c r="O11" s="604"/>
      <c r="P11" s="604"/>
      <c r="Q11" s="605"/>
    </row>
    <row r="12" spans="1:21" ht="3" customHeight="1" thickBot="1" x14ac:dyDescent="0.45">
      <c r="A12" s="350"/>
      <c r="B12" s="233"/>
      <c r="C12" s="232"/>
      <c r="D12" s="232"/>
      <c r="E12" s="232"/>
      <c r="F12" s="232"/>
      <c r="G12" s="232"/>
      <c r="H12" s="232"/>
      <c r="I12" s="232"/>
      <c r="J12" s="31"/>
      <c r="K12" s="31"/>
      <c r="L12" s="31"/>
      <c r="M12" s="31"/>
      <c r="N12" s="31"/>
      <c r="O12" s="31"/>
      <c r="P12" s="31"/>
      <c r="Q12" s="32"/>
    </row>
    <row r="13" spans="1:21" ht="19.5" customHeight="1" thickBot="1" x14ac:dyDescent="0.3">
      <c r="A13" s="620" t="str">
        <f>texty!A27</f>
        <v>IČO:</v>
      </c>
      <c r="B13" s="601"/>
      <c r="C13" s="602"/>
      <c r="D13" s="603"/>
      <c r="E13" s="603"/>
      <c r="F13" s="603"/>
      <c r="G13" s="603"/>
      <c r="H13" s="603"/>
      <c r="I13" s="603"/>
      <c r="J13" s="603"/>
      <c r="K13" s="603"/>
      <c r="L13" s="603"/>
      <c r="M13" s="604"/>
      <c r="N13" s="604"/>
      <c r="O13" s="604"/>
      <c r="P13" s="604"/>
      <c r="Q13" s="605"/>
    </row>
    <row r="14" spans="1:21" ht="3" customHeight="1" thickBot="1" x14ac:dyDescent="0.45">
      <c r="A14" s="350"/>
      <c r="B14" s="233"/>
      <c r="C14" s="233"/>
      <c r="D14" s="233"/>
      <c r="E14" s="233"/>
      <c r="F14" s="233"/>
      <c r="G14" s="232"/>
      <c r="H14" s="232"/>
      <c r="I14" s="232"/>
      <c r="J14" s="31"/>
      <c r="K14" s="31"/>
      <c r="L14" s="31"/>
      <c r="M14" s="31"/>
      <c r="N14" s="31"/>
      <c r="O14" s="31"/>
      <c r="P14" s="31"/>
      <c r="Q14" s="32"/>
    </row>
    <row r="15" spans="1:21" ht="19.5" customHeight="1" thickBot="1" x14ac:dyDescent="0.3">
      <c r="A15" s="620" t="str">
        <f>texty!A28</f>
        <v>Zľava:</v>
      </c>
      <c r="B15" s="621"/>
      <c r="C15" s="622"/>
      <c r="D15" s="623"/>
      <c r="E15" s="234" t="s">
        <v>57</v>
      </c>
      <c r="F15" s="235" t="str">
        <f>texty!A29</f>
        <v>Poznámka:</v>
      </c>
      <c r="G15" s="624"/>
      <c r="H15" s="625"/>
      <c r="I15" s="625"/>
      <c r="J15" s="625"/>
      <c r="K15" s="625"/>
      <c r="L15" s="625"/>
      <c r="M15" s="626"/>
      <c r="N15" s="626"/>
      <c r="O15" s="626"/>
      <c r="P15" s="626"/>
      <c r="Q15" s="627"/>
      <c r="T15" s="1">
        <f>C15</f>
        <v>0</v>
      </c>
      <c r="U15" s="1">
        <f>G15</f>
        <v>0</v>
      </c>
    </row>
    <row r="16" spans="1:21" ht="22.5" customHeight="1" thickBot="1" x14ac:dyDescent="0.3">
      <c r="A16" s="608" t="str">
        <f>texty!A69</f>
        <v>Systémy:    Vzorkovník profilov objednávajte pod kódom 494207</v>
      </c>
      <c r="B16" s="609"/>
      <c r="C16" s="609"/>
      <c r="D16" s="609"/>
      <c r="E16" s="609"/>
      <c r="F16" s="609"/>
      <c r="G16" s="610"/>
      <c r="H16" s="610"/>
      <c r="I16" s="610"/>
      <c r="J16" s="610"/>
      <c r="K16" s="610"/>
      <c r="L16" s="610"/>
      <c r="M16" s="610"/>
      <c r="N16" s="610"/>
      <c r="O16" s="610"/>
      <c r="P16" s="610"/>
      <c r="Q16" s="611"/>
    </row>
    <row r="17" spans="1:17" s="222" customFormat="1" ht="24.75" customHeight="1" x14ac:dyDescent="0.2">
      <c r="A17" s="616" t="str">
        <f>texty!A31</f>
        <v>Výplň tl. 4 mm ( sklo lebo zrkadlo) - rámové dvere</v>
      </c>
      <c r="B17" s="617"/>
      <c r="C17" s="617"/>
      <c r="D17" s="617"/>
      <c r="E17" s="617"/>
      <c r="F17" s="617"/>
      <c r="G17" s="617"/>
      <c r="H17" s="617"/>
      <c r="I17" s="617"/>
      <c r="J17" s="617"/>
      <c r="K17" s="617"/>
      <c r="L17" s="617"/>
      <c r="M17" s="618"/>
      <c r="N17" s="618"/>
      <c r="O17" s="618"/>
      <c r="P17" s="618"/>
      <c r="Q17" s="619"/>
    </row>
    <row r="18" spans="1:17" ht="16.899999999999999" customHeight="1" thickBot="1" x14ac:dyDescent="0.3">
      <c r="A18" s="296"/>
      <c r="B18" s="408" t="str">
        <f>texty!A58</f>
        <v>výška až 3 m!</v>
      </c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2"/>
    </row>
    <row r="19" spans="1:17" ht="107.25" customHeight="1" thickBot="1" x14ac:dyDescent="0.3">
      <c r="A19" s="296"/>
      <c r="B19" s="354"/>
      <c r="C19" s="291"/>
      <c r="D19" s="293"/>
      <c r="E19" s="291"/>
      <c r="F19" s="293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2"/>
    </row>
    <row r="20" spans="1:17" ht="24" customHeight="1" x14ac:dyDescent="0.25">
      <c r="A20" s="296"/>
      <c r="B20" s="407" t="s">
        <v>850</v>
      </c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2"/>
    </row>
    <row r="21" spans="1:17" ht="15" customHeight="1" thickBot="1" x14ac:dyDescent="0.3">
      <c r="A21" s="297"/>
      <c r="B21" s="298"/>
      <c r="C21" s="294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294"/>
      <c r="P21" s="294"/>
      <c r="Q21" s="295"/>
    </row>
    <row r="22" spans="1:17" ht="24.75" customHeight="1" x14ac:dyDescent="0.25">
      <c r="A22" s="612" t="str">
        <f>texty!A30</f>
        <v>Výplň tl. 10mm(lebo sklo/zrkadlo s použitím tesnenia - hr.4 alebo 6mm) - rámové dvere</v>
      </c>
      <c r="B22" s="613"/>
      <c r="C22" s="613"/>
      <c r="D22" s="613"/>
      <c r="E22" s="613"/>
      <c r="F22" s="613"/>
      <c r="G22" s="613"/>
      <c r="H22" s="613"/>
      <c r="I22" s="613"/>
      <c r="J22" s="613"/>
      <c r="K22" s="613"/>
      <c r="L22" s="613"/>
      <c r="M22" s="614"/>
      <c r="N22" s="614"/>
      <c r="O22" s="614"/>
      <c r="P22" s="614"/>
      <c r="Q22" s="615"/>
    </row>
    <row r="23" spans="1:17" ht="10.15" customHeight="1" x14ac:dyDescent="0.25">
      <c r="A23" s="216"/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8"/>
    </row>
    <row r="24" spans="1:17" s="213" customFormat="1" ht="30.75" customHeight="1" thickBot="1" x14ac:dyDescent="0.25">
      <c r="A24" s="236"/>
      <c r="B24" s="237"/>
      <c r="C24" s="237"/>
      <c r="D24" s="358"/>
      <c r="E24" s="237"/>
      <c r="F24" s="237"/>
      <c r="G24" s="237"/>
      <c r="H24" s="237"/>
      <c r="I24" s="237"/>
      <c r="J24" s="238"/>
      <c r="K24" s="237"/>
      <c r="L24" s="237"/>
      <c r="M24" s="239"/>
      <c r="N24" s="240" t="str">
        <f>texty!A58</f>
        <v>výška až 3 m!</v>
      </c>
      <c r="O24" s="241"/>
      <c r="P24" s="242" t="str">
        <f>texty!A57</f>
        <v>výška až 3,5m!</v>
      </c>
      <c r="Q24" s="243"/>
    </row>
    <row r="25" spans="1:17" ht="107.25" customHeight="1" thickBot="1" x14ac:dyDescent="0.3">
      <c r="A25" s="219"/>
      <c r="B25" s="278"/>
      <c r="C25" s="244"/>
      <c r="D25" s="351"/>
      <c r="E25" s="237"/>
      <c r="F25" s="352"/>
      <c r="G25" s="220"/>
      <c r="H25" s="353"/>
      <c r="I25" s="245"/>
      <c r="J25" s="354"/>
      <c r="K25" s="244"/>
      <c r="L25" s="354"/>
      <c r="M25" s="246"/>
      <c r="N25" s="354"/>
      <c r="O25" s="244"/>
      <c r="P25" s="355"/>
      <c r="Q25" s="246"/>
    </row>
    <row r="26" spans="1:17" s="55" customFormat="1" ht="15" customHeight="1" x14ac:dyDescent="0.25">
      <c r="A26" s="247"/>
      <c r="B26" s="248" t="s">
        <v>751</v>
      </c>
      <c r="C26" s="249"/>
      <c r="D26" s="250" t="s">
        <v>43</v>
      </c>
      <c r="E26" s="251"/>
      <c r="F26" s="512" t="s">
        <v>867</v>
      </c>
      <c r="G26" s="220"/>
      <c r="H26" s="252" t="s">
        <v>44</v>
      </c>
      <c r="I26" s="251"/>
      <c r="J26" s="512" t="s">
        <v>734</v>
      </c>
      <c r="K26" s="249"/>
      <c r="L26" s="401" t="s">
        <v>81</v>
      </c>
      <c r="M26" s="221"/>
      <c r="N26" s="513" t="s">
        <v>699</v>
      </c>
      <c r="O26" s="253"/>
      <c r="P26" s="514" t="s">
        <v>85</v>
      </c>
      <c r="Q26" s="254"/>
    </row>
    <row r="27" spans="1:17" s="335" customFormat="1" ht="15" customHeight="1" x14ac:dyDescent="0.25">
      <c r="A27" s="323"/>
      <c r="B27" s="324"/>
      <c r="C27" s="325"/>
      <c r="D27" s="326"/>
      <c r="E27" s="327"/>
      <c r="F27" s="328"/>
      <c r="G27" s="329"/>
      <c r="H27" s="330"/>
      <c r="I27" s="325"/>
      <c r="J27" s="325"/>
      <c r="K27" s="325"/>
      <c r="L27" s="331"/>
      <c r="M27" s="332"/>
      <c r="N27" s="333"/>
      <c r="O27" s="332"/>
      <c r="P27" s="333"/>
      <c r="Q27" s="334"/>
    </row>
    <row r="28" spans="1:17" s="335" customFormat="1" ht="16.899999999999999" customHeight="1" x14ac:dyDescent="0.25">
      <c r="A28" s="323"/>
      <c r="B28" s="336"/>
      <c r="C28" s="325"/>
      <c r="D28" s="325"/>
      <c r="E28" s="325"/>
      <c r="F28" s="325"/>
      <c r="G28" s="325"/>
      <c r="H28" s="325"/>
      <c r="I28" s="325"/>
      <c r="J28" s="325"/>
      <c r="K28" s="332"/>
      <c r="L28" s="332"/>
      <c r="M28" s="606" t="s">
        <v>1026</v>
      </c>
      <c r="N28" s="606"/>
      <c r="O28" s="606"/>
      <c r="P28" s="606"/>
      <c r="Q28" s="607"/>
    </row>
    <row r="29" spans="1:17" s="335" customFormat="1" ht="16.899999999999999" customHeight="1" thickBot="1" x14ac:dyDescent="0.3">
      <c r="A29" s="323"/>
      <c r="B29" s="336"/>
      <c r="C29" s="325"/>
      <c r="D29" s="325"/>
      <c r="E29" s="325"/>
      <c r="F29" s="325"/>
      <c r="G29" s="325"/>
      <c r="H29" s="325"/>
      <c r="I29" s="325"/>
      <c r="J29" s="325"/>
      <c r="K29" s="332"/>
      <c r="L29" s="332"/>
      <c r="M29" s="337"/>
      <c r="N29" s="519"/>
      <c r="O29" s="519"/>
      <c r="P29" s="519"/>
      <c r="Q29" s="338"/>
    </row>
    <row r="30" spans="1:17" ht="107.25" customHeight="1" thickBot="1" x14ac:dyDescent="0.3">
      <c r="A30" s="323"/>
      <c r="B30" s="354"/>
      <c r="C30" s="325"/>
      <c r="D30" s="354"/>
      <c r="E30" s="325"/>
      <c r="F30" s="354"/>
      <c r="G30" s="325"/>
      <c r="H30" s="325"/>
      <c r="I30" s="325"/>
      <c r="J30" s="325"/>
      <c r="K30" s="325"/>
      <c r="L30" s="333"/>
      <c r="M30" s="339"/>
      <c r="N30" s="354"/>
      <c r="O30" s="339"/>
      <c r="P30" s="354"/>
      <c r="Q30" s="338"/>
    </row>
    <row r="31" spans="1:17" s="214" customFormat="1" ht="19.5" customHeight="1" x14ac:dyDescent="0.25">
      <c r="A31" s="403"/>
      <c r="B31" s="514" t="s">
        <v>845</v>
      </c>
      <c r="C31" s="404"/>
      <c r="D31" s="514" t="s">
        <v>2649</v>
      </c>
      <c r="E31" s="340"/>
      <c r="F31" s="514" t="s">
        <v>2651</v>
      </c>
      <c r="G31" s="340"/>
      <c r="H31" s="340"/>
      <c r="I31" s="340"/>
      <c r="J31" s="340"/>
      <c r="K31" s="340"/>
      <c r="L31" s="341"/>
      <c r="M31" s="342"/>
      <c r="N31" s="515" t="s">
        <v>681</v>
      </c>
      <c r="O31" s="346"/>
      <c r="P31" s="515" t="s">
        <v>682</v>
      </c>
      <c r="Q31" s="345"/>
    </row>
    <row r="32" spans="1:17" ht="19.5" customHeight="1" thickBot="1" x14ac:dyDescent="0.3">
      <c r="A32" s="323"/>
      <c r="B32" s="325"/>
      <c r="C32" s="325"/>
      <c r="D32" s="325"/>
      <c r="E32" s="325"/>
      <c r="F32" s="325"/>
      <c r="G32" s="325"/>
      <c r="H32" s="325"/>
      <c r="I32" s="343"/>
      <c r="J32" s="344"/>
      <c r="K32" s="344"/>
      <c r="L32" s="344"/>
      <c r="M32" s="342"/>
      <c r="N32" s="342"/>
      <c r="O32" s="342"/>
      <c r="P32" s="342"/>
      <c r="Q32" s="342"/>
    </row>
    <row r="33" spans="1:27" s="215" customFormat="1" ht="24.75" customHeight="1" x14ac:dyDescent="0.25">
      <c r="A33" s="577" t="str">
        <f>texty!A32</f>
        <v>Výplň 18mm (drevotrieska 18mm, prípadne kombinácia DTD + sklo / zrkadlo</v>
      </c>
      <c r="B33" s="578"/>
      <c r="C33" s="578"/>
      <c r="D33" s="578"/>
      <c r="E33" s="578"/>
      <c r="F33" s="578"/>
      <c r="G33" s="578"/>
      <c r="H33" s="578"/>
      <c r="I33" s="578"/>
      <c r="J33" s="578"/>
      <c r="K33" s="578"/>
      <c r="L33" s="578"/>
      <c r="M33" s="578"/>
      <c r="N33" s="578"/>
      <c r="O33" s="578"/>
      <c r="P33" s="578"/>
      <c r="Q33" s="579"/>
      <c r="AA33" s="1"/>
    </row>
    <row r="34" spans="1:27" ht="10.15" customHeight="1" x14ac:dyDescent="0.25">
      <c r="A34" s="223"/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59"/>
      <c r="N34" s="259"/>
      <c r="O34" s="259"/>
      <c r="P34" s="259"/>
      <c r="Q34" s="255"/>
      <c r="W34" s="208"/>
      <c r="X34" s="208"/>
      <c r="Y34" s="208"/>
      <c r="Z34" s="208"/>
    </row>
    <row r="35" spans="1:27" s="213" customFormat="1" ht="30.75" customHeight="1" thickBot="1" x14ac:dyDescent="0.3">
      <c r="A35" s="256"/>
      <c r="B35" s="257"/>
      <c r="C35" s="257"/>
      <c r="D35" s="257"/>
      <c r="E35" s="257"/>
      <c r="F35" s="359"/>
      <c r="G35" s="231"/>
      <c r="H35" s="359"/>
      <c r="I35" s="231"/>
      <c r="J35" s="359"/>
      <c r="K35" s="231"/>
      <c r="L35" s="359"/>
      <c r="M35" s="257"/>
      <c r="N35" s="227"/>
      <c r="O35" s="228"/>
      <c r="P35" s="225"/>
      <c r="Q35" s="255"/>
      <c r="AA35" s="1"/>
    </row>
    <row r="36" spans="1:27" ht="106.5" customHeight="1" thickBot="1" x14ac:dyDescent="0.3">
      <c r="A36" s="258"/>
      <c r="B36" s="353"/>
      <c r="C36" s="259"/>
      <c r="D36" s="278"/>
      <c r="E36" s="259"/>
      <c r="F36" s="353"/>
      <c r="G36" s="259"/>
      <c r="H36" s="353"/>
      <c r="I36" s="259"/>
      <c r="J36" s="353"/>
      <c r="K36" s="260"/>
      <c r="L36" s="279"/>
      <c r="M36" s="261"/>
      <c r="N36" s="353"/>
      <c r="O36" s="261"/>
      <c r="P36" s="286"/>
      <c r="Q36" s="520"/>
    </row>
    <row r="37" spans="1:27" s="55" customFormat="1" ht="15" customHeight="1" x14ac:dyDescent="0.25">
      <c r="A37" s="262"/>
      <c r="B37" s="516" t="s">
        <v>743</v>
      </c>
      <c r="C37" s="263"/>
      <c r="D37" s="516" t="s">
        <v>722</v>
      </c>
      <c r="E37" s="263"/>
      <c r="F37" s="516" t="s">
        <v>838</v>
      </c>
      <c r="G37" s="263"/>
      <c r="H37" s="516" t="s">
        <v>6562</v>
      </c>
      <c r="I37" s="263"/>
      <c r="J37" s="516" t="s">
        <v>868</v>
      </c>
      <c r="K37" s="264"/>
      <c r="L37" s="225" t="s">
        <v>746</v>
      </c>
      <c r="M37" s="516"/>
      <c r="N37" s="516" t="s">
        <v>744</v>
      </c>
      <c r="O37" s="516"/>
      <c r="P37" s="286"/>
      <c r="Q37" s="312"/>
      <c r="R37" s="4"/>
      <c r="T37" s="175"/>
    </row>
    <row r="38" spans="1:27" s="55" customFormat="1" ht="15" customHeight="1" x14ac:dyDescent="0.25">
      <c r="A38" s="262"/>
      <c r="B38" s="225"/>
      <c r="C38" s="263"/>
      <c r="D38" s="226"/>
      <c r="E38" s="263"/>
      <c r="F38" s="225"/>
      <c r="G38" s="263"/>
      <c r="H38" s="225"/>
      <c r="I38" s="263"/>
      <c r="J38" s="225"/>
      <c r="K38" s="264"/>
      <c r="L38" s="225"/>
      <c r="M38" s="286"/>
      <c r="N38" s="286"/>
      <c r="O38" s="286"/>
      <c r="P38" s="286"/>
      <c r="Q38" s="312"/>
      <c r="R38" s="4"/>
      <c r="T38" s="175"/>
    </row>
    <row r="39" spans="1:27" s="225" customFormat="1" ht="15" customHeight="1" x14ac:dyDescent="0.25">
      <c r="A39" s="262"/>
      <c r="C39" s="263"/>
      <c r="E39" s="263"/>
      <c r="G39" s="263"/>
      <c r="I39" s="264"/>
      <c r="L39" s="286"/>
      <c r="M39" s="286"/>
      <c r="N39" s="286"/>
      <c r="O39" s="286"/>
      <c r="P39" s="286"/>
      <c r="Q39" s="286"/>
    </row>
    <row r="40" spans="1:27" ht="16.899999999999999" customHeight="1" thickBot="1" x14ac:dyDescent="0.3">
      <c r="A40" s="259"/>
      <c r="B40" s="261"/>
      <c r="C40" s="228"/>
      <c r="D40" s="228"/>
      <c r="E40" s="228"/>
      <c r="F40" s="261"/>
      <c r="G40" s="264"/>
      <c r="H40" s="225"/>
      <c r="I40" s="225"/>
      <c r="J40" s="225"/>
      <c r="K40" s="280"/>
      <c r="L40" s="280"/>
      <c r="M40" s="286"/>
      <c r="N40" s="286"/>
      <c r="O40" s="286"/>
      <c r="P40" s="286"/>
      <c r="Q40" s="286"/>
    </row>
    <row r="41" spans="1:27" ht="106.5" customHeight="1" thickBot="1" x14ac:dyDescent="0.3">
      <c r="A41" s="259"/>
      <c r="B41" s="281"/>
      <c r="C41" s="259"/>
      <c r="D41" s="282"/>
      <c r="E41" s="229"/>
      <c r="F41" s="279"/>
      <c r="G41" s="229"/>
      <c r="H41" s="279"/>
      <c r="I41" s="275"/>
      <c r="J41" s="274"/>
      <c r="K41" s="280"/>
      <c r="L41" s="281"/>
      <c r="M41" s="286"/>
      <c r="N41" s="286"/>
      <c r="O41" s="286"/>
      <c r="P41" s="286"/>
      <c r="Q41" s="286"/>
    </row>
    <row r="42" spans="1:27" s="55" customFormat="1" x14ac:dyDescent="0.25">
      <c r="A42" s="263"/>
      <c r="B42" s="225" t="s">
        <v>869</v>
      </c>
      <c r="C42" s="263"/>
      <c r="D42" s="225" t="s">
        <v>575</v>
      </c>
      <c r="E42" s="263"/>
      <c r="F42" s="225" t="s">
        <v>601</v>
      </c>
      <c r="G42" s="263"/>
      <c r="H42" s="225" t="s">
        <v>605</v>
      </c>
      <c r="I42" s="516"/>
      <c r="J42" s="575" t="s">
        <v>844</v>
      </c>
      <c r="K42" s="283"/>
      <c r="L42" s="225" t="s">
        <v>82</v>
      </c>
      <c r="M42" s="286"/>
      <c r="N42" s="286"/>
      <c r="O42" s="286"/>
      <c r="P42" s="286"/>
      <c r="Q42" s="286"/>
      <c r="V42" s="1"/>
    </row>
    <row r="43" spans="1:27" s="55" customFormat="1" x14ac:dyDescent="0.25">
      <c r="A43" s="305"/>
      <c r="B43" s="286"/>
      <c r="C43" s="287"/>
      <c r="D43" s="286"/>
      <c r="E43" s="287"/>
      <c r="F43" s="286"/>
      <c r="G43" s="287"/>
      <c r="H43" s="286"/>
      <c r="I43" s="287"/>
      <c r="J43" s="286"/>
      <c r="K43" s="287"/>
      <c r="L43" s="286"/>
      <c r="M43" s="286"/>
      <c r="N43" s="286"/>
      <c r="O43" s="286"/>
      <c r="P43" s="286"/>
      <c r="Q43" s="312"/>
      <c r="R43" s="4"/>
      <c r="X43" s="1"/>
    </row>
    <row r="44" spans="1:27" s="317" customFormat="1" ht="29.25" customHeight="1" x14ac:dyDescent="0.25">
      <c r="A44" s="585" t="str">
        <f>texty!$A$61</f>
        <v>systém GM 18 (kombinácia DTD 18mm a sklo)</v>
      </c>
      <c r="B44" s="586"/>
      <c r="C44" s="586"/>
      <c r="D44" s="586"/>
      <c r="E44" s="586"/>
      <c r="F44" s="517"/>
      <c r="G44" s="590" t="str">
        <f>texty!$A$221</f>
        <v>Blue 18 mm (rámový)</v>
      </c>
      <c r="H44" s="590"/>
      <c r="I44" s="590"/>
      <c r="J44" s="590"/>
      <c r="K44" s="590"/>
      <c r="L44" s="517"/>
      <c r="M44" s="587" t="str">
        <f>texty!$A$220</f>
        <v>Blue 18 mm (bezrámovo)</v>
      </c>
      <c r="N44" s="587"/>
      <c r="O44" s="587"/>
      <c r="P44" s="587"/>
      <c r="Q44" s="588"/>
      <c r="R44" s="316"/>
    </row>
    <row r="45" spans="1:27" s="317" customFormat="1" ht="16.5" thickBot="1" x14ac:dyDescent="0.3">
      <c r="A45" s="313"/>
      <c r="B45" s="314"/>
      <c r="C45" s="314"/>
      <c r="D45" s="318"/>
      <c r="E45" s="314"/>
      <c r="F45" s="287"/>
      <c r="G45" s="356"/>
      <c r="H45" s="321" t="str">
        <f>texty!$A$151</f>
        <v>NOVINKA</v>
      </c>
      <c r="I45" s="356"/>
      <c r="J45" s="321" t="str">
        <f>texty!$A$151</f>
        <v>NOVINKA</v>
      </c>
      <c r="K45" s="319"/>
      <c r="L45" s="286"/>
      <c r="M45" s="320"/>
      <c r="N45" s="321" t="str">
        <f>texty!$A$151</f>
        <v>NOVINKA</v>
      </c>
      <c r="O45" s="320"/>
      <c r="P45" s="321" t="str">
        <f>texty!$A$151</f>
        <v>NOVINKA</v>
      </c>
      <c r="Q45" s="322"/>
      <c r="R45" s="316"/>
    </row>
    <row r="46" spans="1:27" s="55" customFormat="1" ht="106.5" customHeight="1" thickTop="1" thickBot="1" x14ac:dyDescent="0.3">
      <c r="A46" s="315"/>
      <c r="B46" s="274"/>
      <c r="C46" s="307"/>
      <c r="D46" s="375"/>
      <c r="E46" s="307"/>
      <c r="F46" s="287"/>
      <c r="G46" s="268"/>
      <c r="H46" s="273"/>
      <c r="I46" s="268"/>
      <c r="J46" s="273"/>
      <c r="K46" s="268"/>
      <c r="L46" s="286"/>
      <c r="M46" s="230"/>
      <c r="N46" s="273"/>
      <c r="O46" s="230"/>
      <c r="P46" s="273"/>
      <c r="Q46" s="267"/>
      <c r="R46" s="4"/>
    </row>
    <row r="47" spans="1:27" s="55" customFormat="1" x14ac:dyDescent="0.25">
      <c r="A47" s="405"/>
      <c r="B47" s="402" t="s">
        <v>3571</v>
      </c>
      <c r="C47" s="406"/>
      <c r="D47" s="402" t="s">
        <v>3581</v>
      </c>
      <c r="E47" s="302"/>
      <c r="F47" s="287"/>
      <c r="G47" s="268"/>
      <c r="H47" s="230" t="s">
        <v>944</v>
      </c>
      <c r="I47" s="265"/>
      <c r="J47" s="277" t="s">
        <v>918</v>
      </c>
      <c r="K47" s="265"/>
      <c r="L47" s="517"/>
      <c r="M47" s="402"/>
      <c r="N47" s="230" t="s">
        <v>944</v>
      </c>
      <c r="O47" s="402"/>
      <c r="P47" s="230" t="s">
        <v>918</v>
      </c>
      <c r="Q47" s="266"/>
      <c r="R47" s="4"/>
    </row>
    <row r="48" spans="1:27" s="55" customFormat="1" ht="15.75" x14ac:dyDescent="0.25">
      <c r="A48" s="299"/>
      <c r="B48" s="300"/>
      <c r="C48" s="300"/>
      <c r="D48" s="301"/>
      <c r="E48" s="302"/>
      <c r="F48" s="286"/>
      <c r="G48" s="303"/>
      <c r="H48" s="300"/>
      <c r="I48" s="304"/>
      <c r="J48" s="319"/>
      <c r="K48" s="276"/>
      <c r="L48" s="286"/>
      <c r="M48" s="277"/>
      <c r="N48" s="277"/>
      <c r="O48" s="277"/>
      <c r="P48" s="277"/>
      <c r="Q48" s="266"/>
      <c r="R48" s="4"/>
    </row>
    <row r="49" spans="1:24" s="55" customFormat="1" ht="16.899999999999999" customHeight="1" x14ac:dyDescent="0.25">
      <c r="A49" s="305"/>
      <c r="B49" s="286"/>
      <c r="C49" s="287"/>
      <c r="D49" s="287"/>
      <c r="E49" s="287"/>
      <c r="F49" s="287"/>
      <c r="G49" s="287"/>
      <c r="H49" s="286"/>
      <c r="I49" s="287"/>
      <c r="J49" s="286"/>
      <c r="K49" s="287"/>
      <c r="L49" s="286"/>
      <c r="M49" s="286"/>
      <c r="N49" s="286"/>
      <c r="O49" s="286"/>
      <c r="P49" s="286"/>
      <c r="Q49" s="290"/>
      <c r="R49" s="4"/>
      <c r="X49" s="1"/>
    </row>
    <row r="50" spans="1:24" s="55" customFormat="1" x14ac:dyDescent="0.25">
      <c r="A50" s="305"/>
      <c r="B50" s="286"/>
      <c r="C50" s="287"/>
      <c r="D50" s="287"/>
      <c r="E50" s="287"/>
      <c r="F50" s="287"/>
      <c r="G50" s="287"/>
      <c r="H50" s="286"/>
      <c r="I50" s="286"/>
      <c r="J50" s="286"/>
      <c r="K50" s="587" t="str">
        <f>texty!$A$222</f>
        <v> Systém Comfort</v>
      </c>
      <c r="L50" s="587"/>
      <c r="M50" s="587"/>
      <c r="N50" s="587"/>
      <c r="O50" s="587"/>
      <c r="P50" s="587"/>
      <c r="Q50" s="588"/>
      <c r="R50" s="4"/>
      <c r="X50" s="1"/>
    </row>
    <row r="51" spans="1:24" s="55" customFormat="1" ht="16.899999999999999" customHeight="1" thickBot="1" x14ac:dyDescent="0.3">
      <c r="A51" s="305"/>
      <c r="B51" s="286"/>
      <c r="C51" s="287"/>
      <c r="D51" s="287"/>
      <c r="E51" s="287"/>
      <c r="F51" s="286"/>
      <c r="G51" s="287"/>
      <c r="H51" s="286"/>
      <c r="I51" s="287"/>
      <c r="J51" s="286"/>
      <c r="K51" s="302"/>
      <c r="L51" s="300"/>
      <c r="M51" s="302"/>
      <c r="N51" s="300"/>
      <c r="O51" s="302"/>
      <c r="P51" s="300"/>
      <c r="Q51" s="311"/>
      <c r="R51" s="4"/>
      <c r="X51" s="1"/>
    </row>
    <row r="52" spans="1:24" s="55" customFormat="1" ht="106.15" customHeight="1" thickBot="1" x14ac:dyDescent="0.3">
      <c r="A52" s="305"/>
      <c r="B52" s="286"/>
      <c r="C52" s="287"/>
      <c r="D52" s="287"/>
      <c r="E52" s="287"/>
      <c r="F52" s="286"/>
      <c r="G52" s="287"/>
      <c r="H52" s="286"/>
      <c r="I52" s="287"/>
      <c r="J52" s="286"/>
      <c r="K52" s="302"/>
      <c r="L52" s="284"/>
      <c r="M52" s="302"/>
      <c r="N52" s="284"/>
      <c r="O52" s="302"/>
      <c r="P52" s="284"/>
      <c r="Q52" s="311"/>
      <c r="R52" s="4"/>
    </row>
    <row r="53" spans="1:24" x14ac:dyDescent="0.25">
      <c r="A53" s="305"/>
      <c r="B53" s="286"/>
      <c r="C53" s="287"/>
      <c r="D53" s="287"/>
      <c r="E53" s="287"/>
      <c r="F53" s="287"/>
      <c r="G53" s="287"/>
      <c r="H53" s="286"/>
      <c r="I53" s="287"/>
      <c r="J53" s="286"/>
      <c r="K53" s="307"/>
      <c r="L53" s="402" t="s">
        <v>870</v>
      </c>
      <c r="M53" s="303"/>
      <c r="N53" s="402" t="s">
        <v>872</v>
      </c>
      <c r="O53" s="303"/>
      <c r="P53" s="402" t="s">
        <v>871</v>
      </c>
      <c r="Q53" s="311"/>
      <c r="R53" s="4"/>
    </row>
    <row r="54" spans="1:24" ht="15.75" thickBot="1" x14ac:dyDescent="0.3">
      <c r="A54" s="306"/>
      <c r="B54" s="288"/>
      <c r="C54" s="287"/>
      <c r="D54" s="287"/>
      <c r="E54" s="287"/>
      <c r="F54" s="289"/>
      <c r="G54" s="287"/>
      <c r="H54" s="286"/>
      <c r="I54" s="287"/>
      <c r="J54" s="288"/>
      <c r="K54" s="308"/>
      <c r="L54" s="309"/>
      <c r="M54" s="309"/>
      <c r="N54" s="309"/>
      <c r="O54" s="309"/>
      <c r="P54" s="309"/>
      <c r="Q54" s="310"/>
      <c r="R54" s="4"/>
    </row>
    <row r="55" spans="1:24" ht="24.75" customHeight="1" thickBot="1" x14ac:dyDescent="0.3">
      <c r="A55" s="580" t="s">
        <v>4</v>
      </c>
      <c r="B55" s="581"/>
      <c r="C55" s="581"/>
      <c r="D55" s="581"/>
      <c r="E55" s="581"/>
      <c r="F55" s="581"/>
      <c r="G55" s="581"/>
      <c r="H55" s="581"/>
      <c r="I55" s="581"/>
      <c r="J55" s="581"/>
      <c r="K55" s="581"/>
      <c r="L55" s="581"/>
      <c r="M55" s="581"/>
      <c r="N55" s="581"/>
      <c r="O55" s="581"/>
      <c r="P55" s="581"/>
      <c r="Q55" s="582"/>
    </row>
    <row r="56" spans="1:24" ht="24.75" customHeight="1" x14ac:dyDescent="0.25">
      <c r="A56" s="269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</row>
    <row r="57" spans="1:24" s="270" customFormat="1" ht="24.75" customHeight="1" x14ac:dyDescent="0.25">
      <c r="A57" s="589"/>
      <c r="B57" s="589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</row>
    <row r="58" spans="1:24" s="270" customFormat="1" ht="24.75" customHeight="1" x14ac:dyDescent="0.25">
      <c r="A58" s="269"/>
      <c r="M58" s="269"/>
      <c r="N58" s="269"/>
      <c r="O58" s="269"/>
      <c r="P58" s="269"/>
      <c r="Q58" s="269"/>
    </row>
    <row r="59" spans="1:24" s="270" customFormat="1" ht="24.75" customHeight="1" x14ac:dyDescent="0.25">
      <c r="A59" s="269"/>
      <c r="B59" s="584">
        <v>494207</v>
      </c>
      <c r="C59" s="584"/>
      <c r="D59" s="584"/>
      <c r="E59" s="269"/>
      <c r="F59" s="505" t="str">
        <f>+VLOOKUP(B59,cennik!$A:$G,2,FALSE)</f>
        <v>SEVROLL vzorkovník Úchytkové lišty 2023 - šanon</v>
      </c>
      <c r="G59" s="505"/>
      <c r="H59" s="505"/>
      <c r="I59" s="505"/>
      <c r="J59" s="505"/>
      <c r="K59" s="505"/>
      <c r="L59" s="505"/>
      <c r="M59" s="269"/>
      <c r="N59" s="269"/>
      <c r="O59" s="269"/>
      <c r="P59" s="269"/>
      <c r="Q59" s="269"/>
    </row>
    <row r="60" spans="1:24" s="270" customFormat="1" ht="24.75" customHeight="1" x14ac:dyDescent="0.25">
      <c r="A60" s="269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</row>
    <row r="61" spans="1:24" s="270" customFormat="1" ht="24.75" customHeight="1" x14ac:dyDescent="0.25">
      <c r="A61" s="269"/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</row>
    <row r="62" spans="1:24" s="270" customFormat="1" ht="24.75" customHeight="1" x14ac:dyDescent="0.25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</row>
    <row r="63" spans="1:24" s="270" customFormat="1" ht="24.75" customHeight="1" x14ac:dyDescent="0.25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</row>
    <row r="64" spans="1:24" s="270" customFormat="1" ht="24.75" customHeight="1" x14ac:dyDescent="0.25">
      <c r="A64" s="269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</row>
    <row r="65" spans="1:17" s="270" customFormat="1" ht="24.75" customHeight="1" x14ac:dyDescent="0.25">
      <c r="A65" s="269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</row>
    <row r="66" spans="1:17" s="270" customFormat="1" ht="24.75" customHeight="1" x14ac:dyDescent="0.25">
      <c r="A66" s="269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</row>
    <row r="67" spans="1:17" s="270" customFormat="1" ht="24.75" customHeight="1" x14ac:dyDescent="0.25">
      <c r="A67" s="269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</row>
    <row r="68" spans="1:17" s="270" customFormat="1" ht="24.75" customHeight="1" x14ac:dyDescent="0.25">
      <c r="A68" s="269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</row>
    <row r="69" spans="1:17" s="270" customFormat="1" ht="24.75" customHeight="1" x14ac:dyDescent="0.25">
      <c r="A69" s="269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</row>
    <row r="70" spans="1:17" ht="9.75" customHeight="1" x14ac:dyDescent="0.25"/>
    <row r="71" spans="1:17" ht="18" x14ac:dyDescent="0.25">
      <c r="A71" s="583" t="str">
        <f>texty!A190</f>
        <v>Ďalšie príslušenstvo</v>
      </c>
      <c r="B71" s="583"/>
      <c r="C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</row>
    <row r="72" spans="1:17" ht="15" customHeight="1" x14ac:dyDescent="0.25"/>
    <row r="73" spans="1:17" ht="15" customHeight="1" x14ac:dyDescent="0.25">
      <c r="A73" s="55" t="str">
        <f>texty!A144</f>
        <v>Návod na použitie:</v>
      </c>
    </row>
    <row r="74" spans="1:17" ht="15" customHeight="1" x14ac:dyDescent="0.25">
      <c r="A74" s="1" t="str">
        <f>texty!A134</f>
        <v>1. Vyplnte prosím kontatkné údaje, taktiež môžete zadať svoju zákaznícku zľavu.Tieto údaje sa prenesú na jednotlivé listy.</v>
      </c>
    </row>
    <row r="75" spans="1:17" ht="15" customHeight="1" x14ac:dyDescent="0.25">
      <c r="A75" s="1" t="str">
        <f>texty!A135</f>
        <v>2. Vyberte požadovaný typ úchytného profilu (kliknite na názov profilu pod obrázkom)</v>
      </c>
    </row>
    <row r="76" spans="1:17" ht="15" customHeight="1" x14ac:dyDescent="0.25">
      <c r="A76" s="1" t="str">
        <f>texty!A136</f>
        <v>3. Na stránke so zostavou profilou vyplnte rozmer otvoru.</v>
      </c>
    </row>
    <row r="77" spans="1:17" ht="15" customHeight="1" x14ac:dyDescent="0.25">
      <c r="A77" s="1" t="str">
        <f>texty!A137</f>
        <v>4. Vyplnte počet dverí, z ktorých sa bude zostava skladať</v>
      </c>
    </row>
    <row r="78" spans="1:17" ht="15" customHeight="1" x14ac:dyDescent="0.25">
      <c r="A78" s="1" t="str">
        <f>texty!A138</f>
        <v>5. Vyberte požadovanú farbu profilu (kliknite na okienko so šipkou - rozbalí sa zoznam, tu vyberte farbu)</v>
      </c>
    </row>
    <row r="79" spans="1:17" ht="15" customHeight="1" x14ac:dyDescent="0.25">
      <c r="A79" s="1" t="str">
        <f>texty!A139</f>
        <v>6. V prípade, že chcete dvere rozdeliť deliacími profilmi, doplnte v spodnej časti formuláru potrebný počet líšt</v>
      </c>
    </row>
    <row r="80" spans="1:17" ht="15" customHeight="1" x14ac:dyDescent="0.25">
      <c r="A80" s="1" t="str">
        <f>texty!A140</f>
        <v>7. Pri použití skla alebo zrkadla je nutné použiť tesniaci profil. Vzhľadom k možnej kombinácií skla s doskami</v>
      </c>
    </row>
    <row r="81" spans="1:15" ht="15" customHeight="1" x14ac:dyDescent="0.25">
      <c r="A81" s="1" t="str">
        <f>texty!A141</f>
        <v xml:space="preserve">    nie je možné určiť dĺžku tesnenia predom. V zostave je vypočítaná dĺžka tesnenia na jedno krídlo.</v>
      </c>
    </row>
    <row r="82" spans="1:15" ht="15" customHeight="1" x14ac:dyDescent="0.25">
      <c r="A82" s="1" t="str">
        <f>texty!A142</f>
        <v xml:space="preserve">    Ďalej je spočítaná dĺžka v prípade, že celá zostava je zo skla / zrkadla</v>
      </c>
      <c r="H82" s="212"/>
      <c r="I82" s="212"/>
      <c r="J82" s="212"/>
    </row>
    <row r="83" spans="1:15" ht="15" customHeight="1" x14ac:dyDescent="0.25">
      <c r="A83" s="1" t="str">
        <f>texty!A143</f>
        <v>8. V prípade delenia úchytového profilu je kalkulovaná šírka rezu 5mm.</v>
      </c>
    </row>
    <row r="84" spans="1:15" ht="15" customHeight="1" x14ac:dyDescent="0.25"/>
    <row r="85" spans="1:15" ht="15" customHeight="1" x14ac:dyDescent="0.25">
      <c r="O85" s="166"/>
    </row>
    <row r="86" spans="1:15" ht="16.5" customHeight="1" x14ac:dyDescent="0.25">
      <c r="O86" s="166"/>
    </row>
    <row r="87" spans="1:15" ht="15" customHeight="1" x14ac:dyDescent="0.25">
      <c r="B87" s="155" t="s">
        <v>6561</v>
      </c>
      <c r="F87" s="139" t="s">
        <v>114</v>
      </c>
      <c r="G87" s="138" t="str">
        <f>cennik!$B$2</f>
        <v>EUR</v>
      </c>
    </row>
    <row r="88" spans="1:15" ht="15" customHeight="1" x14ac:dyDescent="0.25">
      <c r="A88" s="153" t="str">
        <f>texty!A153</f>
        <v>Spracované na základe údajov dodaných výrobcom, chyby vyhradené, zvlášť v prípade hromadnej výroby odporúčame najprv výrobu skúšobného prototypu</v>
      </c>
    </row>
    <row r="89" spans="1:15" ht="15" customHeight="1" x14ac:dyDescent="0.25"/>
    <row r="97" s="1" customFormat="1" ht="15" hidden="1" customHeight="1" x14ac:dyDescent="0.25"/>
    <row r="98" s="1" customFormat="1" ht="15" hidden="1" customHeight="1" x14ac:dyDescent="0.25"/>
    <row r="99" s="1" customFormat="1" ht="15" hidden="1" customHeight="1" x14ac:dyDescent="0.25"/>
    <row r="100" s="1" customFormat="1" ht="15" hidden="1" customHeight="1" x14ac:dyDescent="0.25"/>
    <row r="101" s="1" customFormat="1" ht="15" hidden="1" customHeight="1" x14ac:dyDescent="0.25"/>
    <row r="102" s="1" customFormat="1" ht="15" hidden="1" customHeight="1" x14ac:dyDescent="0.25"/>
    <row r="103" s="1" customFormat="1" ht="15" hidden="1" customHeight="1" x14ac:dyDescent="0.25"/>
    <row r="104" s="1" customFormat="1" ht="15" hidden="1" customHeight="1" x14ac:dyDescent="0.25"/>
    <row r="105" s="1" customFormat="1" ht="15" hidden="1" customHeight="1" x14ac:dyDescent="0.25"/>
    <row r="106" s="1" customFormat="1" ht="15" hidden="1" customHeight="1" x14ac:dyDescent="0.25"/>
    <row r="107" s="1" customFormat="1" ht="15" hidden="1" customHeight="1" x14ac:dyDescent="0.25"/>
    <row r="108" s="1" customFormat="1" ht="15" hidden="1" customHeight="1" x14ac:dyDescent="0.25"/>
    <row r="109" s="1" customFormat="1" ht="15" hidden="1" customHeight="1" x14ac:dyDescent="0.25"/>
    <row r="110" s="1" customFormat="1" ht="15" hidden="1" customHeight="1" x14ac:dyDescent="0.25"/>
    <row r="111" s="1" customFormat="1" ht="15" hidden="1" customHeight="1" x14ac:dyDescent="0.25"/>
    <row r="112" s="1" customFormat="1" ht="15" hidden="1" customHeight="1" x14ac:dyDescent="0.25"/>
    <row r="113" s="1" customFormat="1" ht="15" hidden="1" customHeight="1" x14ac:dyDescent="0.25"/>
    <row r="114" s="1" customFormat="1" ht="15" hidden="1" customHeight="1" x14ac:dyDescent="0.25"/>
    <row r="115" s="1" customFormat="1" ht="15" hidden="1" customHeight="1" x14ac:dyDescent="0.25"/>
    <row r="116" s="1" customFormat="1" ht="15" hidden="1" customHeight="1" x14ac:dyDescent="0.25"/>
    <row r="117" s="1" customFormat="1" ht="15" hidden="1" customHeight="1" x14ac:dyDescent="0.25"/>
    <row r="118" s="1" customFormat="1" ht="15" hidden="1" customHeight="1" x14ac:dyDescent="0.25"/>
    <row r="119" s="1" customFormat="1" ht="15" hidden="1" customHeight="1" x14ac:dyDescent="0.25"/>
    <row r="120" s="1" customFormat="1" ht="15" hidden="1" customHeight="1" x14ac:dyDescent="0.25"/>
    <row r="121" s="1" customFormat="1" ht="15" hidden="1" customHeight="1" x14ac:dyDescent="0.25"/>
    <row r="122" s="1" customFormat="1" ht="15" hidden="1" customHeight="1" x14ac:dyDescent="0.25"/>
    <row r="123" s="1" customFormat="1" ht="15" hidden="1" customHeight="1" x14ac:dyDescent="0.25"/>
    <row r="124" s="1" customFormat="1" ht="15" hidden="1" customHeight="1" x14ac:dyDescent="0.25"/>
    <row r="125" s="1" customFormat="1" ht="15" hidden="1" customHeight="1" x14ac:dyDescent="0.25"/>
    <row r="126" s="1" customFormat="1" ht="15" hidden="1" customHeight="1" x14ac:dyDescent="0.25"/>
    <row r="127" s="1" customFormat="1" ht="15" hidden="1" customHeight="1" x14ac:dyDescent="0.25"/>
    <row r="128" s="1" customFormat="1" ht="15" hidden="1" customHeight="1" x14ac:dyDescent="0.25"/>
    <row r="129" s="1" customFormat="1" ht="15" hidden="1" customHeight="1" x14ac:dyDescent="0.25"/>
    <row r="130" s="1" customFormat="1" ht="15" hidden="1" customHeight="1" x14ac:dyDescent="0.25"/>
    <row r="131" s="1" customFormat="1" ht="15" hidden="1" customHeight="1" x14ac:dyDescent="0.25"/>
    <row r="132" s="1" customFormat="1" ht="15" hidden="1" customHeight="1" x14ac:dyDescent="0.25"/>
    <row r="133" s="1" customFormat="1" ht="15" hidden="1" customHeight="1" x14ac:dyDescent="0.25"/>
    <row r="134" s="1" customFormat="1" ht="15" hidden="1" customHeight="1" x14ac:dyDescent="0.25"/>
    <row r="135" s="1" customFormat="1" ht="15" hidden="1" customHeight="1" x14ac:dyDescent="0.25"/>
    <row r="136" s="1" customFormat="1" ht="15" hidden="1" customHeight="1" x14ac:dyDescent="0.25"/>
    <row r="137" s="1" customFormat="1" ht="15" hidden="1" customHeight="1" x14ac:dyDescent="0.25"/>
    <row r="138" s="1" customFormat="1" ht="15" hidden="1" customHeight="1" x14ac:dyDescent="0.25"/>
    <row r="139" s="1" customFormat="1" ht="15" hidden="1" customHeight="1" x14ac:dyDescent="0.25"/>
    <row r="140" s="1" customFormat="1" ht="15" hidden="1" customHeight="1" x14ac:dyDescent="0.25"/>
    <row r="141" s="1" customFormat="1" ht="15" hidden="1" customHeight="1" x14ac:dyDescent="0.25"/>
    <row r="142" s="1" customFormat="1" ht="15" hidden="1" customHeight="1" x14ac:dyDescent="0.25"/>
    <row r="143" s="1" customFormat="1" ht="15" hidden="1" customHeight="1" x14ac:dyDescent="0.25"/>
    <row r="144" s="1" customFormat="1" ht="15" hidden="1" customHeight="1" x14ac:dyDescent="0.25"/>
    <row r="145" s="1" customFormat="1" ht="15" hidden="1" customHeight="1" x14ac:dyDescent="0.25"/>
    <row r="146" s="1" customFormat="1" ht="15" hidden="1" customHeight="1" x14ac:dyDescent="0.25"/>
    <row r="147" s="1" customFormat="1" ht="15" hidden="1" customHeight="1" x14ac:dyDescent="0.25"/>
    <row r="148" s="1" customFormat="1" ht="15" hidden="1" customHeight="1" x14ac:dyDescent="0.25"/>
    <row r="149" s="1" customFormat="1" ht="15" hidden="1" customHeight="1" x14ac:dyDescent="0.25"/>
    <row r="150" s="1" customFormat="1" ht="15" hidden="1" customHeight="1" x14ac:dyDescent="0.25"/>
    <row r="151" s="1" customFormat="1" ht="15" hidden="1" customHeight="1" x14ac:dyDescent="0.25"/>
    <row r="152" s="1" customFormat="1" ht="15" hidden="1" customHeight="1" x14ac:dyDescent="0.25"/>
    <row r="153" s="1" customFormat="1" ht="15" hidden="1" customHeight="1" x14ac:dyDescent="0.25"/>
    <row r="154" s="1" customFormat="1" ht="15" hidden="1" customHeight="1" x14ac:dyDescent="0.25"/>
    <row r="155" s="1" customFormat="1" ht="15" hidden="1" customHeight="1" x14ac:dyDescent="0.25"/>
    <row r="156" s="1" customFormat="1" ht="15" hidden="1" customHeight="1" x14ac:dyDescent="0.25"/>
    <row r="157" s="1" customFormat="1" ht="15" hidden="1" customHeight="1" x14ac:dyDescent="0.25"/>
    <row r="158" s="1" customFormat="1" ht="15" hidden="1" customHeight="1" x14ac:dyDescent="0.25"/>
    <row r="159" s="1" customFormat="1" ht="15" hidden="1" customHeight="1" x14ac:dyDescent="0.25"/>
    <row r="160" s="1" customFormat="1" ht="15" hidden="1" customHeight="1" x14ac:dyDescent="0.25"/>
    <row r="161" s="1" customFormat="1" ht="15" hidden="1" customHeight="1" x14ac:dyDescent="0.25"/>
    <row r="162" s="1" customFormat="1" ht="15" hidden="1" customHeight="1" x14ac:dyDescent="0.25"/>
    <row r="163" s="1" customFormat="1" ht="15" hidden="1" customHeight="1" x14ac:dyDescent="0.25"/>
    <row r="164" s="1" customFormat="1" ht="15" hidden="1" customHeight="1" x14ac:dyDescent="0.25"/>
    <row r="165" s="1" customFormat="1" ht="15" hidden="1" customHeight="1" x14ac:dyDescent="0.25"/>
    <row r="166" s="1" customFormat="1" ht="15" hidden="1" customHeight="1" x14ac:dyDescent="0.25"/>
    <row r="167" s="1" customFormat="1" ht="15" hidden="1" customHeight="1" x14ac:dyDescent="0.25"/>
    <row r="168" s="1" customFormat="1" ht="15" hidden="1" customHeight="1" x14ac:dyDescent="0.25"/>
    <row r="169" s="1" customFormat="1" ht="15" hidden="1" customHeight="1" x14ac:dyDescent="0.25"/>
    <row r="170" s="1" customFormat="1" ht="15" hidden="1" customHeight="1" x14ac:dyDescent="0.25"/>
    <row r="171" s="1" customFormat="1" ht="15" hidden="1" customHeight="1" x14ac:dyDescent="0.25"/>
    <row r="172" s="1" customFormat="1" ht="15" hidden="1" customHeight="1" x14ac:dyDescent="0.25"/>
    <row r="173" s="1" customFormat="1" ht="15" hidden="1" customHeight="1" x14ac:dyDescent="0.25"/>
    <row r="174" s="1" customFormat="1" ht="15" hidden="1" customHeight="1" x14ac:dyDescent="0.25"/>
    <row r="175" s="1" customFormat="1" ht="15" hidden="1" customHeight="1" x14ac:dyDescent="0.25"/>
    <row r="176" s="1" customFormat="1" ht="15" hidden="1" customHeight="1" x14ac:dyDescent="0.25"/>
    <row r="177" s="1" customFormat="1" ht="15" hidden="1" customHeight="1" x14ac:dyDescent="0.25"/>
    <row r="178" s="1" customFormat="1" ht="15" hidden="1" customHeight="1" x14ac:dyDescent="0.25"/>
    <row r="179" s="1" customFormat="1" ht="15" hidden="1" customHeight="1" x14ac:dyDescent="0.25"/>
    <row r="180" s="1" customFormat="1" ht="15" hidden="1" customHeight="1" x14ac:dyDescent="0.25"/>
    <row r="181" s="1" customFormat="1" ht="15" hidden="1" customHeight="1" x14ac:dyDescent="0.25"/>
    <row r="182" s="1" customFormat="1" ht="15" hidden="1" customHeight="1" x14ac:dyDescent="0.25"/>
    <row r="183" s="1" customFormat="1" ht="15" hidden="1" customHeight="1" x14ac:dyDescent="0.25"/>
    <row r="184" s="1" customFormat="1" ht="15" hidden="1" customHeight="1" x14ac:dyDescent="0.25"/>
    <row r="185" s="1" customFormat="1" ht="15" hidden="1" customHeight="1" x14ac:dyDescent="0.25"/>
    <row r="186" s="1" customFormat="1" ht="15" hidden="1" customHeight="1" x14ac:dyDescent="0.25"/>
    <row r="187" s="1" customFormat="1" ht="15" hidden="1" customHeight="1" x14ac:dyDescent="0.25"/>
    <row r="188" s="1" customFormat="1" ht="15" hidden="1" customHeight="1" x14ac:dyDescent="0.25"/>
    <row r="189" s="1" customFormat="1" ht="15" hidden="1" customHeight="1" x14ac:dyDescent="0.25"/>
    <row r="190" s="1" customFormat="1" ht="15" hidden="1" customHeight="1" x14ac:dyDescent="0.25"/>
    <row r="191" s="1" customFormat="1" ht="15" hidden="1" customHeight="1" x14ac:dyDescent="0.25"/>
    <row r="192" s="1" customFormat="1" ht="15" hidden="1" customHeight="1" x14ac:dyDescent="0.25"/>
    <row r="193" s="1" customFormat="1" ht="15" hidden="1" customHeight="1" x14ac:dyDescent="0.25"/>
    <row r="194" s="1" customFormat="1" ht="15" hidden="1" customHeight="1" x14ac:dyDescent="0.25"/>
    <row r="195" s="1" customFormat="1" ht="15" hidden="1" customHeight="1" x14ac:dyDescent="0.25"/>
    <row r="196" s="1" customFormat="1" ht="15" hidden="1" customHeight="1" x14ac:dyDescent="0.25"/>
    <row r="197" s="1" customFormat="1" ht="15" hidden="1" customHeight="1" x14ac:dyDescent="0.25"/>
    <row r="198" s="1" customFormat="1" ht="15" hidden="1" customHeight="1" x14ac:dyDescent="0.25"/>
    <row r="199" s="1" customFormat="1" ht="15" hidden="1" customHeight="1" x14ac:dyDescent="0.25"/>
    <row r="200" s="1" customFormat="1" ht="15" hidden="1" customHeight="1" x14ac:dyDescent="0.25"/>
    <row r="201" s="1" customFormat="1" ht="15" hidden="1" customHeight="1" x14ac:dyDescent="0.25"/>
    <row r="202" s="1" customFormat="1" ht="15" hidden="1" customHeight="1" x14ac:dyDescent="0.25"/>
    <row r="203" s="1" customFormat="1" ht="15" hidden="1" customHeight="1" x14ac:dyDescent="0.25"/>
    <row r="204" s="1" customFormat="1" ht="15" hidden="1" customHeight="1" x14ac:dyDescent="0.25"/>
    <row r="205" s="1" customFormat="1" ht="15" hidden="1" customHeight="1" x14ac:dyDescent="0.25"/>
    <row r="206" s="1" customFormat="1" ht="15" hidden="1" customHeight="1" x14ac:dyDescent="0.25"/>
    <row r="207" s="1" customFormat="1" ht="15" hidden="1" customHeight="1" x14ac:dyDescent="0.25"/>
    <row r="208" s="1" customFormat="1" ht="15" hidden="1" customHeight="1" x14ac:dyDescent="0.25"/>
    <row r="209" s="1" customFormat="1" ht="15" hidden="1" customHeight="1" x14ac:dyDescent="0.25"/>
    <row r="210" s="1" customFormat="1" ht="15" hidden="1" customHeight="1" x14ac:dyDescent="0.25"/>
    <row r="211" s="1" customFormat="1" ht="15" hidden="1" customHeight="1" x14ac:dyDescent="0.25"/>
    <row r="212" s="1" customFormat="1" ht="15" hidden="1" customHeight="1" x14ac:dyDescent="0.25"/>
    <row r="213" s="1" customFormat="1" ht="15" hidden="1" customHeight="1" x14ac:dyDescent="0.25"/>
    <row r="214" s="1" customFormat="1" ht="15" hidden="1" customHeight="1" x14ac:dyDescent="0.25"/>
    <row r="215" s="1" customFormat="1" ht="15" hidden="1" customHeight="1" x14ac:dyDescent="0.25"/>
    <row r="216" s="1" customFormat="1" ht="15" hidden="1" customHeight="1" x14ac:dyDescent="0.25"/>
    <row r="217" s="1" customFormat="1" ht="15" hidden="1" customHeight="1" x14ac:dyDescent="0.25"/>
    <row r="218" s="1" customFormat="1" ht="15" hidden="1" customHeight="1" x14ac:dyDescent="0.25"/>
    <row r="219" s="1" customFormat="1" ht="15" hidden="1" customHeight="1" x14ac:dyDescent="0.25"/>
    <row r="220" s="1" customFormat="1" ht="15" hidden="1" customHeight="1" x14ac:dyDescent="0.25"/>
    <row r="221" s="1" customFormat="1" ht="15" hidden="1" customHeight="1" x14ac:dyDescent="0.25"/>
    <row r="222" s="1" customFormat="1" ht="15" hidden="1" customHeight="1" x14ac:dyDescent="0.25"/>
    <row r="223" s="1" customFormat="1" ht="15" hidden="1" customHeight="1" x14ac:dyDescent="0.25"/>
    <row r="224" s="1" customFormat="1" ht="15" hidden="1" customHeight="1" x14ac:dyDescent="0.25"/>
    <row r="225" s="1" customFormat="1" ht="15" hidden="1" customHeight="1" x14ac:dyDescent="0.25"/>
    <row r="226" s="1" customFormat="1" ht="15" hidden="1" customHeight="1" x14ac:dyDescent="0.25"/>
    <row r="227" s="1" customFormat="1" ht="15" hidden="1" customHeight="1" x14ac:dyDescent="0.25"/>
    <row r="228" s="1" customFormat="1" ht="15" hidden="1" customHeight="1" x14ac:dyDescent="0.25"/>
    <row r="229" s="1" customFormat="1" ht="15" hidden="1" customHeight="1" x14ac:dyDescent="0.25"/>
    <row r="230" s="1" customFormat="1" ht="15" hidden="1" customHeight="1" x14ac:dyDescent="0.25"/>
    <row r="231" s="1" customFormat="1" ht="15" hidden="1" customHeight="1" x14ac:dyDescent="0.25"/>
    <row r="232" s="1" customFormat="1" ht="15" hidden="1" customHeight="1" x14ac:dyDescent="0.25"/>
    <row r="233" s="1" customFormat="1" ht="15" hidden="1" customHeight="1" x14ac:dyDescent="0.25"/>
    <row r="234" s="1" customFormat="1" ht="15" hidden="1" customHeight="1" x14ac:dyDescent="0.25"/>
    <row r="235" s="1" customFormat="1" ht="15" hidden="1" customHeight="1" x14ac:dyDescent="0.25"/>
    <row r="236" s="1" customFormat="1" ht="15" hidden="1" customHeight="1" x14ac:dyDescent="0.25"/>
    <row r="237" s="1" customFormat="1" ht="15" hidden="1" customHeight="1" x14ac:dyDescent="0.25"/>
    <row r="238" s="1" customFormat="1" ht="15" hidden="1" customHeight="1" x14ac:dyDescent="0.25"/>
    <row r="239" s="1" customFormat="1" ht="15" hidden="1" customHeight="1" x14ac:dyDescent="0.25"/>
    <row r="240" s="1" customFormat="1" ht="15" hidden="1" customHeight="1" x14ac:dyDescent="0.25"/>
    <row r="241" s="1" customFormat="1" ht="15" hidden="1" customHeight="1" x14ac:dyDescent="0.25"/>
    <row r="242" s="1" customFormat="1" ht="15" hidden="1" customHeight="1" x14ac:dyDescent="0.25"/>
    <row r="243" s="1" customFormat="1" ht="15" hidden="1" customHeight="1" x14ac:dyDescent="0.25"/>
    <row r="244" s="1" customFormat="1" ht="15" hidden="1" customHeight="1" x14ac:dyDescent="0.25"/>
    <row r="245" s="1" customFormat="1" ht="15" hidden="1" customHeight="1" x14ac:dyDescent="0.25"/>
    <row r="246" s="1" customFormat="1" ht="15" hidden="1" customHeight="1" x14ac:dyDescent="0.25"/>
    <row r="247" s="1" customFormat="1" ht="15" hidden="1" customHeight="1" x14ac:dyDescent="0.25"/>
    <row r="248" s="1" customFormat="1" ht="15" hidden="1" customHeight="1" x14ac:dyDescent="0.25"/>
    <row r="249" s="1" customFormat="1" ht="15" hidden="1" customHeight="1" x14ac:dyDescent="0.25"/>
    <row r="250" s="1" customFormat="1" ht="15" hidden="1" customHeight="1" x14ac:dyDescent="0.25"/>
    <row r="251" s="1" customFormat="1" ht="15" hidden="1" customHeight="1" x14ac:dyDescent="0.25"/>
    <row r="252" s="1" customFormat="1" ht="15" hidden="1" customHeight="1" x14ac:dyDescent="0.25"/>
    <row r="253" s="1" customFormat="1" ht="15" hidden="1" customHeight="1" x14ac:dyDescent="0.25"/>
    <row r="254" s="1" customFormat="1" ht="15" hidden="1" customHeight="1" x14ac:dyDescent="0.25"/>
    <row r="255" s="1" customFormat="1" ht="15" hidden="1" customHeight="1" x14ac:dyDescent="0.25"/>
    <row r="256" s="1" customFormat="1" ht="15" hidden="1" customHeight="1" x14ac:dyDescent="0.25"/>
    <row r="257" s="1" customFormat="1" ht="15" hidden="1" customHeight="1" x14ac:dyDescent="0.25"/>
    <row r="258" s="1" customFormat="1" ht="15" hidden="1" customHeight="1" x14ac:dyDescent="0.25"/>
    <row r="259" s="1" customFormat="1" ht="15" hidden="1" customHeight="1" x14ac:dyDescent="0.25"/>
    <row r="260" s="1" customFormat="1" ht="15" hidden="1" customHeight="1" x14ac:dyDescent="0.25"/>
    <row r="261" s="1" customFormat="1" ht="15" hidden="1" customHeight="1" x14ac:dyDescent="0.25"/>
    <row r="262" s="1" customFormat="1" ht="15" hidden="1" customHeight="1" x14ac:dyDescent="0.25"/>
    <row r="263" s="1" customFormat="1" ht="15" hidden="1" customHeight="1" x14ac:dyDescent="0.25"/>
    <row r="264" s="1" customFormat="1" ht="15" hidden="1" customHeight="1" x14ac:dyDescent="0.25"/>
    <row r="265" s="1" customFormat="1" ht="15" hidden="1" customHeight="1" x14ac:dyDescent="0.25"/>
    <row r="266" s="1" customFormat="1" ht="15" hidden="1" customHeight="1" x14ac:dyDescent="0.25"/>
    <row r="267" s="1" customFormat="1" ht="15" hidden="1" customHeight="1" x14ac:dyDescent="0.25"/>
    <row r="268" s="1" customFormat="1" ht="15" hidden="1" customHeight="1" x14ac:dyDescent="0.25"/>
    <row r="269" s="1" customFormat="1" ht="15" hidden="1" customHeight="1" x14ac:dyDescent="0.25"/>
    <row r="270" s="1" customFormat="1" ht="15" hidden="1" customHeight="1" x14ac:dyDescent="0.25"/>
    <row r="271" s="1" customFormat="1" ht="15" hidden="1" customHeight="1" x14ac:dyDescent="0.25"/>
    <row r="272" s="1" customFormat="1" ht="15" hidden="1" customHeight="1" x14ac:dyDescent="0.25"/>
    <row r="273" s="1" customFormat="1" ht="15" hidden="1" customHeight="1" x14ac:dyDescent="0.25"/>
    <row r="274" s="1" customFormat="1" ht="15" hidden="1" customHeight="1" x14ac:dyDescent="0.25"/>
    <row r="275" s="1" customFormat="1" ht="15" hidden="1" customHeight="1" x14ac:dyDescent="0.25"/>
    <row r="276" s="1" customFormat="1" ht="15" hidden="1" customHeight="1" x14ac:dyDescent="0.25"/>
    <row r="277" s="1" customFormat="1" ht="15" hidden="1" customHeight="1" x14ac:dyDescent="0.25"/>
    <row r="278" s="1" customFormat="1" ht="15" hidden="1" customHeight="1" x14ac:dyDescent="0.25"/>
    <row r="279" s="1" customFormat="1" ht="15" hidden="1" customHeight="1" x14ac:dyDescent="0.25"/>
    <row r="280" s="1" customFormat="1" ht="15" hidden="1" customHeight="1" x14ac:dyDescent="0.25"/>
    <row r="281" s="1" customFormat="1" ht="15" hidden="1" customHeight="1" x14ac:dyDescent="0.25"/>
    <row r="282" s="1" customFormat="1" ht="15" hidden="1" customHeight="1" x14ac:dyDescent="0.25"/>
    <row r="283" s="1" customFormat="1" ht="15" hidden="1" customHeight="1" x14ac:dyDescent="0.25"/>
    <row r="284" s="1" customFormat="1" ht="15" hidden="1" customHeight="1" x14ac:dyDescent="0.25"/>
    <row r="285" s="1" customFormat="1" ht="15" hidden="1" customHeight="1" x14ac:dyDescent="0.25"/>
    <row r="286" s="1" customFormat="1" ht="15" hidden="1" customHeight="1" x14ac:dyDescent="0.25"/>
    <row r="287" s="1" customFormat="1" ht="15" hidden="1" customHeight="1" x14ac:dyDescent="0.25"/>
    <row r="288" s="1" customFormat="1" ht="15" hidden="1" customHeight="1" x14ac:dyDescent="0.25"/>
    <row r="289" s="1" customFormat="1" ht="15" hidden="1" customHeight="1" x14ac:dyDescent="0.25"/>
    <row r="290" s="1" customFormat="1" ht="15" hidden="1" customHeight="1" x14ac:dyDescent="0.25"/>
    <row r="291" s="1" customFormat="1" ht="15" hidden="1" customHeight="1" x14ac:dyDescent="0.25"/>
    <row r="292" s="1" customFormat="1" ht="15" hidden="1" customHeight="1" x14ac:dyDescent="0.25"/>
    <row r="293" s="1" customFormat="1" ht="15" hidden="1" customHeight="1" x14ac:dyDescent="0.25"/>
    <row r="294" s="1" customFormat="1" ht="15" hidden="1" customHeight="1" x14ac:dyDescent="0.25"/>
    <row r="295" s="1" customFormat="1" ht="15" hidden="1" customHeight="1" x14ac:dyDescent="0.25"/>
    <row r="296" s="1" customFormat="1" ht="15" hidden="1" customHeight="1" x14ac:dyDescent="0.25"/>
    <row r="297" s="1" customFormat="1" ht="15" hidden="1" customHeight="1" x14ac:dyDescent="0.25"/>
    <row r="298" s="1" customFormat="1" ht="15" hidden="1" customHeight="1" x14ac:dyDescent="0.25"/>
    <row r="299" s="1" customFormat="1" ht="15" hidden="1" customHeight="1" x14ac:dyDescent="0.25"/>
    <row r="300" s="1" customFormat="1" ht="15" hidden="1" customHeight="1" x14ac:dyDescent="0.25"/>
    <row r="301" s="1" customFormat="1" ht="15" hidden="1" customHeight="1" x14ac:dyDescent="0.25"/>
    <row r="302" s="1" customFormat="1" ht="15" hidden="1" customHeight="1" x14ac:dyDescent="0.25"/>
    <row r="303" s="1" customFormat="1" ht="15" hidden="1" customHeight="1" x14ac:dyDescent="0.25"/>
    <row r="304" s="1" customFormat="1" ht="15" hidden="1" customHeight="1" x14ac:dyDescent="0.25"/>
    <row r="316" spans="3:9" ht="15" hidden="1" customHeight="1" x14ac:dyDescent="0.25">
      <c r="I316" s="1">
        <f>$J$14</f>
        <v>0</v>
      </c>
    </row>
    <row r="317" spans="3:9" ht="15" hidden="1" customHeight="1" x14ac:dyDescent="0.25">
      <c r="C317" s="1">
        <f>$J$14</f>
        <v>0</v>
      </c>
      <c r="D317" s="1">
        <v>276730</v>
      </c>
    </row>
    <row r="319" spans="3:9" ht="15" customHeight="1" x14ac:dyDescent="0.25"/>
    <row r="320" spans="3:9" ht="15" customHeight="1" x14ac:dyDescent="0.25"/>
  </sheetData>
  <sheetProtection algorithmName="SHA-512" hashValue="SWTtIMSLtMjEbmhexRYH11J1URDG/LWIvS2YdoyUIYf1F6L6MfqARu07jM1g6niBuSW6O0Ar1ImVB3/kzn3J0w==" saltValue="dDbTlUcQiKnNmQ3t3OEyDw==" spinCount="100000" sheet="1" objects="1" scenarios="1" selectLockedCells="1"/>
  <mergeCells count="26">
    <mergeCell ref="M28:Q28"/>
    <mergeCell ref="A16:Q16"/>
    <mergeCell ref="A22:Q22"/>
    <mergeCell ref="A17:Q17"/>
    <mergeCell ref="A11:B11"/>
    <mergeCell ref="C11:Q11"/>
    <mergeCell ref="A13:B13"/>
    <mergeCell ref="C13:Q13"/>
    <mergeCell ref="A15:B15"/>
    <mergeCell ref="C15:D15"/>
    <mergeCell ref="G15:Q15"/>
    <mergeCell ref="A1:I3"/>
    <mergeCell ref="A5:Q5"/>
    <mergeCell ref="A7:B7"/>
    <mergeCell ref="C7:Q7"/>
    <mergeCell ref="A9:B9"/>
    <mergeCell ref="C9:Q9"/>
    <mergeCell ref="A33:Q33"/>
    <mergeCell ref="A55:Q55"/>
    <mergeCell ref="A71:Q71"/>
    <mergeCell ref="B59:D59"/>
    <mergeCell ref="A44:E44"/>
    <mergeCell ref="K50:Q50"/>
    <mergeCell ref="A57:Q57"/>
    <mergeCell ref="G44:K44"/>
    <mergeCell ref="M44:Q44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22:Q22" location="sys.10mm!A1" display="Výplň tl. 10mm (nebo sklo/ zrcadlo s použitím těsnění - tl.4 nebo 6mm) - rámové dveře" xr:uid="{00000000-0004-0000-0400-00000E000000}"/>
    <hyperlink ref="A82:J82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71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71:G71" location="příslušenství!A55" display="příslušenství!A55" xr:uid="{00000000-0004-0000-0400-00001C000000}"/>
    <hyperlink ref="B20" location="Pax!barva" display="Pax" xr:uid="{00000000-0004-0000-0400-000020000000}"/>
    <hyperlink ref="L26" location="Fox!A1" display="Fox" xr:uid="{00000000-0004-0000-0400-000021000000}"/>
    <hyperlink ref="N47" location="'Era (bezrámový)'!barva_7" display="Era" xr:uid="{00000000-0004-0000-0400-000022000000}"/>
    <hyperlink ref="P47" location="'Rekord (bezrámový)'!barva_7" display="Rekord" xr:uid="{00000000-0004-0000-0400-000023000000}"/>
    <hyperlink ref="A33:Q33" location="'sys. 18mm'!A1" display="'sys. 18mm'!A1" xr:uid="{00000000-0004-0000-0400-000024000000}"/>
    <hyperlink ref="A17:Q17" location="'sys. Pax'!A1" display="'sys. Pax'!A1" xr:uid="{00000000-0004-0000-0400-000025000000}"/>
    <hyperlink ref="B47" location="Prosper_GM!A1" display="Prosper GM" xr:uid="{00000000-0004-0000-0400-000026000000}"/>
    <hyperlink ref="D47" location="'Arte GM'!A1" display="Arte GM" xr:uid="{00000000-0004-0000-0400-000027000000}"/>
    <hyperlink ref="H47" location="'Era (rámový)'!barva_7" display="Era" xr:uid="{00000000-0004-0000-0400-000028000000}"/>
    <hyperlink ref="J47" location="'Rekord (rámový)'!A1" display="Rekord" xr:uid="{00000000-0004-0000-0400-00002C000000}"/>
    <hyperlink ref="L42" location="Universal!barva_8" display="Universal" xr:uid="{2720326D-AC78-4B1A-A7A7-4195E137AADC}"/>
    <hyperlink ref="D42" location="Ergo!A1" display="ERGO" xr:uid="{4A61A4C2-864B-4223-9B4B-32F2EDBE4FEF}"/>
    <hyperlink ref="F42" location="Orient!A1" display="Orient" xr:uid="{28A9D1B3-1F24-45B5-AA56-380703DAC21F}"/>
    <hyperlink ref="H42" location="Elegant!barva_8" display="Elegant" xr:uid="{EDB18EFC-137E-4376-99BD-66FD6243E222}"/>
    <hyperlink ref="B42" location="'Focus II'!barva_8" display="Focus 18 II" xr:uid="{8DCF408A-75CA-4AA6-9D32-504D6CAFB575}"/>
    <hyperlink ref="J42" location="Beta!barva_8" display="Beta" xr:uid="{31F731DB-689C-4529-9C27-F1E7012760B4}"/>
    <hyperlink ref="N37" location="tytan!A1" display="tytan" xr:uid="{0243BE8A-6D24-4CD7-B2D8-327B9148518B}"/>
    <hyperlink ref="L37" location="'Fiona II'!A1" display="Fiona II" xr:uid="{38419681-6195-42F6-9A84-28CEC0FC68B8}"/>
    <hyperlink ref="M28:P28" location="'Blue 10 mm'!A1" display="Blue 10 mm (rámový)" xr:uid="{28A967FF-EB4C-494F-ACD2-5EBDC5CF363D}"/>
    <hyperlink ref="G44:K44" location="'Blue 18 mm (rámový)'!A1" display="'Blue 18 mm (rámový)'!A1" xr:uid="{86971C0B-9BC8-43D0-BAC2-507CE6F6E876}"/>
    <hyperlink ref="D31" location="Lynx!A1" display="Lynx" xr:uid="{84E73E1B-5FA1-467A-BB0B-F50F5672086E}"/>
    <hyperlink ref="F31" location="Vitara!A1" display="Vitara" xr:uid="{C02FFE69-4C3E-47BC-ABB7-0BB8007A2BCD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="90" zoomScaleNormal="90" workbookViewId="0">
      <selection activeCell="B4" sqref="B4"/>
    </sheetView>
  </sheetViews>
  <sheetFormatPr defaultColWidth="0" defaultRowHeight="12.75" customHeight="1" zeroHeight="1" x14ac:dyDescent="0.2"/>
  <cols>
    <col min="1" max="1" width="38.7109375" style="5" customWidth="1"/>
    <col min="2" max="2" width="15.7109375" style="5" customWidth="1"/>
    <col min="3" max="3" width="41" style="5" customWidth="1"/>
    <col min="4" max="4" width="14.140625" style="5" customWidth="1"/>
    <col min="5" max="7" width="14.7109375" style="5" customWidth="1"/>
    <col min="8" max="8" width="4.7109375" style="5" customWidth="1"/>
    <col min="9" max="9" width="24.7109375" style="6" customWidth="1"/>
    <col min="10" max="10" width="12.28515625" style="6" hidden="1" customWidth="1"/>
    <col min="11" max="11" width="19.140625" style="6" hidden="1" customWidth="1"/>
    <col min="12" max="12" width="9.140625" style="5" hidden="1" customWidth="1"/>
    <col min="13" max="13" width="18.42578125" style="5" hidden="1" customWidth="1"/>
    <col min="14" max="14" width="7.42578125" style="5" hidden="1" customWidth="1"/>
    <col min="15" max="15" width="5.710937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22" ht="13.5" customHeight="1" thickBot="1" x14ac:dyDescent="0.25">
      <c r="A1" s="422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">
      <c r="A2" s="523" t="s">
        <v>3581</v>
      </c>
      <c r="B2" s="419" t="str">
        <f>profil!T7</f>
        <v>Zákazník:,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6.25" thickBot="1" x14ac:dyDescent="0.25">
      <c r="A3" s="524"/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421" t="str">
        <f>+System10!D3</f>
        <v>počet dverí:</v>
      </c>
      <c r="E3" s="421" t="str">
        <f>+System10!E3</f>
        <v>farba</v>
      </c>
      <c r="F3" s="420" t="str">
        <f>texty!A38</f>
        <v>typ spodného vedenia</v>
      </c>
      <c r="G3" s="24"/>
      <c r="H3" s="24"/>
      <c r="I3" s="24"/>
      <c r="L3" s="6"/>
    </row>
    <row r="4" spans="1:22" ht="24" customHeight="1" x14ac:dyDescent="0.2">
      <c r="A4" s="423" t="str">
        <f>+System10!$A$4</f>
        <v>VNÚTORNÝ ROZMER SKRINE:</v>
      </c>
      <c r="B4" s="456"/>
      <c r="C4" s="456"/>
      <c r="D4" s="457"/>
      <c r="E4" s="458"/>
      <c r="F4" s="458"/>
      <c r="G4" s="644"/>
      <c r="H4" s="644"/>
      <c r="I4" s="644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">
      <c r="B5" s="640" t="str">
        <f>IF(barva=texty!A129,texty!A3,System10!B5)</f>
        <v>vypíšte týchto 5 políčok !!! Údaje v mm</v>
      </c>
      <c r="C5" s="640"/>
      <c r="D5" s="640"/>
      <c r="E5" s="640"/>
      <c r="F5" s="640"/>
      <c r="G5" s="644"/>
      <c r="H5" s="644"/>
      <c r="I5" s="644"/>
      <c r="K5" s="190"/>
      <c r="L5" s="23" t="str">
        <f>CONCATENATE(L4,"-",E4)</f>
        <v>1700-</v>
      </c>
      <c r="M5" s="21"/>
      <c r="N5" s="23" t="str">
        <f>CONCATENATE(N4,"-",E4,", ",F4)</f>
        <v xml:space="preserve">1700-, </v>
      </c>
    </row>
    <row r="6" spans="1:22" ht="18" customHeight="1" x14ac:dyDescent="0.2">
      <c r="A6" s="423"/>
      <c r="B6" s="431" t="str">
        <f>IF(D4=4,texty!A227,"")</f>
        <v/>
      </c>
      <c r="C6" s="21"/>
      <c r="D6" s="443">
        <v>3</v>
      </c>
      <c r="E6" s="17"/>
      <c r="F6" s="17"/>
      <c r="G6" s="644"/>
      <c r="H6" s="644"/>
      <c r="I6" s="644"/>
      <c r="K6" s="190"/>
      <c r="L6" s="6"/>
      <c r="R6" s="636" t="s">
        <v>557</v>
      </c>
      <c r="S6" s="636" t="s">
        <v>558</v>
      </c>
      <c r="T6" s="636" t="s">
        <v>559</v>
      </c>
      <c r="U6" s="636" t="s">
        <v>560</v>
      </c>
    </row>
    <row r="7" spans="1:22" ht="12.75" customHeight="1" x14ac:dyDescent="0.2">
      <c r="A7" s="423" t="str">
        <f>texty!A71</f>
        <v>krídlo dverí:</v>
      </c>
      <c r="B7" s="57">
        <f>+B4-40</f>
        <v>-40</v>
      </c>
      <c r="C7" s="59" t="e">
        <f>+((C4-3+(36*(D4-1)))/D4+IF(AND(D4=4,D6=2),M1,0))</f>
        <v>#DIV/0!</v>
      </c>
      <c r="D7" s="17"/>
      <c r="E7" s="17"/>
      <c r="F7" s="17"/>
      <c r="G7" s="434" t="str">
        <f>texty!$A$39</f>
        <v>V prípade použitia skla ako výplne</v>
      </c>
      <c r="H7" s="24"/>
      <c r="I7" s="24"/>
      <c r="L7" s="6"/>
      <c r="O7" s="17" t="e">
        <f>IF(L11="jiné",M12,L11)</f>
        <v>#DIV/0!</v>
      </c>
      <c r="P7" s="21">
        <f>+E4</f>
        <v>0</v>
      </c>
      <c r="R7" s="636"/>
      <c r="S7" s="636"/>
      <c r="T7" s="636"/>
      <c r="U7" s="636"/>
    </row>
    <row r="8" spans="1:22" ht="12.75" customHeight="1" x14ac:dyDescent="0.2">
      <c r="A8" s="423" t="str">
        <f>texty!A48</f>
        <v>rozmer výplne 18mm:</v>
      </c>
      <c r="B8" s="57">
        <f>+B7-64</f>
        <v>-104</v>
      </c>
      <c r="C8" s="59" t="e">
        <f>+C7-32</f>
        <v>#DIV/0!</v>
      </c>
      <c r="D8" s="17"/>
      <c r="E8" s="17"/>
      <c r="F8" s="17"/>
      <c r="G8" s="434" t="str">
        <f>texty!$A$40</f>
        <v>je treba použiť bezpečnostné sklo</v>
      </c>
      <c r="H8" s="24"/>
      <c r="I8" s="24"/>
      <c r="L8" s="6" t="s">
        <v>60</v>
      </c>
      <c r="M8" s="5" t="s">
        <v>61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">
      <c r="A9" s="423" t="str">
        <f>texty!A73</f>
        <v>rozmer zrkadla / skla</v>
      </c>
      <c r="B9" s="57">
        <f>+B8</f>
        <v>-104</v>
      </c>
      <c r="C9" s="59" t="e">
        <f>+C8-4</f>
        <v>#DIV/0!</v>
      </c>
      <c r="D9" s="17"/>
      <c r="E9" s="17"/>
      <c r="F9" s="17"/>
      <c r="G9" s="434" t="str">
        <f>texty!$A$41</f>
        <v>alebo sklo zabezpečiť ochrannou fóliou</v>
      </c>
      <c r="H9" s="24"/>
      <c r="I9" s="24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562</v>
      </c>
    </row>
    <row r="10" spans="1:22" ht="12.75" customHeight="1" x14ac:dyDescent="0.2">
      <c r="A10" s="423" t="str">
        <f>texty!A74</f>
        <v>dĺžka vodiacej a krycej lišty krídla</v>
      </c>
      <c r="B10" s="57"/>
      <c r="C10" s="60" t="e">
        <f>+C7-48</f>
        <v>#DIV/0!</v>
      </c>
      <c r="D10" s="17"/>
      <c r="E10" s="17"/>
      <c r="F10" s="17"/>
      <c r="G10" s="435"/>
      <c r="H10" s="24"/>
      <c r="I10" s="24"/>
      <c r="L10" s="5" t="s">
        <v>59</v>
      </c>
      <c r="O10" s="17" t="e">
        <f>IF(L11="jiné",M13,"")</f>
        <v>#DIV/0!</v>
      </c>
      <c r="P10" s="21">
        <f>+E4</f>
        <v>0</v>
      </c>
      <c r="Q10" s="5">
        <v>3</v>
      </c>
      <c r="R10" s="159" t="e">
        <f t="shared" si="0"/>
        <v>#DIV/0!</v>
      </c>
    </row>
    <row r="11" spans="1:22" ht="12.75" customHeight="1" x14ac:dyDescent="0.2">
      <c r="A11" s="423" t="str">
        <f>texty!A75</f>
        <v>Horný/spodný profil</v>
      </c>
      <c r="B11" s="57"/>
      <c r="C11" s="189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I11" s="24"/>
      <c r="L11" s="36" t="e">
        <f>IF((L9+M9)&lt;1700,1700,IF((L9+M9)&lt;2350,2350,IF((L9+M9)&lt;3000,3000,"jiné")))</f>
        <v>#DIV/0!</v>
      </c>
      <c r="N11" s="5" t="s">
        <v>62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">
      <c r="A12" s="423" t="str">
        <f>texty!A76</f>
        <v>úchytková lišta</v>
      </c>
      <c r="B12" s="488">
        <f>+B7</f>
        <v>-40</v>
      </c>
      <c r="C12" s="489"/>
      <c r="D12" s="17"/>
      <c r="E12" s="17"/>
      <c r="F12" s="17"/>
      <c r="G12" s="24"/>
      <c r="H12" s="24"/>
      <c r="I12" s="24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">
      <c r="A13" s="423" t="str">
        <f>texty!A77</f>
        <v>dĺžka tesnenia na sklo na jednom krídle</v>
      </c>
      <c r="B13" s="64"/>
      <c r="C13" s="491" t="e">
        <f>ROUND(B8*2+C9*2,0)</f>
        <v>#DIV/0!</v>
      </c>
      <c r="D13" s="17"/>
      <c r="E13" s="17"/>
      <c r="F13" s="17"/>
      <c r="G13" s="24"/>
      <c r="H13" s="24"/>
      <c r="I13" s="24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4" x14ac:dyDescent="0.2">
      <c r="A14" s="635" t="str">
        <f>IF(SUM(D47:D48)&gt;0,texty!A245,"")</f>
        <v/>
      </c>
      <c r="B14" s="635"/>
      <c r="C14" s="490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I14" s="24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">
      <c r="A15" s="635"/>
      <c r="B15" s="635"/>
      <c r="C15" s="490"/>
      <c r="D15" s="17"/>
      <c r="E15" s="17"/>
      <c r="F15" s="17"/>
      <c r="G15" s="24"/>
      <c r="H15" s="24"/>
      <c r="I15" s="24"/>
      <c r="L15" s="6"/>
      <c r="R15" s="159"/>
    </row>
    <row r="16" spans="1:22" x14ac:dyDescent="0.2">
      <c r="A16" s="422"/>
      <c r="B16" s="17"/>
      <c r="C16" s="490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">
      <c r="B17" s="17"/>
      <c r="C17" s="433"/>
      <c r="D17" s="17"/>
      <c r="E17" s="17"/>
      <c r="F17" s="17"/>
      <c r="G17" s="24"/>
      <c r="H17" s="24"/>
      <c r="I17" s="24"/>
      <c r="L17" s="6"/>
      <c r="M17" s="5" t="e">
        <f>M14-C4</f>
        <v>#DIV/0!</v>
      </c>
      <c r="Q17" s="5" t="s">
        <v>561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">
      <c r="A18" s="422"/>
      <c r="B18" s="17"/>
      <c r="C18" s="433"/>
      <c r="D18" s="17"/>
      <c r="E18" s="17"/>
      <c r="F18" s="17"/>
      <c r="G18" s="24"/>
      <c r="H18" s="24"/>
      <c r="I18" s="24"/>
      <c r="L18" s="6"/>
    </row>
    <row r="19" spans="1:22" ht="14.25" customHeight="1" x14ac:dyDescent="0.2">
      <c r="A19" s="422"/>
      <c r="B19" s="484" t="str">
        <f>texty!A242</f>
        <v>dilatácia 4 mm</v>
      </c>
      <c r="C19" s="119"/>
      <c r="D19" s="17"/>
      <c r="E19" s="17"/>
      <c r="F19" s="17"/>
      <c r="G19" s="24"/>
      <c r="H19" s="24"/>
      <c r="I19" s="638" t="s">
        <v>993</v>
      </c>
      <c r="L19" s="6"/>
    </row>
    <row r="20" spans="1:22" ht="16.5" customHeight="1" x14ac:dyDescent="0.2">
      <c r="A20" s="422"/>
      <c r="B20" s="17"/>
      <c r="C20" s="17"/>
      <c r="D20" s="21"/>
      <c r="E20" s="17"/>
      <c r="F20" s="17"/>
      <c r="G20" s="24"/>
      <c r="H20" s="24"/>
      <c r="I20" s="638"/>
      <c r="L20" s="6"/>
      <c r="M20" s="6"/>
      <c r="R20" s="5" t="s">
        <v>581</v>
      </c>
      <c r="S20" s="5" t="s">
        <v>580</v>
      </c>
      <c r="T20" s="5">
        <v>1700</v>
      </c>
      <c r="U20" s="5">
        <v>2350</v>
      </c>
      <c r="V20" s="5">
        <v>3000</v>
      </c>
    </row>
    <row r="21" spans="1:22" ht="16.5" customHeight="1" x14ac:dyDescent="0.2">
      <c r="A21" s="422"/>
      <c r="B21" s="17"/>
      <c r="C21" s="17"/>
      <c r="D21" s="382"/>
      <c r="E21" s="17"/>
      <c r="F21" s="17"/>
      <c r="G21" s="24"/>
      <c r="H21" s="24"/>
      <c r="I21" s="639" t="s">
        <v>994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">
      <c r="A22" s="422"/>
      <c r="B22" s="17"/>
      <c r="C22" s="17"/>
      <c r="D22" s="17"/>
      <c r="E22" s="17"/>
      <c r="F22" s="17"/>
      <c r="G22" s="24"/>
      <c r="H22" s="24"/>
      <c r="I22" s="639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">
      <c r="A23" s="422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">
      <c r="A24" s="422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1700-0</v>
      </c>
      <c r="M24" s="6" t="e">
        <f>SUM(T21:T32)</f>
        <v>#DIV/0!</v>
      </c>
      <c r="N24" s="5">
        <v>1700</v>
      </c>
      <c r="P24" s="5" t="s">
        <v>563</v>
      </c>
      <c r="Q24" s="162" t="s">
        <v>564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">
      <c r="A25" s="422"/>
      <c r="B25" s="17"/>
      <c r="C25" s="21"/>
      <c r="D25" s="17"/>
      <c r="E25" s="17"/>
      <c r="F25" s="17"/>
      <c r="G25" s="438" t="str">
        <f>texty!$A$21</f>
        <v>partnerská zľava:</v>
      </c>
      <c r="H25" s="24"/>
      <c r="I25" s="24"/>
      <c r="L25" s="5" t="str">
        <f>CONCATENATE(N25,"-",$P$7)</f>
        <v>2350-0</v>
      </c>
      <c r="M25" s="6" t="e">
        <f>SUM(U21:U32)</f>
        <v>#DIV/0!</v>
      </c>
      <c r="N25" s="5">
        <v>2350</v>
      </c>
      <c r="Q25" s="5" t="s">
        <v>576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">
      <c r="A26" s="427" t="str">
        <f>+System10!$A$26</f>
        <v>Objednávacie kódy, ceny:</v>
      </c>
      <c r="B26" s="17"/>
      <c r="C26" s="21"/>
      <c r="D26" s="17"/>
      <c r="E26" s="17"/>
      <c r="F26" s="17"/>
      <c r="G26" s="374">
        <f>profil!C15</f>
        <v>0</v>
      </c>
      <c r="H26" s="440" t="s">
        <v>57</v>
      </c>
      <c r="I26" s="24"/>
      <c r="L26" s="5" t="str">
        <f>CONCATENATE(N26,"-",$P$7)</f>
        <v>3000-0</v>
      </c>
      <c r="M26" s="6" t="e">
        <f>SUM(V21:V32)</f>
        <v>#DIV/0!</v>
      </c>
      <c r="N26" s="5">
        <v>3000</v>
      </c>
      <c r="O26" s="160"/>
      <c r="Q26" s="5" t="s">
        <v>565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">
      <c r="A27" s="422"/>
      <c r="B27" s="19" t="s">
        <v>3</v>
      </c>
      <c r="C27" s="20" t="str">
        <f>texty!$A$16</f>
        <v>názov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celkom</v>
      </c>
      <c r="G27" s="20" t="str">
        <f>texty!$A$20</f>
        <v>celkom netto:</v>
      </c>
      <c r="H27" s="24"/>
      <c r="I27" s="20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566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">
      <c r="A28" s="422" t="str">
        <f>+System10!$A$28</f>
        <v>Horný profil:</v>
      </c>
      <c r="B28" s="563" t="e">
        <f>+VLOOKUP(L5,data!$C$196:$D$254,2,0)</f>
        <v>#N/A</v>
      </c>
      <c r="C28" s="25" t="e">
        <f>+VLOOKUP(B28,cennik!$A:$G,2,FALSE)</f>
        <v>#N/A</v>
      </c>
      <c r="D28" s="17" t="e">
        <f>IF(B28="N/A",0,1)</f>
        <v>#N/A</v>
      </c>
      <c r="E28" s="91" t="e">
        <f>+VLOOKUP(B28,cennik!$A:$G,3,FALSE)</f>
        <v>#N/A</v>
      </c>
      <c r="F28" s="91" t="e">
        <f t="shared" ref="F28:F39" si="1">+E28*D28</f>
        <v>#N/A</v>
      </c>
      <c r="G28" s="92" t="e">
        <f>+F28*(100-$G$26)/100</f>
        <v>#N/A</v>
      </c>
      <c r="H28" s="24" t="str">
        <f>cennik!$B$2</f>
        <v>EUR</v>
      </c>
      <c r="I28" s="469" t="str">
        <f>IFERROR(IF((VLOOKUP(B28,cennik!A:L,12,0))="O",texty!$A$250,""),"")</f>
        <v/>
      </c>
      <c r="K28" s="191" t="e">
        <f>IF(D28&gt;0,IF(VLOOKUP(B28,cennik!A:L,12,FALSE)="O",1,""),"")</f>
        <v>#N/A</v>
      </c>
      <c r="L28" s="6"/>
      <c r="M28" s="160"/>
      <c r="N28" s="160"/>
      <c r="O28" s="160"/>
      <c r="Q28" s="5" t="s">
        <v>577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">
      <c r="A29" s="422" t="str">
        <f>+System10!$A$29</f>
        <v>spodný profil:</v>
      </c>
      <c r="B29" s="563" t="e">
        <f>+VLOOKUP(N5,data!$C$4:$D$98,2,0)</f>
        <v>#N/A</v>
      </c>
      <c r="C29" s="25" t="e">
        <f>IF($B$29=data!$D$64,texty!$A$239,+VLOOKUP($B$29,cennik!$A:$G,2,FALSE))</f>
        <v>#N/A</v>
      </c>
      <c r="D29" s="17">
        <v>1</v>
      </c>
      <c r="E29" s="91" t="e">
        <f>IF(B29=data!$D$73,0,+VLOOKUP(B29,cennik!$A:$G,3,FALSE))</f>
        <v>#N/A</v>
      </c>
      <c r="F29" s="91" t="e">
        <f t="shared" si="1"/>
        <v>#N/A</v>
      </c>
      <c r="G29" s="92" t="e">
        <f>+F29*(100-$F$26)/100</f>
        <v>#N/A</v>
      </c>
      <c r="H29" s="24" t="str">
        <f>cennik!$B$2</f>
        <v>EUR</v>
      </c>
      <c r="I29" s="469" t="str">
        <f>IFERROR(IF((VLOOKUP(B29,cennik!A:L,12,0))="O",texty!$A$250,""),"")</f>
        <v/>
      </c>
      <c r="K29" s="191" t="e">
        <f>IF(D29&gt;0,IF(VLOOKUP(B29,cennik!A:L,12,FALSE)="O",1,""),"")</f>
        <v>#N/A</v>
      </c>
      <c r="L29" s="6" t="s">
        <v>567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578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">
      <c r="A30" s="422" t="str">
        <f>+System10!$A$30</f>
        <v>krycí profil (maska):</v>
      </c>
      <c r="B30" s="563" t="e">
        <f>+VLOOKUP(N5,data!$C$105:$D$195,2,0)</f>
        <v>#N/A</v>
      </c>
      <c r="C30" s="25" t="e">
        <f>IF($B$30=data!$D$64,texty!$A$239,+VLOOKUP($B$30,cennik!$A:$G,2,FALSE))</f>
        <v>#N/A</v>
      </c>
      <c r="D30" s="17">
        <v>1</v>
      </c>
      <c r="E30" s="91" t="e">
        <f>IF(B30=data!$D$73,0,+VLOOKUP(B30,cennik!$A:$G,3,FALSE))</f>
        <v>#N/A</v>
      </c>
      <c r="F30" s="91" t="e">
        <f t="shared" si="1"/>
        <v>#N/A</v>
      </c>
      <c r="G30" s="92" t="e">
        <f t="shared" ref="G30:G39" si="2">+F30*(100-$G$26)/100</f>
        <v>#N/A</v>
      </c>
      <c r="H30" s="24" t="str">
        <f>cennik!$B$2</f>
        <v>EUR</v>
      </c>
      <c r="I30" s="469" t="str">
        <f>IFERROR(IF((VLOOKUP(B30,cennik!A:L,12,0))="O",texty!$A$250,""),"")</f>
        <v/>
      </c>
      <c r="K30" s="191" t="e">
        <f>IF(D30&gt;0,IF(VLOOKUP(B30,cennik!A:L,12,FALSE)="O",1,""),"")</f>
        <v>#N/A</v>
      </c>
      <c r="L30" s="6" t="s">
        <v>568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569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">
      <c r="A31" s="422" t="str">
        <f>+System10!$A$31</f>
        <v>horné vozíky (sady)</v>
      </c>
      <c r="B31" s="563">
        <v>496998</v>
      </c>
      <c r="C31" s="25" t="str">
        <f>+VLOOKUP(B31,cennik!$A:$G,2,FALSE)</f>
        <v>SEVROLL 05691 GM 18 horný vozík 18mm - 2ks</v>
      </c>
      <c r="D31" s="17">
        <f>IF((D50+D51)&gt;D4,0,D4-(D50+D51))</f>
        <v>0</v>
      </c>
      <c r="E31" s="91">
        <f>+VLOOKUP(B31,cennik!$A:$G,3,FALSE)</f>
        <v>5.7024600000000003</v>
      </c>
      <c r="F31" s="91">
        <f t="shared" si="1"/>
        <v>0</v>
      </c>
      <c r="G31" s="92">
        <f t="shared" si="2"/>
        <v>0</v>
      </c>
      <c r="H31" s="24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579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">
      <c r="A32" s="422" t="str">
        <f>+System10!$A$32</f>
        <v>spodné vozíky (sada)</v>
      </c>
      <c r="B32" s="563">
        <f>IF(F4=M68,328321,229441)</f>
        <v>229441</v>
      </c>
      <c r="C32" s="25" t="str">
        <f>+VLOOKUP(B32,cennik!$A:$G,2,FALSE)</f>
        <v>SEVROLL 10200 spodný vozík WD 10C HI-TEC - 2ks</v>
      </c>
      <c r="D32" s="17">
        <f>+D4</f>
        <v>0</v>
      </c>
      <c r="E32" s="91">
        <f>+VLOOKUP(B32,cennik!$A:$G,3,FALSE)</f>
        <v>6.5952500000000001</v>
      </c>
      <c r="F32" s="91">
        <f t="shared" si="1"/>
        <v>0</v>
      </c>
      <c r="G32" s="92">
        <f t="shared" si="2"/>
        <v>0</v>
      </c>
      <c r="H32" s="24" t="str">
        <f>cennik!$B$2</f>
        <v>EUR</v>
      </c>
      <c r="I32" s="469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570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">
      <c r="A33" s="422" t="str">
        <f>+System10!$A$33</f>
        <v>dorazový kartáč</v>
      </c>
      <c r="B33" s="563" t="e">
        <f>+VLOOKUP(L48,data!$C$790:$D$810,2,0)</f>
        <v>#N/A</v>
      </c>
      <c r="C33" s="25" t="e">
        <f>+VLOOKUP(B33,cennik!$A:$G,2,FALSE)</f>
        <v>#N/A</v>
      </c>
      <c r="D33" s="17">
        <f>CEILING((B4*D4*2/1000),1)</f>
        <v>0</v>
      </c>
      <c r="E33" s="91" t="e">
        <f>+VLOOKUP(B33,cennik!$A:$G,3,FALSE)</f>
        <v>#N/A</v>
      </c>
      <c r="F33" s="91" t="e">
        <f t="shared" si="1"/>
        <v>#N/A</v>
      </c>
      <c r="G33" s="92" t="e">
        <f t="shared" si="2"/>
        <v>#N/A</v>
      </c>
      <c r="H33" s="24" t="str">
        <f>cennik!$B$2</f>
        <v>EUR</v>
      </c>
      <c r="I33" s="469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">
      <c r="A34" s="422" t="str">
        <f>+System10!$A$34</f>
        <v>úchytková lišta</v>
      </c>
      <c r="B34" s="563" t="e">
        <f>+VLOOKUP(P7,data!C843:D845,2,0)</f>
        <v>#N/A</v>
      </c>
      <c r="C34" s="25" t="e">
        <f>+VLOOKUP(B34,cennik!$A:$G,2,FALSE)</f>
        <v>#N/A</v>
      </c>
      <c r="D34" s="17">
        <f>IF(B12&lt;=1347,D4*2/2,D4*2)</f>
        <v>0</v>
      </c>
      <c r="E34" s="91" t="e">
        <f>+VLOOKUP(B34,cennik!$A:$G,3,FALSE)</f>
        <v>#N/A</v>
      </c>
      <c r="F34" s="91" t="e">
        <f t="shared" si="1"/>
        <v>#N/A</v>
      </c>
      <c r="G34" s="92" t="e">
        <f t="shared" si="2"/>
        <v>#N/A</v>
      </c>
      <c r="H34" s="24" t="str">
        <f>cennik!$B$2</f>
        <v>EUR</v>
      </c>
      <c r="I34" s="469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">
      <c r="A35" s="422" t="str">
        <f>+System10!$A$35</f>
        <v>spojovacia skrutka</v>
      </c>
      <c r="B35" s="563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 t="shared" si="1"/>
        <v>0</v>
      </c>
      <c r="G35" s="92">
        <f t="shared" si="2"/>
        <v>0</v>
      </c>
      <c r="H35" s="24" t="str">
        <f>cennik!$B$2</f>
        <v>EUR</v>
      </c>
      <c r="I35" s="469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">
      <c r="A36" s="422" t="str">
        <f>+System10!$A$36</f>
        <v>horný profil rámu (vodiaca lišta)</v>
      </c>
      <c r="B36" s="563" t="e">
        <f>+VLOOKUP(M29,data!C728:D736,2,0)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24" t="str">
        <f>cennik!$B$2</f>
        <v>EUR</v>
      </c>
      <c r="I36" s="469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13</v>
      </c>
    </row>
    <row r="37" spans="1:12" ht="12.75" customHeight="1" x14ac:dyDescent="0.2">
      <c r="A37" s="422" t="str">
        <f>+System10!$A$36</f>
        <v>horný profil rámu (vodiaca lišta)</v>
      </c>
      <c r="B37" s="537" t="e">
        <f>IF(M30&lt;&gt;"jiné",+VLOOKUP(M30,data!C728:D736,2,0),"")</f>
        <v>#DIV/0!</v>
      </c>
      <c r="C37" s="446" t="e">
        <f>IF(M30&lt;&gt;"jiné",+VLOOKUP(B37,cennik!$A:$G,2,FALSE),texty!$A$2)</f>
        <v>#DIV/0!</v>
      </c>
      <c r="D37" s="64" t="e">
        <f>N30</f>
        <v>#DIV/0!</v>
      </c>
      <c r="E37" s="447" t="e">
        <f>IF(M30&lt;&gt;"jiné",+VLOOKUP(B37,cennik!$A:$G,3,FALSE),0)</f>
        <v>#DIV/0!</v>
      </c>
      <c r="F37" s="91" t="e">
        <f t="shared" si="1"/>
        <v>#DIV/0!</v>
      </c>
      <c r="G37" s="92" t="e">
        <f t="shared" si="2"/>
        <v>#DIV/0!</v>
      </c>
      <c r="H37" s="24" t="str">
        <f>cennik!$B$2</f>
        <v>EUR</v>
      </c>
      <c r="I37" s="469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13</v>
      </c>
    </row>
    <row r="38" spans="1:12" ht="12.75" customHeight="1" x14ac:dyDescent="0.2">
      <c r="A38" s="422" t="str">
        <f>+System10!A38</f>
        <v>horizontálny spodný profil rámu</v>
      </c>
      <c r="B38" s="563" t="e">
        <f>+VLOOKUP(M29,data!$C$744:$D$752,2,0)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24" t="str">
        <f>cennik!$B$2</f>
        <v>EUR</v>
      </c>
      <c r="I38" s="469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13</v>
      </c>
    </row>
    <row r="39" spans="1:12" ht="12.75" customHeight="1" x14ac:dyDescent="0.2">
      <c r="A39" s="422" t="str">
        <f>+System10!A39</f>
        <v>horizontálny spodný profil rámu</v>
      </c>
      <c r="B39" s="537" t="e">
        <f>IF(M30&lt;&gt;"jiné",+VLOOKUP(M30,data!$C$744:$D$752,2,0),"")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47" t="e">
        <f>IF(M30&lt;&gt;"jiné",+VLOOKUP(B39,cennik!$A:$G,3,FALSE),0)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24" t="str">
        <f>cennik!$B$2</f>
        <v>EUR</v>
      </c>
      <c r="I39" s="469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13</v>
      </c>
    </row>
    <row r="40" spans="1:12" ht="12.75" customHeight="1" x14ac:dyDescent="0.2">
      <c r="A40" s="21"/>
      <c r="B40" s="21"/>
      <c r="C40" s="21"/>
      <c r="D40" s="21"/>
      <c r="E40" s="361"/>
      <c r="F40" s="361"/>
      <c r="G40" s="361"/>
      <c r="H40" s="24"/>
      <c r="I40" s="469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14</v>
      </c>
    </row>
    <row r="41" spans="1:12" ht="12.75" customHeight="1" x14ac:dyDescent="0.2">
      <c r="A41" s="427" t="str">
        <f>texty!$A$66</f>
        <v>Voliteľné príslušenstvo:</v>
      </c>
      <c r="B41" s="16"/>
      <c r="C41" s="21"/>
      <c r="D41" s="448" t="str">
        <f>System10!$D$41</f>
        <v>zadajte počet:</v>
      </c>
      <c r="E41" s="91"/>
      <c r="F41" s="91"/>
      <c r="G41" s="361"/>
      <c r="H41" s="24"/>
      <c r="I41" s="469" t="str">
        <f>IFERROR(IF((VLOOKUP(B41,cennik!A:L,12,0))="O",texty!$A$250,""),"")</f>
        <v/>
      </c>
      <c r="K41" s="191"/>
      <c r="L41" s="3" t="s">
        <v>14</v>
      </c>
    </row>
    <row r="42" spans="1:12" ht="12.75" customHeight="1" x14ac:dyDescent="0.2">
      <c r="A42" s="422" t="str">
        <f>texty!$A$88</f>
        <v>pozicionér do horného vedenia</v>
      </c>
      <c r="B42" s="563">
        <v>298035</v>
      </c>
      <c r="C42" s="25" t="str">
        <f>+VLOOKUP(B42,cennik!$A:$G,2,FALSE)</f>
        <v>SEVROLL 20326 Fix pozicionér pre horný vozík transparentný</v>
      </c>
      <c r="D42" s="373"/>
      <c r="E42" s="91">
        <f>+VLOOKUP(B42,cennik!$A:$G,3,FALSE)</f>
        <v>1.0837300000000001</v>
      </c>
      <c r="F42" s="96">
        <f t="shared" ref="F42:F51" si="3">+CEILING(D42,1)*E42</f>
        <v>0</v>
      </c>
      <c r="G42" s="92">
        <f t="shared" ref="G42:G54" si="4">+F42*(100-$G$26)/100</f>
        <v>0</v>
      </c>
      <c r="H42" s="24" t="str">
        <f>cennik!$B$2</f>
        <v>EUR</v>
      </c>
      <c r="I42" s="469" t="str">
        <f>IFERROR(IF((VLOOKUP(B42,cennik!A:L,12,0))="O",texty!$A$250,""),"")</f>
        <v/>
      </c>
      <c r="K42" s="191"/>
      <c r="L42" s="3"/>
    </row>
    <row r="43" spans="1:12" ht="12.75" customHeight="1" x14ac:dyDescent="0.2">
      <c r="A43" s="422" t="str">
        <f>+System10!$A$43</f>
        <v xml:space="preserve">pozicionér </v>
      </c>
      <c r="B43" s="563">
        <f>IF(F4="Gemini",387424,89063)</f>
        <v>89063</v>
      </c>
      <c r="C43" s="25" t="str">
        <f>+VLOOKUP(B43,cennik!$A:$G,2,FALSE)</f>
        <v>SEVROLL 20080 pozicionér spodného vozíka HI-TEC</v>
      </c>
      <c r="D43" s="373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24" t="str">
        <f>cennik!$B$2</f>
        <v>EUR</v>
      </c>
      <c r="I43" s="469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">
      <c r="A44" s="422" t="str">
        <f>texty!$A$228</f>
        <v> Tlmič dorazu MINI do 25 kg (pár)</v>
      </c>
      <c r="B44" s="563">
        <v>318662</v>
      </c>
      <c r="C44" s="25" t="str">
        <f>+VLOOKUP(B44,cennik!$A:$G,2,FALSE)</f>
        <v>SEVROLL 20368-SV tlmič dorazu Mini SV25 (14-25kg)</v>
      </c>
      <c r="D44" s="373"/>
      <c r="E44" s="91">
        <f>+VLOOKUP(B44,cennik!$A:$G,3,FALSE)</f>
        <v>22.75825</v>
      </c>
      <c r="F44" s="96">
        <f t="shared" si="3"/>
        <v>0</v>
      </c>
      <c r="G44" s="92">
        <f t="shared" si="4"/>
        <v>0</v>
      </c>
      <c r="H44" s="24" t="str">
        <f>cennik!$B$2</f>
        <v>EUR</v>
      </c>
      <c r="I44" s="469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">
      <c r="A45" s="422" t="str">
        <f>texty!$A$229</f>
        <v> Tlmič dorazu MINI do 40 kg (pár)</v>
      </c>
      <c r="B45" s="537">
        <v>283956</v>
      </c>
      <c r="C45" s="25" t="str">
        <f>+VLOOKUP(B45,cennik!$A:$G,2,FALSE)</f>
        <v>SEVROLL 20258-SV tlmič dorazu Mini SV40 (25 - 40kg)</v>
      </c>
      <c r="D45" s="373"/>
      <c r="E45" s="91">
        <f>+VLOOKUP(B45,cennik!$A:$G,3,FALSE)</f>
        <v>22.75825</v>
      </c>
      <c r="F45" s="96">
        <f t="shared" si="3"/>
        <v>0</v>
      </c>
      <c r="G45" s="92">
        <f t="shared" si="4"/>
        <v>0</v>
      </c>
      <c r="H45" s="24" t="str">
        <f>cennik!$B$2</f>
        <v>EUR</v>
      </c>
      <c r="I45" s="469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">
      <c r="A46" s="422" t="str">
        <f>texty!$A$230</f>
        <v> Tlmič dorazu MINI do 60 kg (pár)</v>
      </c>
      <c r="B46" s="537">
        <v>351743</v>
      </c>
      <c r="C46" s="25" t="str">
        <f>+VLOOKUP(B46,cennik!$A:$G,2,FALSE)</f>
        <v>SEVROLL 20339-SV tlmič dorazu Mini SV60 (40 - 60kg)</v>
      </c>
      <c r="D46" s="373"/>
      <c r="E46" s="91">
        <f>+VLOOKUP(B46,cennik!$A:$G,3,FALSE)</f>
        <v>22.75825</v>
      </c>
      <c r="F46" s="96">
        <f t="shared" si="3"/>
        <v>0</v>
      </c>
      <c r="G46" s="92">
        <f t="shared" si="4"/>
        <v>0</v>
      </c>
      <c r="H46" s="24" t="str">
        <f>cennik!$B$2</f>
        <v>EUR</v>
      </c>
      <c r="I46" s="469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">
      <c r="A47" s="422" t="str">
        <f>texty!$A$231</f>
        <v> Tlmič pre stredné krídlo do 25 kg</v>
      </c>
      <c r="B47" s="537">
        <v>318663</v>
      </c>
      <c r="C47" s="25" t="str">
        <f>+VLOOKUP(B47,cennik!$A:$G,2,FALSE)</f>
        <v>SEVROLL 20363-SV tlmič Central 10/18mm obojstranný 25kg</v>
      </c>
      <c r="D47" s="373"/>
      <c r="E47" s="91">
        <f>+VLOOKUP(B47,cennik!$A:$G,3,FALSE)</f>
        <v>48.741869999999999</v>
      </c>
      <c r="F47" s="96">
        <f t="shared" si="3"/>
        <v>0</v>
      </c>
      <c r="G47" s="92">
        <f t="shared" si="4"/>
        <v>0</v>
      </c>
      <c r="H47" s="24" t="str">
        <f>cennik!$B$2</f>
        <v>EUR</v>
      </c>
      <c r="I47" s="469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">
      <c r="A48" s="422" t="str">
        <f>texty!$A$232</f>
        <v> Tlmič pre stredné krídlo do 40 kg</v>
      </c>
      <c r="B48" s="537">
        <v>283955</v>
      </c>
      <c r="C48" s="25" t="str">
        <f>+VLOOKUP(B48,cennik!$A:$G,2,FALSE)</f>
        <v>SEVROLL 20319-SV tlmič Central 10/18mm obojstranný 25-40kg</v>
      </c>
      <c r="D48" s="373"/>
      <c r="E48" s="91">
        <f>+VLOOKUP(B48,cennik!$A:$G,3,FALSE)</f>
        <v>48.741869999999999</v>
      </c>
      <c r="F48" s="96">
        <f t="shared" si="3"/>
        <v>0</v>
      </c>
      <c r="G48" s="92">
        <f t="shared" si="4"/>
        <v>0</v>
      </c>
      <c r="H48" s="24" t="str">
        <f>cennik!$B$2</f>
        <v>EUR</v>
      </c>
      <c r="I48" s="469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</v>
      </c>
    </row>
    <row r="49" spans="1:12" ht="12.75" customHeight="1" x14ac:dyDescent="0.2">
      <c r="A49" s="422" t="str">
        <f>CONCATENATE(texty!A179,)</f>
        <v>skrutka k spodnémi vedeniu</v>
      </c>
      <c r="B49" s="563">
        <v>98019</v>
      </c>
      <c r="C49" s="25" t="str">
        <f>+VLOOKUP(B49,cennik!$A:$G,2,FALSE)</f>
        <v>SEVROLL 20041 skrutka 2,5x18mm polguľatá hlava zinok biely</v>
      </c>
      <c r="D49" s="373"/>
      <c r="E49" s="91">
        <f>+VLOOKUP(B49,cennik!$A:$G,3,FALSE)</f>
        <v>2.9159999999999998E-2</v>
      </c>
      <c r="F49" s="96">
        <f t="shared" si="3"/>
        <v>0</v>
      </c>
      <c r="G49" s="92">
        <f t="shared" si="4"/>
        <v>0</v>
      </c>
      <c r="H49" s="24" t="str">
        <f>cennik!$B$2</f>
        <v>EUR</v>
      </c>
      <c r="I49" s="469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">
      <c r="A50" s="422" t="str">
        <f>System10!A49</f>
        <v>tlmič dorazu (pár) 25 kg</v>
      </c>
      <c r="B50" s="537">
        <v>227185</v>
      </c>
      <c r="C50" s="25" t="str">
        <f>+VLOOKUP(B50,cennik!$A:$G,2,FALSE)</f>
        <v>K-SEVROLL tlmič dorazu 10/18mm 14-25kg L+P</v>
      </c>
      <c r="D50" s="373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EUR</v>
      </c>
      <c r="I50" s="469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" customHeight="1" x14ac:dyDescent="0.2">
      <c r="A51" s="422" t="str">
        <f>texty!$A$98</f>
        <v>tlmič dorazu (pár) 50 kg</v>
      </c>
      <c r="B51" s="537">
        <v>227187</v>
      </c>
      <c r="C51" s="25" t="str">
        <f>+VLOOKUP(B51,cennik!$A:$G,2,FALSE)</f>
        <v>K-SEVROLL tlmič dorazu 10/18mm 25-50kg L+P</v>
      </c>
      <c r="D51" s="373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EUR</v>
      </c>
      <c r="I51" s="469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">
      <c r="A52" s="422" t="str">
        <f>texty!A251</f>
        <v>spojovací profil H18-3metre</v>
      </c>
      <c r="B52" s="563" t="e">
        <f>+VLOOKUP(P7,data!C837:D839,2,0)</f>
        <v>#N/A</v>
      </c>
      <c r="C52" s="25" t="e">
        <f>+VLOOKUP(B52,cennik!$A:$G,2,FALSE)</f>
        <v>#N/A</v>
      </c>
      <c r="D52" s="459"/>
      <c r="E52" s="91" t="e">
        <f>+VLOOKUP(B52,cennik!$A:$G,3,FALSE)</f>
        <v>#N/A</v>
      </c>
      <c r="F52" s="91" t="e">
        <f>+E52*D52</f>
        <v>#N/A</v>
      </c>
      <c r="G52" s="92" t="e">
        <f t="shared" si="4"/>
        <v>#N/A</v>
      </c>
      <c r="H52" s="24" t="str">
        <f>cennik!$B$2</f>
        <v>EUR</v>
      </c>
      <c r="I52" s="469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">
      <c r="A53" s="422" t="str">
        <f>texty!A252</f>
        <v>spojovací profil H25-3metre</v>
      </c>
      <c r="B53" s="570" t="str">
        <f>IFERROR(VLOOKUP(P7,data!C840:D842,2,0),"N/A")</f>
        <v>N/A</v>
      </c>
      <c r="C53" s="25" t="str">
        <f>IF($B$53=data!$D$64,texty!$A$239,+VLOOKUP($B$53,cennik!$A:$G,2,FALSE))</f>
        <v> v tejto farbe a dĺžke sa daný profil nevyrába</v>
      </c>
      <c r="D53" s="373"/>
      <c r="E53" s="474">
        <f>IF(B53=data!$D$73,0,+VLOOKUP(B53,cennik!$A:$G,3,FALSE))</f>
        <v>0</v>
      </c>
      <c r="F53" s="474">
        <f>+E53*D53</f>
        <v>0</v>
      </c>
      <c r="G53" s="475">
        <f t="shared" si="4"/>
        <v>0</v>
      </c>
      <c r="H53" s="24" t="str">
        <f>cennik!$B$2</f>
        <v>EUR</v>
      </c>
      <c r="I53" s="469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">
      <c r="A54" s="422" t="str">
        <f>texty!$A$92</f>
        <v>spojovacia skrutka</v>
      </c>
      <c r="B54" s="563">
        <v>89244</v>
      </c>
      <c r="C54" s="25" t="str">
        <f>+VLOOKUP(B54,cennik!$A:$G,2,FALSE)</f>
        <v>SEVROLL 20001 skrutkovrut 6,3x32 SEVROLL a Simple</v>
      </c>
      <c r="D54" s="571"/>
      <c r="E54" s="91">
        <f>+VLOOKUP(B54,cennik!$A:$G,3,FALSE)</f>
        <v>0.15482000000000001</v>
      </c>
      <c r="F54" s="91">
        <f>+E54*D54</f>
        <v>0</v>
      </c>
      <c r="G54" s="92">
        <f t="shared" si="4"/>
        <v>0</v>
      </c>
      <c r="H54" s="24" t="str">
        <f>cennik!$B$2</f>
        <v>EUR</v>
      </c>
      <c r="I54" s="469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5.65" customHeight="1" x14ac:dyDescent="0.2">
      <c r="A55" s="532"/>
      <c r="B55" s="570"/>
      <c r="C55" s="533"/>
      <c r="D55" s="572"/>
      <c r="E55" s="534"/>
      <c r="F55" s="534"/>
      <c r="G55" s="535"/>
      <c r="H55" s="537"/>
      <c r="I55" s="469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5.65" customHeight="1" x14ac:dyDescent="0.2">
      <c r="A56" s="532"/>
      <c r="B56" s="570"/>
      <c r="C56" s="533"/>
      <c r="D56" s="572"/>
      <c r="E56" s="534"/>
      <c r="F56" s="534"/>
      <c r="G56" s="535"/>
      <c r="H56" s="537"/>
      <c r="I56" s="469" t="str">
        <f>IFERROR(IF((VLOOKUP(B56,cennik!A:L,12,0))="O",texty!$A$250,""),"")</f>
        <v/>
      </c>
      <c r="J56" s="439" t="str">
        <f>IF(D56&gt;0,IF(VLOOKUP(B56,cennik!A:L,12,FALSE)="O",1,""),"")</f>
        <v/>
      </c>
      <c r="K56" s="24"/>
    </row>
    <row r="57" spans="1:12" s="21" customFormat="1" ht="5.65" customHeight="1" x14ac:dyDescent="0.2">
      <c r="A57" s="422"/>
      <c r="B57" s="17"/>
      <c r="C57" s="25"/>
      <c r="D57" s="91"/>
      <c r="E57" s="91"/>
      <c r="F57" s="91"/>
      <c r="G57" s="92"/>
      <c r="H57" s="24"/>
      <c r="I57" s="469" t="str">
        <f>IFERROR(IF((VLOOKUP(B57,cennik!A:L,12,0))="O",texty!$A$250,""),"")</f>
        <v/>
      </c>
      <c r="J57" s="439"/>
      <c r="K57" s="24"/>
    </row>
    <row r="58" spans="1:12" ht="12.75" customHeight="1" x14ac:dyDescent="0.2">
      <c r="A58" s="429" t="e">
        <f>CONCATENATE(texty!$A$6,ROUND((C13/1000),1),texty!$A$8)</f>
        <v>#DIV/0!</v>
      </c>
      <c r="B58" s="42"/>
      <c r="C58" s="43"/>
      <c r="D58" s="42"/>
      <c r="E58" s="97"/>
      <c r="F58" s="97"/>
      <c r="G58" s="97"/>
      <c r="H58" s="361"/>
      <c r="I58" s="469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">
      <c r="A59" s="21"/>
      <c r="B59" s="21"/>
      <c r="C59" s="442" t="str">
        <f>texty!$A$10</f>
        <v>Potrebná dĺžka tesnenia pri celkovom presklení (nutné objednať celé metre)</v>
      </c>
      <c r="D59" s="439" t="e">
        <f>CEILING(((B9+C9)*2/1000*D4),1)</f>
        <v>#DIV/0!</v>
      </c>
      <c r="E59" s="361"/>
      <c r="F59" s="361"/>
      <c r="G59" s="361"/>
      <c r="H59" s="361"/>
      <c r="I59" s="469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">
      <c r="A60" s="450" t="str">
        <f>texty!$A$12</f>
        <v>(pri kombináciach s H profilmi je nutné pripočítať potrebnú dĺžku - tesnenie musí byť po celom odvode každého skla</v>
      </c>
      <c r="B60" s="451"/>
      <c r="C60" s="452"/>
      <c r="D60" s="451"/>
      <c r="E60" s="441"/>
      <c r="F60" s="441"/>
      <c r="G60" s="441"/>
      <c r="H60" s="361"/>
      <c r="I60" s="469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">
      <c r="A61" s="422" t="str">
        <f>System10!A59</f>
        <v>tesnenie na sklo 4mm</v>
      </c>
      <c r="B61" s="570" t="s">
        <v>70</v>
      </c>
      <c r="C61" s="25" t="str">
        <f>+VLOOKUP(B61,cennik!$A:$G,2,FALSE)</f>
        <v>SEVROLL 20106 tesnenie na sklo 18/4-4,5mm asymetrické</v>
      </c>
      <c r="D61" s="573"/>
      <c r="E61" s="91">
        <f>+VLOOKUP(B61,cennik!$A:$G,3,FALSE)</f>
        <v>2.2861500000000001</v>
      </c>
      <c r="F61" s="96">
        <f>+CEILING(D61,1)*E61</f>
        <v>0</v>
      </c>
      <c r="G61" s="92">
        <f>+F61*(100-$G$26)/100</f>
        <v>0</v>
      </c>
      <c r="H61" s="24" t="str">
        <f>cennik!$B$2</f>
        <v>EUR</v>
      </c>
      <c r="I61" s="469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7.15" customHeight="1" x14ac:dyDescent="0.2">
      <c r="A62" s="532"/>
      <c r="B62" s="570"/>
      <c r="C62" s="533"/>
      <c r="D62" s="572"/>
      <c r="E62" s="534"/>
      <c r="F62" s="538"/>
      <c r="G62" s="535"/>
      <c r="H62" s="537"/>
      <c r="I62" s="469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7.15" customHeight="1" x14ac:dyDescent="0.2">
      <c r="A63" s="532"/>
      <c r="B63" s="570"/>
      <c r="C63" s="533"/>
      <c r="D63" s="572"/>
      <c r="E63" s="534"/>
      <c r="F63" s="538"/>
      <c r="G63" s="535"/>
      <c r="H63" s="537"/>
      <c r="I63" s="469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">
      <c r="A64" s="271" t="str">
        <f>texty!$A$190</f>
        <v>Ďalšie príslušenstvo</v>
      </c>
      <c r="B64" s="21"/>
      <c r="C64" s="21"/>
      <c r="D64" s="21"/>
      <c r="E64" s="361"/>
      <c r="F64" s="361"/>
      <c r="G64" s="361"/>
      <c r="H64" s="24"/>
      <c r="I64" s="469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">
      <c r="A65" s="271" t="str">
        <f>texty!$A$244</f>
        <v>Technický nákres tohoto systému</v>
      </c>
      <c r="B65" s="574">
        <v>129677</v>
      </c>
      <c r="C65" s="453" t="str">
        <f>VLOOKUP(B65,cennik!A:C,2,0)</f>
        <v>SEVROLL 20173 montážny prípravok pre lamino 10mm malý</v>
      </c>
      <c r="D65" s="460"/>
      <c r="E65" s="91">
        <f>+VLOOKUP(B65,cennik!$A:$G,3,FALSE)</f>
        <v>5.0214600000000003</v>
      </c>
      <c r="F65" s="96">
        <f>+CEILING(D65,1)*E65</f>
        <v>0</v>
      </c>
      <c r="G65" s="92">
        <f>+F65</f>
        <v>0</v>
      </c>
      <c r="H65" s="24" t="str">
        <f>cennik!$B$2</f>
        <v>EUR</v>
      </c>
      <c r="I65" s="469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">
      <c r="A66" s="21"/>
      <c r="B66" s="574">
        <v>128842</v>
      </c>
      <c r="C66" s="453" t="str">
        <f>VLOOKUP(B66,cennik!A:C,2,0)</f>
        <v>SEVROLL 20144 vrták stupňovitý 6,5/9,5mm</v>
      </c>
      <c r="D66" s="460"/>
      <c r="E66" s="91">
        <f>+VLOOKUP(B66,cennik!$A:$G,3,FALSE)</f>
        <v>26.752659999999999</v>
      </c>
      <c r="F66" s="96">
        <f>+CEILING(D66,1)*E66</f>
        <v>0</v>
      </c>
      <c r="G66" s="92">
        <f>+F66</f>
        <v>0</v>
      </c>
      <c r="H66" s="24" t="str">
        <f>cennik!$B$2</f>
        <v>EUR</v>
      </c>
      <c r="I66" s="469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">
      <c r="A67" s="637" t="str">
        <f>IF(SUM(D50:D51)&gt;0,IF(C7&lt;(B4/3),texty!$A$212,""),"")</f>
        <v/>
      </c>
      <c r="B67" s="637"/>
      <c r="C67" s="637"/>
      <c r="D67" s="637"/>
      <c r="E67" s="637"/>
      <c r="F67" s="637"/>
      <c r="G67" s="637"/>
      <c r="H67" s="637"/>
      <c r="I67" s="637"/>
      <c r="J67" s="272"/>
      <c r="K67" s="134"/>
    </row>
    <row r="68" spans="1:14" ht="12.75" customHeight="1" x14ac:dyDescent="0.2">
      <c r="A68" s="21"/>
      <c r="B68" s="17"/>
      <c r="C68" s="17"/>
      <c r="D68" s="455" t="str">
        <f>texty!$A$15</f>
        <v>CELKOM  (bez DPH)</v>
      </c>
      <c r="E68" s="441"/>
      <c r="F68" s="101" t="e">
        <f>SUM(F28:F66)</f>
        <v>#N/A</v>
      </c>
      <c r="G68" s="101" t="e">
        <f>SUM(G28:G66)</f>
        <v>#N/A</v>
      </c>
      <c r="H68" s="24" t="str">
        <f>cennik!$B$2</f>
        <v>EUR</v>
      </c>
      <c r="I68" s="24"/>
      <c r="J68" s="181"/>
      <c r="K68" s="181"/>
      <c r="L68" s="5" t="str">
        <f>data!J4</f>
        <v xml:space="preserve">strieborná </v>
      </c>
      <c r="M68" s="21" t="s">
        <v>987</v>
      </c>
    </row>
    <row r="69" spans="1:14" ht="12.75" customHeight="1" x14ac:dyDescent="0.2">
      <c r="A69" s="442" t="str">
        <f>System10!$A$67</f>
        <v>Vaša poznámka:</v>
      </c>
      <c r="B69" s="641"/>
      <c r="C69" s="642"/>
      <c r="D69" s="642"/>
      <c r="E69" s="642"/>
      <c r="F69" s="642"/>
      <c r="G69" s="643"/>
      <c r="H69" s="24"/>
      <c r="I69" s="24"/>
      <c r="L69" s="5" t="str">
        <f>data!J6</f>
        <v>oliva</v>
      </c>
      <c r="M69" s="21" t="s">
        <v>43</v>
      </c>
    </row>
    <row r="70" spans="1:14" ht="12.75" customHeight="1" x14ac:dyDescent="0.2">
      <c r="A70" s="630">
        <f>profil!$U$15</f>
        <v>0</v>
      </c>
      <c r="B70" s="631"/>
      <c r="C70" s="631"/>
      <c r="D70" s="631"/>
      <c r="E70" s="631"/>
      <c r="F70" s="631"/>
      <c r="G70" s="631"/>
      <c r="H70" s="631"/>
      <c r="I70" s="24"/>
      <c r="L70" s="5" t="str">
        <f>data!J17</f>
        <v>čierna mat</v>
      </c>
      <c r="M70" s="21"/>
    </row>
    <row r="71" spans="1:14" ht="12.75" hidden="1" customHeight="1" x14ac:dyDescent="0.2">
      <c r="A71" s="632">
        <f>IF(N71=1,texty!$A$215,IF(K71&gt;0,texty!$A$214,""))</f>
        <v>0</v>
      </c>
      <c r="B71" s="632"/>
      <c r="C71" s="632"/>
      <c r="D71" s="632"/>
      <c r="E71" s="632"/>
      <c r="F71" s="632"/>
      <c r="G71" s="632"/>
      <c r="H71" s="632"/>
      <c r="I71" s="24"/>
      <c r="K71" s="6" t="e">
        <f>SUM(K28:K66)</f>
        <v>#N/A</v>
      </c>
      <c r="N71" s="5">
        <f>IF(ISERROR(K71),1,0)</f>
        <v>1</v>
      </c>
    </row>
  </sheetData>
  <sheetProtection algorithmName="SHA-512" hashValue="32RnNLsow7mvJaM+wB3cdJ7MXFk3r0e8tHdZxA1dRJbUhxmpl7J6Oi55wzFhhY55DmLt+yTKROJxNU0cZyJRWg==" saltValue="55kWqqcLtfkrwi9SVYhbbw==" spinCount="100000" sheet="1" objects="1" scenarios="1" selectLockedCell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46" priority="3">
      <formula>SUM($D$47:$D$48)&gt;0</formula>
    </cfRule>
  </conditionalFormatting>
  <conditionalFormatting sqref="D6">
    <cfRule type="expression" dxfId="144" priority="7">
      <formula>$D$4=4</formula>
    </cfRule>
    <cfRule type="expression" dxfId="143" priority="8">
      <formula>$D$4&lt;&gt;4</formula>
    </cfRule>
  </conditionalFormatting>
  <conditionalFormatting sqref="D54">
    <cfRule type="expression" dxfId="142" priority="9" stopIfTrue="1">
      <formula>IF($D$53&gt;0,IF($D$54=0,1,0),0)</formula>
    </cfRule>
  </conditionalFormatting>
  <conditionalFormatting sqref="G4">
    <cfRule type="expression" dxfId="141" priority="6">
      <formula>$D$4=4</formula>
    </cfRule>
  </conditionalFormatting>
  <conditionalFormatting sqref="I19:I20">
    <cfRule type="expression" dxfId="140" priority="4">
      <formula>$F$4=$M$69</formula>
    </cfRule>
  </conditionalFormatting>
  <conditionalFormatting sqref="I21:I22">
    <cfRule type="expression" dxfId="139" priority="5">
      <formula>$F$4=$M$68</formula>
    </cfRule>
  </conditionalFormatting>
  <dataValidations count="7">
    <dataValidation type="list" allowBlank="1" showInputMessage="1" showErrorMessage="1" sqref="E4" xr:uid="{429B0AE2-6292-4C19-B51F-18CDCFCE2E9C}">
      <formula1>IF(F4="Elegant II",$L$68:$L$70,$L$68:$L$69)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A81BB3B7-D0B8-4A9A-B1CC-071FD7BC4E14}">
      <formula1>0</formula1>
      <formula2>2740</formula2>
    </dataValidation>
    <dataValidation type="list" allowBlank="1" showInputMessage="1" showErrorMessage="1" sqref="E6:F6" xr:uid="{7B9560C3-C8F9-4501-B225-56F5D1964E23}">
      <formula1>"stříbrná,zlatá,oliva"</formula1>
      <formula2>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$M$68:$M$69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2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8.7109375" style="5" customWidth="1"/>
    <col min="2" max="2" width="15.7109375" style="5" customWidth="1"/>
    <col min="3" max="3" width="41" style="5" customWidth="1"/>
    <col min="4" max="4" width="14.140625" style="5" customWidth="1"/>
    <col min="5" max="7" width="14.7109375" style="5" customWidth="1"/>
    <col min="8" max="8" width="4.7109375" style="5" customWidth="1"/>
    <col min="9" max="9" width="24.7109375" style="6" customWidth="1"/>
    <col min="10" max="10" width="12.28515625" style="6" hidden="1" customWidth="1"/>
    <col min="11" max="11" width="19.140625" style="6" hidden="1" customWidth="1"/>
    <col min="12" max="12" width="9.140625" style="5" hidden="1" customWidth="1"/>
    <col min="13" max="13" width="18.42578125" style="5" hidden="1" customWidth="1"/>
    <col min="14" max="14" width="7.42578125" style="5" hidden="1" customWidth="1"/>
    <col min="15" max="15" width="5.710937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22" ht="13.5" customHeight="1" thickBot="1" x14ac:dyDescent="0.25">
      <c r="A1" s="422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-7</v>
      </c>
    </row>
    <row r="2" spans="1:22" ht="18.75" customHeight="1" x14ac:dyDescent="0.2">
      <c r="A2" s="523" t="s">
        <v>3571</v>
      </c>
      <c r="B2" s="419" t="str">
        <f>profil!T7</f>
        <v>Zákazník:,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6.25" thickBot="1" x14ac:dyDescent="0.25">
      <c r="A3" s="524"/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421" t="str">
        <f>+System10!D3</f>
        <v>počet dverí:</v>
      </c>
      <c r="E3" s="421" t="str">
        <f>+System10!E3</f>
        <v>farba</v>
      </c>
      <c r="F3" s="420" t="str">
        <f>texty!A38</f>
        <v>typ spodného vedenia</v>
      </c>
      <c r="G3" s="24"/>
      <c r="H3" s="24"/>
      <c r="I3" s="24"/>
      <c r="L3" s="6"/>
    </row>
    <row r="4" spans="1:22" ht="24" customHeight="1" x14ac:dyDescent="0.2">
      <c r="A4" s="423" t="str">
        <f>+System10!$A$4</f>
        <v>VNÚTORNÝ ROZMER SKRINE:</v>
      </c>
      <c r="B4" s="456"/>
      <c r="C4" s="456"/>
      <c r="D4" s="457"/>
      <c r="E4" s="458"/>
      <c r="F4" s="458"/>
      <c r="G4" s="644"/>
      <c r="H4" s="644"/>
      <c r="I4" s="644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">
      <c r="B5" s="640" t="str">
        <f>IF(barva=texty!A129,texty!A3,System10!B5)</f>
        <v>vypíšte týchto 5 políčok !!! Údaje v mm</v>
      </c>
      <c r="C5" s="640"/>
      <c r="D5" s="640"/>
      <c r="E5" s="640"/>
      <c r="F5" s="640"/>
      <c r="G5" s="644"/>
      <c r="H5" s="644"/>
      <c r="I5" s="644"/>
      <c r="K5" s="190"/>
      <c r="L5" s="23" t="str">
        <f>CONCATENATE(L4,"-",E4)</f>
        <v>1700-</v>
      </c>
      <c r="M5" s="21"/>
      <c r="N5" s="23" t="str">
        <f>CONCATENATE(N4,"-",E4,", ",F4)</f>
        <v xml:space="preserve">1700-, </v>
      </c>
    </row>
    <row r="6" spans="1:22" ht="18" customHeight="1" x14ac:dyDescent="0.2">
      <c r="A6" s="423"/>
      <c r="B6" s="431" t="str">
        <f>IF(D4=4,texty!A227,"")</f>
        <v/>
      </c>
      <c r="C6" s="21"/>
      <c r="D6" s="443">
        <v>2</v>
      </c>
      <c r="E6" s="17"/>
      <c r="F6" s="17"/>
      <c r="G6" s="644"/>
      <c r="H6" s="644"/>
      <c r="I6" s="644"/>
      <c r="K6" s="190"/>
      <c r="L6" s="6"/>
      <c r="R6" s="636" t="s">
        <v>557</v>
      </c>
      <c r="S6" s="636" t="s">
        <v>558</v>
      </c>
      <c r="T6" s="636" t="s">
        <v>559</v>
      </c>
      <c r="U6" s="636" t="s">
        <v>560</v>
      </c>
    </row>
    <row r="7" spans="1:22" ht="12.75" customHeight="1" x14ac:dyDescent="0.2">
      <c r="A7" s="423" t="str">
        <f>texty!A71</f>
        <v>krídlo dverí:</v>
      </c>
      <c r="B7" s="57">
        <f>+B4-40</f>
        <v>-40</v>
      </c>
      <c r="C7" s="59" t="e">
        <f>+((C4-3+(25*(D4-1)))/D4+IF(AND(D4=4,D6=2),M1,0))</f>
        <v>#DIV/0!</v>
      </c>
      <c r="D7" s="17"/>
      <c r="E7" s="17"/>
      <c r="F7" s="17"/>
      <c r="G7" s="434" t="str">
        <f>texty!$A$39</f>
        <v>V prípade použitia skla ako výplne</v>
      </c>
      <c r="H7" s="24"/>
      <c r="I7" s="24"/>
      <c r="L7" s="6"/>
      <c r="O7" s="17" t="e">
        <f>IF(L11="jiné",M12,L11)</f>
        <v>#DIV/0!</v>
      </c>
      <c r="P7" s="21">
        <f>+E4</f>
        <v>0</v>
      </c>
      <c r="R7" s="636"/>
      <c r="S7" s="636"/>
      <c r="T7" s="636"/>
      <c r="U7" s="636"/>
    </row>
    <row r="8" spans="1:22" ht="12.75" customHeight="1" x14ac:dyDescent="0.2">
      <c r="A8" s="423" t="str">
        <f>texty!A48</f>
        <v>rozmer výplne 18mm:</v>
      </c>
      <c r="B8" s="57">
        <f>+B7-64</f>
        <v>-104</v>
      </c>
      <c r="C8" s="59" t="e">
        <f>+C7-31</f>
        <v>#DIV/0!</v>
      </c>
      <c r="D8" s="17"/>
      <c r="E8" s="17"/>
      <c r="F8" s="17"/>
      <c r="G8" s="434" t="str">
        <f>texty!$A$40</f>
        <v>je treba použiť bezpečnostné sklo</v>
      </c>
      <c r="H8" s="24"/>
      <c r="I8" s="24"/>
      <c r="L8" s="6" t="s">
        <v>60</v>
      </c>
      <c r="M8" s="5" t="s">
        <v>61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">
      <c r="A9" s="423" t="str">
        <f>texty!A73</f>
        <v>rozmer zrkadla / skla</v>
      </c>
      <c r="B9" s="57">
        <f>+B8</f>
        <v>-104</v>
      </c>
      <c r="C9" s="59" t="e">
        <f>+C8-4</f>
        <v>#DIV/0!</v>
      </c>
      <c r="D9" s="17"/>
      <c r="E9" s="17"/>
      <c r="F9" s="17"/>
      <c r="G9" s="434" t="str">
        <f>texty!$A$41</f>
        <v>alebo sklo zabezpečiť ochrannou fóliou</v>
      </c>
      <c r="H9" s="24"/>
      <c r="I9" s="24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562</v>
      </c>
    </row>
    <row r="10" spans="1:22" ht="12.75" customHeight="1" x14ac:dyDescent="0.2">
      <c r="A10" s="423" t="str">
        <f>texty!A74</f>
        <v>dĺžka vodiacej a krycej lišty krídla</v>
      </c>
      <c r="B10" s="57"/>
      <c r="C10" s="60" t="e">
        <f>+C7-48</f>
        <v>#DIV/0!</v>
      </c>
      <c r="D10" s="17"/>
      <c r="E10" s="17"/>
      <c r="F10" s="17"/>
      <c r="G10" s="435"/>
      <c r="H10" s="24"/>
      <c r="I10" s="24"/>
      <c r="L10" s="5" t="s">
        <v>59</v>
      </c>
      <c r="O10" s="17" t="e">
        <f>IF(L11="jiné",M13,"")</f>
        <v>#DIV/0!</v>
      </c>
      <c r="P10" s="21">
        <f>+E4</f>
        <v>0</v>
      </c>
      <c r="Q10" s="5">
        <v>3</v>
      </c>
      <c r="R10" s="159" t="e">
        <f t="shared" si="0"/>
        <v>#DIV/0!</v>
      </c>
    </row>
    <row r="11" spans="1:22" ht="12.75" customHeight="1" x14ac:dyDescent="0.2">
      <c r="A11" s="423" t="str">
        <f>texty!A75</f>
        <v>Horný/spodný profil</v>
      </c>
      <c r="B11" s="57"/>
      <c r="C11" s="189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I11" s="24"/>
      <c r="L11" s="36" t="e">
        <f>IF((L9+M9)&lt;1700,1700,IF((L9+M9)&lt;2350,2350,IF((L9+M9)&lt;3000,3000,"jiné")))</f>
        <v>#DIV/0!</v>
      </c>
      <c r="N11" s="5" t="s">
        <v>62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">
      <c r="A12" s="423" t="str">
        <f>texty!A76</f>
        <v>úchytková lišta</v>
      </c>
      <c r="B12" s="488">
        <f>+B7</f>
        <v>-40</v>
      </c>
      <c r="C12" s="489"/>
      <c r="D12" s="17"/>
      <c r="E12" s="17"/>
      <c r="F12" s="17"/>
      <c r="G12" s="24"/>
      <c r="H12" s="24"/>
      <c r="I12" s="24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">
      <c r="A13" s="423" t="str">
        <f>texty!A77</f>
        <v>dĺžka tesnenia na sklo na jednom krídle</v>
      </c>
      <c r="B13" s="64"/>
      <c r="C13" s="491" t="e">
        <f>ROUND(B8*2+C9*2,0)</f>
        <v>#DIV/0!</v>
      </c>
      <c r="D13" s="17"/>
      <c r="E13" s="17"/>
      <c r="F13" s="17"/>
      <c r="G13" s="24"/>
      <c r="H13" s="24"/>
      <c r="I13" s="24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4" x14ac:dyDescent="0.2">
      <c r="A14" s="635" t="str">
        <f>IF(SUM(D47:D48)&gt;0,texty!A245,"")</f>
        <v/>
      </c>
      <c r="B14" s="635"/>
      <c r="C14" s="490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I14" s="24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">
      <c r="A15" s="635"/>
      <c r="B15" s="635"/>
      <c r="C15" s="490"/>
      <c r="D15" s="17"/>
      <c r="E15" s="17"/>
      <c r="F15" s="17"/>
      <c r="G15" s="24"/>
      <c r="H15" s="24"/>
      <c r="I15" s="24"/>
      <c r="L15" s="6"/>
      <c r="R15" s="159"/>
    </row>
    <row r="16" spans="1:22" x14ac:dyDescent="0.2">
      <c r="A16" s="422"/>
      <c r="B16" s="17"/>
      <c r="C16" s="490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">
      <c r="B17" s="17"/>
      <c r="C17" s="433"/>
      <c r="D17" s="17"/>
      <c r="E17" s="17"/>
      <c r="F17" s="17"/>
      <c r="G17" s="24"/>
      <c r="H17" s="24"/>
      <c r="I17" s="24"/>
      <c r="L17" s="6"/>
      <c r="M17" s="5" t="e">
        <f>M14-C4</f>
        <v>#DIV/0!</v>
      </c>
      <c r="Q17" s="5" t="s">
        <v>561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">
      <c r="A18" s="422"/>
      <c r="B18" s="17"/>
      <c r="C18" s="433"/>
      <c r="D18" s="17"/>
      <c r="E18" s="17"/>
      <c r="F18" s="17"/>
      <c r="G18" s="24"/>
      <c r="H18" s="24"/>
      <c r="I18" s="24"/>
      <c r="L18" s="6"/>
    </row>
    <row r="19" spans="1:22" ht="14.25" customHeight="1" x14ac:dyDescent="0.2">
      <c r="A19" s="422"/>
      <c r="B19" s="484" t="str">
        <f>texty!A242</f>
        <v>dilatácia 4 mm</v>
      </c>
      <c r="C19" s="119"/>
      <c r="D19" s="17"/>
      <c r="E19" s="17"/>
      <c r="F19" s="17"/>
      <c r="G19" s="24"/>
      <c r="H19" s="24"/>
      <c r="I19" s="638" t="s">
        <v>993</v>
      </c>
      <c r="L19" s="6"/>
    </row>
    <row r="20" spans="1:22" ht="16.5" customHeight="1" x14ac:dyDescent="0.2">
      <c r="A20" s="422"/>
      <c r="B20" s="17"/>
      <c r="C20" s="17"/>
      <c r="D20" s="21"/>
      <c r="E20" s="17"/>
      <c r="F20" s="17"/>
      <c r="G20" s="24"/>
      <c r="H20" s="24"/>
      <c r="I20" s="638"/>
      <c r="L20" s="6"/>
      <c r="M20" s="6"/>
      <c r="R20" s="5" t="s">
        <v>581</v>
      </c>
      <c r="S20" s="5" t="s">
        <v>580</v>
      </c>
      <c r="T20" s="5">
        <v>1700</v>
      </c>
      <c r="U20" s="5">
        <v>2350</v>
      </c>
      <c r="V20" s="5">
        <v>3000</v>
      </c>
    </row>
    <row r="21" spans="1:22" ht="16.5" customHeight="1" x14ac:dyDescent="0.2">
      <c r="A21" s="422"/>
      <c r="B21" s="17"/>
      <c r="C21" s="17"/>
      <c r="D21" s="382"/>
      <c r="E21" s="17"/>
      <c r="F21" s="17"/>
      <c r="G21" s="24"/>
      <c r="H21" s="24"/>
      <c r="I21" s="639" t="s">
        <v>994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">
      <c r="A22" s="422"/>
      <c r="B22" s="17"/>
      <c r="C22" s="17"/>
      <c r="D22" s="17"/>
      <c r="E22" s="17"/>
      <c r="F22" s="17"/>
      <c r="G22" s="24"/>
      <c r="H22" s="24"/>
      <c r="I22" s="639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">
      <c r="A23" s="422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">
      <c r="A24" s="422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1700-0</v>
      </c>
      <c r="M24" s="6" t="e">
        <f>SUM(T21:T32)</f>
        <v>#DIV/0!</v>
      </c>
      <c r="N24" s="5">
        <v>1700</v>
      </c>
      <c r="P24" s="5" t="s">
        <v>563</v>
      </c>
      <c r="Q24" s="162" t="s">
        <v>564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">
      <c r="A25" s="422"/>
      <c r="B25" s="17"/>
      <c r="C25" s="21"/>
      <c r="D25" s="17"/>
      <c r="E25" s="17"/>
      <c r="F25" s="17"/>
      <c r="G25" s="438" t="str">
        <f>texty!$A$21</f>
        <v>partnerská zľava:</v>
      </c>
      <c r="H25" s="24"/>
      <c r="I25" s="24"/>
      <c r="L25" s="5" t="str">
        <f>CONCATENATE(N25,"-",$P$7)</f>
        <v>2350-0</v>
      </c>
      <c r="M25" s="6" t="e">
        <f>SUM(U21:U32)</f>
        <v>#DIV/0!</v>
      </c>
      <c r="N25" s="5">
        <v>2350</v>
      </c>
      <c r="Q25" s="5" t="s">
        <v>576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">
      <c r="A26" s="427" t="str">
        <f>+System10!$A$26</f>
        <v>Objednávacie kódy, ceny:</v>
      </c>
      <c r="B26" s="17"/>
      <c r="C26" s="21"/>
      <c r="D26" s="17"/>
      <c r="E26" s="17"/>
      <c r="F26" s="17"/>
      <c r="G26" s="374">
        <f>profil!C15</f>
        <v>0</v>
      </c>
      <c r="H26" s="440" t="s">
        <v>57</v>
      </c>
      <c r="I26" s="24"/>
      <c r="L26" s="5" t="str">
        <f>CONCATENATE(N26,"-",$P$7)</f>
        <v>3000-0</v>
      </c>
      <c r="M26" s="6" t="e">
        <f>SUM(V21:V32)</f>
        <v>#DIV/0!</v>
      </c>
      <c r="N26" s="5">
        <v>3000</v>
      </c>
      <c r="O26" s="160"/>
      <c r="Q26" s="5" t="s">
        <v>565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">
      <c r="A27" s="422"/>
      <c r="B27" s="19" t="s">
        <v>3</v>
      </c>
      <c r="C27" s="20" t="str">
        <f>texty!$A$16</f>
        <v>názov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celkom</v>
      </c>
      <c r="G27" s="20" t="str">
        <f>texty!$A$20</f>
        <v>celkom netto:</v>
      </c>
      <c r="H27" s="24"/>
      <c r="I27" s="20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566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">
      <c r="A28" s="422" t="str">
        <f>+System10!$A$28</f>
        <v>Horný profil:</v>
      </c>
      <c r="B28" s="563" t="e">
        <f>+VLOOKUP(L5,data!$C$196:$D$254,2,0)</f>
        <v>#N/A</v>
      </c>
      <c r="C28" s="25" t="e">
        <f>+VLOOKUP(B28,cennik!$A:$G,2,FALSE)</f>
        <v>#N/A</v>
      </c>
      <c r="D28" s="17" t="e">
        <f>IF(B28="N/A",0,1)</f>
        <v>#N/A</v>
      </c>
      <c r="E28" s="91" t="e">
        <f>+VLOOKUP(B28,cennik!$A:$G,3,FALSE)</f>
        <v>#N/A</v>
      </c>
      <c r="F28" s="91" t="e">
        <f t="shared" ref="F28:F39" si="1">+E28*D28</f>
        <v>#N/A</v>
      </c>
      <c r="G28" s="92" t="e">
        <f>+F28*(100-$G$26)/100</f>
        <v>#N/A</v>
      </c>
      <c r="H28" s="24" t="str">
        <f>cennik!$B$2</f>
        <v>EUR</v>
      </c>
      <c r="I28" s="469" t="str">
        <f>IFERROR(IF((VLOOKUP(B28,cennik!A:L,12,0))="O",texty!$A$250,""),"")</f>
        <v/>
      </c>
      <c r="K28" s="191" t="e">
        <f>IF(D28&gt;0,IF(VLOOKUP(B28,cennik!A:L,12,FALSE)="O",1,""),"")</f>
        <v>#N/A</v>
      </c>
      <c r="L28" s="6"/>
      <c r="M28" s="160"/>
      <c r="N28" s="160"/>
      <c r="O28" s="160"/>
      <c r="Q28" s="5" t="s">
        <v>577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">
      <c r="A29" s="422" t="str">
        <f>+System10!$A$29</f>
        <v>spodný profil:</v>
      </c>
      <c r="B29" s="563" t="e">
        <f>+VLOOKUP(N5,data!$C$4:$D$98,2,0)</f>
        <v>#N/A</v>
      </c>
      <c r="C29" s="25" t="e">
        <f>IF($B$29=data!$D$64,texty!$A$239,+VLOOKUP($B$29,cennik!$A:$G,2,FALSE))</f>
        <v>#N/A</v>
      </c>
      <c r="D29" s="17">
        <v>1</v>
      </c>
      <c r="E29" s="91" t="e">
        <f>IF(B29=data!$D$73,0,+VLOOKUP(B29,cennik!$A:$G,3,FALSE))</f>
        <v>#N/A</v>
      </c>
      <c r="F29" s="91" t="e">
        <f t="shared" si="1"/>
        <v>#N/A</v>
      </c>
      <c r="G29" s="92" t="e">
        <f>+F29*(100-$F$26)/100</f>
        <v>#N/A</v>
      </c>
      <c r="H29" s="24" t="str">
        <f>cennik!$B$2</f>
        <v>EUR</v>
      </c>
      <c r="I29" s="469" t="str">
        <f>IFERROR(IF((VLOOKUP(B29,cennik!A:L,12,0))="O",texty!$A$250,""),"")</f>
        <v/>
      </c>
      <c r="K29" s="191" t="e">
        <f>IF(D29&gt;0,IF(VLOOKUP(B29,cennik!A:L,12,FALSE)="O",1,""),"")</f>
        <v>#N/A</v>
      </c>
      <c r="L29" s="6" t="s">
        <v>567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578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">
      <c r="A30" s="422" t="str">
        <f>+System10!$A$30</f>
        <v>krycí profil (maska):</v>
      </c>
      <c r="B30" s="563" t="e">
        <f>+VLOOKUP(N5,data!$C$105:$D$195,2,0)</f>
        <v>#N/A</v>
      </c>
      <c r="C30" s="25" t="e">
        <f>IF($B$30=data!$D$64,texty!$A$239,+VLOOKUP($B$30,cennik!$A:$G,2,FALSE))</f>
        <v>#N/A</v>
      </c>
      <c r="D30" s="17">
        <v>1</v>
      </c>
      <c r="E30" s="91" t="e">
        <f>IF(B30=data!$D$73,0,+VLOOKUP(B30,cennik!$A:$G,3,FALSE))</f>
        <v>#N/A</v>
      </c>
      <c r="F30" s="91" t="e">
        <f t="shared" si="1"/>
        <v>#N/A</v>
      </c>
      <c r="G30" s="92" t="e">
        <f t="shared" ref="G30:G39" si="2">+F30*(100-$G$26)/100</f>
        <v>#N/A</v>
      </c>
      <c r="H30" s="24" t="str">
        <f>cennik!$B$2</f>
        <v>EUR</v>
      </c>
      <c r="I30" s="469" t="str">
        <f>IFERROR(IF((VLOOKUP(B30,cennik!A:L,12,0))="O",texty!$A$250,""),"")</f>
        <v/>
      </c>
      <c r="K30" s="191" t="e">
        <f>IF(D30&gt;0,IF(VLOOKUP(B30,cennik!A:L,12,FALSE)="O",1,""),"")</f>
        <v>#N/A</v>
      </c>
      <c r="L30" s="6" t="s">
        <v>568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569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">
      <c r="A31" s="422" t="str">
        <f>+System10!$A$31</f>
        <v>horné vozíky (sady)</v>
      </c>
      <c r="B31" s="563">
        <v>228009</v>
      </c>
      <c r="C31" s="25" t="str">
        <f>+VLOOKUP(B31,cennik!$A$3:$G$984,2,FALSE)</f>
        <v>SEVROLL 10204 horný vozík Gemini symetrický 10mm - 2ks</v>
      </c>
      <c r="D31" s="17">
        <f>IF((D50+D51)&gt;D4,0,D4-(D50+D51))</f>
        <v>0</v>
      </c>
      <c r="E31" s="91">
        <f>+VLOOKUP(B31,cennik!$A:$G,3,FALSE)</f>
        <v>5.1322099999999997</v>
      </c>
      <c r="F31" s="91">
        <f t="shared" si="1"/>
        <v>0</v>
      </c>
      <c r="G31" s="92">
        <f t="shared" si="2"/>
        <v>0</v>
      </c>
      <c r="H31" s="24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579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">
      <c r="A32" s="422" t="str">
        <f>+System10!$A$32</f>
        <v>spodné vozíky (sada)</v>
      </c>
      <c r="B32" s="563">
        <f>IF(F4=M68,328321,229441)</f>
        <v>229441</v>
      </c>
      <c r="C32" s="25" t="str">
        <f>+VLOOKUP(B32,cennik!$A:$G,2,FALSE)</f>
        <v>SEVROLL 10200 spodný vozík WD 10C HI-TEC - 2ks</v>
      </c>
      <c r="D32" s="17">
        <f>+D4</f>
        <v>0</v>
      </c>
      <c r="E32" s="91">
        <f>+VLOOKUP(B32,cennik!$A:$G,3,FALSE)</f>
        <v>6.5952500000000001</v>
      </c>
      <c r="F32" s="91">
        <f t="shared" si="1"/>
        <v>0</v>
      </c>
      <c r="G32" s="92">
        <f t="shared" si="2"/>
        <v>0</v>
      </c>
      <c r="H32" s="24" t="str">
        <f>cennik!$B$2</f>
        <v>EUR</v>
      </c>
      <c r="I32" s="469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570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">
      <c r="A33" s="422" t="str">
        <f>+System10!$A$33</f>
        <v>dorazový kartáč</v>
      </c>
      <c r="B33" s="563" t="e">
        <f>+VLOOKUP(L48,data!$C$790:$D$810,2,0)</f>
        <v>#N/A</v>
      </c>
      <c r="C33" s="25" t="e">
        <f>+VLOOKUP(B33,cennik!$A:$G,2,FALSE)</f>
        <v>#N/A</v>
      </c>
      <c r="D33" s="17">
        <f>CEILING((B4*D4*2/1000),1)</f>
        <v>0</v>
      </c>
      <c r="E33" s="91" t="e">
        <f>+VLOOKUP(B33,cennik!$A:$G,3,FALSE)</f>
        <v>#N/A</v>
      </c>
      <c r="F33" s="91" t="e">
        <f t="shared" si="1"/>
        <v>#N/A</v>
      </c>
      <c r="G33" s="92" t="e">
        <f t="shared" si="2"/>
        <v>#N/A</v>
      </c>
      <c r="H33" s="24" t="str">
        <f>cennik!$B$2</f>
        <v>EUR</v>
      </c>
      <c r="I33" s="469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">
      <c r="A34" s="422" t="str">
        <f>+System10!$A$34</f>
        <v>úchytková lišta</v>
      </c>
      <c r="B34" s="563" t="e">
        <f>+VLOOKUP(P7,data!C835:D836,2,0)</f>
        <v>#N/A</v>
      </c>
      <c r="C34" s="25" t="e">
        <f>+VLOOKUP(B34,cennik!$A:$G,2,FALSE)</f>
        <v>#N/A</v>
      </c>
      <c r="D34" s="17">
        <f>IF(B12&lt;=1347,D4*2/2,D4*2)</f>
        <v>0</v>
      </c>
      <c r="E34" s="91" t="e">
        <f>+VLOOKUP(B34,cennik!$A:$G,3,FALSE)</f>
        <v>#N/A</v>
      </c>
      <c r="F34" s="91" t="e">
        <f t="shared" si="1"/>
        <v>#N/A</v>
      </c>
      <c r="G34" s="92" t="e">
        <f t="shared" si="2"/>
        <v>#N/A</v>
      </c>
      <c r="H34" s="24" t="str">
        <f>cennik!$B$2</f>
        <v>EUR</v>
      </c>
      <c r="I34" s="469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">
      <c r="A35" s="422" t="str">
        <f>+System10!$A$35</f>
        <v>spojovacia skrutka</v>
      </c>
      <c r="B35" s="563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 t="shared" si="1"/>
        <v>0</v>
      </c>
      <c r="G35" s="92">
        <f t="shared" si="2"/>
        <v>0</v>
      </c>
      <c r="H35" s="24" t="str">
        <f>cennik!$B$2</f>
        <v>EUR</v>
      </c>
      <c r="I35" s="469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">
      <c r="A36" s="422" t="str">
        <f>+System10!$A$36</f>
        <v>horný profil rámu (vodiaca lišta)</v>
      </c>
      <c r="B36" s="563" t="e">
        <f>+VLOOKUP(M29,data!C728:D736,2,0)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24" t="str">
        <f>cennik!$B$2</f>
        <v>EUR</v>
      </c>
      <c r="I36" s="469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13</v>
      </c>
    </row>
    <row r="37" spans="1:12" ht="12.75" customHeight="1" x14ac:dyDescent="0.2">
      <c r="A37" s="422" t="str">
        <f>+System10!$A$36</f>
        <v>horný profil rámu (vodiaca lišta)</v>
      </c>
      <c r="B37" s="537" t="e">
        <f>IF(M30&lt;&gt;"jiné",+VLOOKUP(M30,data!C728:D736,2,0),"")</f>
        <v>#DIV/0!</v>
      </c>
      <c r="C37" s="446" t="e">
        <f>IF(M30&lt;&gt;"jiné",+VLOOKUP(B37,cennik!$A:$G,2,FALSE),texty!$A$2)</f>
        <v>#DIV/0!</v>
      </c>
      <c r="D37" s="64" t="e">
        <f>N30</f>
        <v>#DIV/0!</v>
      </c>
      <c r="E37" s="447" t="e">
        <f>IF(M30&lt;&gt;"jiné",+VLOOKUP(B37,cennik!$A:$G,3,FALSE),0)</f>
        <v>#DIV/0!</v>
      </c>
      <c r="F37" s="91" t="e">
        <f t="shared" si="1"/>
        <v>#DIV/0!</v>
      </c>
      <c r="G37" s="92" t="e">
        <f t="shared" si="2"/>
        <v>#DIV/0!</v>
      </c>
      <c r="H37" s="24" t="str">
        <f>cennik!$B$2</f>
        <v>EUR</v>
      </c>
      <c r="I37" s="469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13</v>
      </c>
    </row>
    <row r="38" spans="1:12" ht="12.75" customHeight="1" x14ac:dyDescent="0.2">
      <c r="A38" s="422" t="str">
        <f>+System10!A38</f>
        <v>horizontálny spodný profil rámu</v>
      </c>
      <c r="B38" s="563" t="e">
        <f>+VLOOKUP(M29,data!$C$744:$D$752,2,0)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24" t="str">
        <f>cennik!$B$2</f>
        <v>EUR</v>
      </c>
      <c r="I38" s="469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13</v>
      </c>
    </row>
    <row r="39" spans="1:12" ht="12.75" customHeight="1" x14ac:dyDescent="0.2">
      <c r="A39" s="422" t="str">
        <f>+System10!A39</f>
        <v>horizontálny spodný profil rámu</v>
      </c>
      <c r="B39" s="537" t="e">
        <f>IF(M30&lt;&gt;"jiné",+VLOOKUP(M30,data!$C$744:$D$752,2,0),"")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47" t="e">
        <f>IF(M30&lt;&gt;"jiné",+VLOOKUP(B39,cennik!$A:$G,3,FALSE),0)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24" t="str">
        <f>cennik!$B$2</f>
        <v>EUR</v>
      </c>
      <c r="I39" s="469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13</v>
      </c>
    </row>
    <row r="40" spans="1:12" ht="12.75" customHeight="1" x14ac:dyDescent="0.2">
      <c r="A40" s="21"/>
      <c r="B40" s="21"/>
      <c r="C40" s="21"/>
      <c r="D40" s="21"/>
      <c r="E40" s="361"/>
      <c r="F40" s="361"/>
      <c r="G40" s="361"/>
      <c r="H40" s="24"/>
      <c r="I40" s="469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14</v>
      </c>
    </row>
    <row r="41" spans="1:12" ht="12.75" customHeight="1" x14ac:dyDescent="0.2">
      <c r="A41" s="427" t="str">
        <f>texty!$A$66</f>
        <v>Voliteľné príslušenstvo:</v>
      </c>
      <c r="B41" s="16"/>
      <c r="C41" s="21"/>
      <c r="D41" s="448" t="str">
        <f>System10!$D$41</f>
        <v>zadajte počet:</v>
      </c>
      <c r="E41" s="91"/>
      <c r="F41" s="91"/>
      <c r="G41" s="361"/>
      <c r="H41" s="24"/>
      <c r="I41" s="469" t="str">
        <f>IFERROR(IF((VLOOKUP(B41,cennik!A:L,12,0))="O",texty!$A$250,""),"")</f>
        <v/>
      </c>
      <c r="K41" s="191"/>
      <c r="L41" s="3" t="s">
        <v>14</v>
      </c>
    </row>
    <row r="42" spans="1:12" ht="12.75" customHeight="1" x14ac:dyDescent="0.2">
      <c r="A42" s="422" t="str">
        <f>texty!$A$88</f>
        <v>pozicionér do horného vedenia</v>
      </c>
      <c r="B42" s="563">
        <v>298035</v>
      </c>
      <c r="C42" s="25" t="str">
        <f>+VLOOKUP(B42,cennik!$A:$G,2,FALSE)</f>
        <v>SEVROLL 20326 Fix pozicionér pre horný vozík transparentný</v>
      </c>
      <c r="D42" s="373"/>
      <c r="E42" s="91">
        <f>+VLOOKUP(B42,cennik!$A:$G,3,FALSE)</f>
        <v>1.0837300000000001</v>
      </c>
      <c r="F42" s="96">
        <f t="shared" ref="F42:F51" si="3">+CEILING(D42,1)*E42</f>
        <v>0</v>
      </c>
      <c r="G42" s="92">
        <f t="shared" ref="G42:G54" si="4">+F42*(100-$G$26)/100</f>
        <v>0</v>
      </c>
      <c r="H42" s="24" t="str">
        <f>cennik!$B$2</f>
        <v>EUR</v>
      </c>
      <c r="I42" s="469" t="str">
        <f>IFERROR(IF((VLOOKUP(B42,cennik!A:L,12,0))="O",texty!$A$250,""),"")</f>
        <v/>
      </c>
      <c r="K42" s="191"/>
      <c r="L42" s="3"/>
    </row>
    <row r="43" spans="1:12" ht="12.75" customHeight="1" x14ac:dyDescent="0.2">
      <c r="A43" s="422" t="str">
        <f>+System10!$A$43</f>
        <v xml:space="preserve">pozicionér </v>
      </c>
      <c r="B43" s="563">
        <f>IF(F4="Gemini",387424,89063)</f>
        <v>89063</v>
      </c>
      <c r="C43" s="25" t="str">
        <f>+VLOOKUP(B43,cennik!$A:$G,2,FALSE)</f>
        <v>SEVROLL 20080 pozicionér spodného vozíka HI-TEC</v>
      </c>
      <c r="D43" s="373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24" t="str">
        <f>cennik!$B$2</f>
        <v>EUR</v>
      </c>
      <c r="I43" s="469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">
      <c r="A44" s="422" t="str">
        <f>texty!$A$228</f>
        <v> Tlmič dorazu MINI do 25 kg (pár)</v>
      </c>
      <c r="B44" s="563">
        <v>318662</v>
      </c>
      <c r="C44" s="25" t="str">
        <f>+VLOOKUP(B44,cennik!$A:$G,2,FALSE)</f>
        <v>SEVROLL 20368-SV tlmič dorazu Mini SV25 (14-25kg)</v>
      </c>
      <c r="D44" s="373"/>
      <c r="E44" s="91">
        <f>+VLOOKUP(B44,cennik!$A:$G,3,FALSE)</f>
        <v>22.75825</v>
      </c>
      <c r="F44" s="96">
        <f t="shared" si="3"/>
        <v>0</v>
      </c>
      <c r="G44" s="92">
        <f t="shared" si="4"/>
        <v>0</v>
      </c>
      <c r="H44" s="24" t="str">
        <f>cennik!$B$2</f>
        <v>EUR</v>
      </c>
      <c r="I44" s="469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">
      <c r="A45" s="422" t="str">
        <f>texty!$A$229</f>
        <v> Tlmič dorazu MINI do 40 kg (pár)</v>
      </c>
      <c r="B45" s="537">
        <v>283956</v>
      </c>
      <c r="C45" s="25" t="str">
        <f>+VLOOKUP(B45,cennik!$A:$G,2,FALSE)</f>
        <v>SEVROLL 20258-SV tlmič dorazu Mini SV40 (25 - 40kg)</v>
      </c>
      <c r="D45" s="373"/>
      <c r="E45" s="91">
        <f>+VLOOKUP(B45,cennik!$A:$G,3,FALSE)</f>
        <v>22.75825</v>
      </c>
      <c r="F45" s="96">
        <f t="shared" si="3"/>
        <v>0</v>
      </c>
      <c r="G45" s="92">
        <f t="shared" si="4"/>
        <v>0</v>
      </c>
      <c r="H45" s="24" t="str">
        <f>cennik!$B$2</f>
        <v>EUR</v>
      </c>
      <c r="I45" s="469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">
      <c r="A46" s="422" t="str">
        <f>texty!$A$230</f>
        <v> Tlmič dorazu MINI do 60 kg (pár)</v>
      </c>
      <c r="B46" s="537">
        <v>351743</v>
      </c>
      <c r="C46" s="25" t="str">
        <f>+VLOOKUP(B46,cennik!$A:$G,2,FALSE)</f>
        <v>SEVROLL 20339-SV tlmič dorazu Mini SV60 (40 - 60kg)</v>
      </c>
      <c r="D46" s="373"/>
      <c r="E46" s="91">
        <f>+VLOOKUP(B46,cennik!$A:$G,3,FALSE)</f>
        <v>22.75825</v>
      </c>
      <c r="F46" s="96">
        <f t="shared" si="3"/>
        <v>0</v>
      </c>
      <c r="G46" s="92">
        <f t="shared" si="4"/>
        <v>0</v>
      </c>
      <c r="H46" s="24" t="str">
        <f>cennik!$B$2</f>
        <v>EUR</v>
      </c>
      <c r="I46" s="469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">
      <c r="A47" s="422" t="str">
        <f>texty!$A$231</f>
        <v> Tlmič pre stredné krídlo do 25 kg</v>
      </c>
      <c r="B47" s="537">
        <v>318663</v>
      </c>
      <c r="C47" s="25" t="str">
        <f>+VLOOKUP(B47,cennik!$A:$G,2,FALSE)</f>
        <v>SEVROLL 20363-SV tlmič Central 10/18mm obojstranný 25kg</v>
      </c>
      <c r="D47" s="373"/>
      <c r="E47" s="91">
        <f>+VLOOKUP(B47,cennik!$A:$G,3,FALSE)</f>
        <v>48.741869999999999</v>
      </c>
      <c r="F47" s="96">
        <f t="shared" si="3"/>
        <v>0</v>
      </c>
      <c r="G47" s="92">
        <f t="shared" si="4"/>
        <v>0</v>
      </c>
      <c r="H47" s="24" t="str">
        <f>cennik!$B$2</f>
        <v>EUR</v>
      </c>
      <c r="I47" s="469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">
      <c r="A48" s="422" t="str">
        <f>texty!$A$232</f>
        <v> Tlmič pre stredné krídlo do 40 kg</v>
      </c>
      <c r="B48" s="537">
        <v>283955</v>
      </c>
      <c r="C48" s="25" t="str">
        <f>+VLOOKUP(B48,cennik!$A:$G,2,FALSE)</f>
        <v>SEVROLL 20319-SV tlmič Central 10/18mm obojstranný 25-40kg</v>
      </c>
      <c r="D48" s="373"/>
      <c r="E48" s="91">
        <f>+VLOOKUP(B48,cennik!$A:$G,3,FALSE)</f>
        <v>48.741869999999999</v>
      </c>
      <c r="F48" s="96">
        <f t="shared" si="3"/>
        <v>0</v>
      </c>
      <c r="G48" s="92">
        <f t="shared" si="4"/>
        <v>0</v>
      </c>
      <c r="H48" s="24" t="str">
        <f>cennik!$B$2</f>
        <v>EUR</v>
      </c>
      <c r="I48" s="469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</v>
      </c>
    </row>
    <row r="49" spans="1:12" ht="12.75" customHeight="1" x14ac:dyDescent="0.2">
      <c r="A49" s="422" t="str">
        <f>CONCATENATE(texty!A179,)</f>
        <v>skrutka k spodnémi vedeniu</v>
      </c>
      <c r="B49" s="563">
        <v>98019</v>
      </c>
      <c r="C49" s="25" t="str">
        <f>+VLOOKUP(B49,cennik!$A:$G,2,FALSE)</f>
        <v>SEVROLL 20041 skrutka 2,5x18mm polguľatá hlava zinok biely</v>
      </c>
      <c r="D49" s="373"/>
      <c r="E49" s="91">
        <f>+VLOOKUP(B49,cennik!$A:$G,3,FALSE)</f>
        <v>2.9159999999999998E-2</v>
      </c>
      <c r="F49" s="96">
        <f t="shared" si="3"/>
        <v>0</v>
      </c>
      <c r="G49" s="92">
        <f t="shared" si="4"/>
        <v>0</v>
      </c>
      <c r="H49" s="24" t="str">
        <f>cennik!$B$2</f>
        <v>EUR</v>
      </c>
      <c r="I49" s="469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">
      <c r="A50" s="422" t="str">
        <f>System10!A49</f>
        <v>tlmič dorazu (pár) 25 kg</v>
      </c>
      <c r="B50" s="537">
        <v>227185</v>
      </c>
      <c r="C50" s="25" t="str">
        <f>+VLOOKUP(B50,cennik!$A:$G,2,FALSE)</f>
        <v>K-SEVROLL tlmič dorazu 10/18mm 14-25kg L+P</v>
      </c>
      <c r="D50" s="373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EUR</v>
      </c>
      <c r="I50" s="469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" customHeight="1" x14ac:dyDescent="0.2">
      <c r="A51" s="422" t="str">
        <f>texty!$A$98</f>
        <v>tlmič dorazu (pár) 50 kg</v>
      </c>
      <c r="B51" s="537">
        <v>227187</v>
      </c>
      <c r="C51" s="25" t="str">
        <f>+VLOOKUP(B51,cennik!$A:$G,2,FALSE)</f>
        <v>K-SEVROLL tlmič dorazu 10/18mm 25-50kg L+P</v>
      </c>
      <c r="D51" s="373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EUR</v>
      </c>
      <c r="I51" s="469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">
      <c r="A52" s="422" t="str">
        <f>texty!A251</f>
        <v>spojovací profil H18-3metre</v>
      </c>
      <c r="B52" s="563" t="e">
        <f>+VLOOKUP(P7,data!C837:D839,2,0)</f>
        <v>#N/A</v>
      </c>
      <c r="C52" s="25" t="e">
        <f>+VLOOKUP(B52,cennik!$A:$G,2,FALSE)</f>
        <v>#N/A</v>
      </c>
      <c r="D52" s="459"/>
      <c r="E52" s="91" t="e">
        <f>+VLOOKUP(B52,cennik!$A:$G,3,FALSE)</f>
        <v>#N/A</v>
      </c>
      <c r="F52" s="91" t="e">
        <f>+E52*D52</f>
        <v>#N/A</v>
      </c>
      <c r="G52" s="92" t="e">
        <f t="shared" si="4"/>
        <v>#N/A</v>
      </c>
      <c r="H52" s="24" t="str">
        <f>cennik!$B$2</f>
        <v>EUR</v>
      </c>
      <c r="I52" s="469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">
      <c r="A53" s="422" t="str">
        <f>texty!A252</f>
        <v>spojovací profil H25-3metre</v>
      </c>
      <c r="B53" s="570" t="str">
        <f>IFERROR(VLOOKUP(P7,data!C840:D842,2,0),"N/A")</f>
        <v>N/A</v>
      </c>
      <c r="C53" s="25" t="str">
        <f>IF($B$53=data!$D$64,texty!$A$239,+VLOOKUP($B$53,cennik!$A:$G,2,FALSE))</f>
        <v> v tejto farbe a dĺžke sa daný profil nevyrába</v>
      </c>
      <c r="D53" s="373"/>
      <c r="E53" s="474">
        <f>IF(B53=data!$D$73,0,+VLOOKUP(B53,cennik!$A:$G,3,FALSE))</f>
        <v>0</v>
      </c>
      <c r="F53" s="474">
        <f>+E53*D53</f>
        <v>0</v>
      </c>
      <c r="G53" s="475">
        <f t="shared" si="4"/>
        <v>0</v>
      </c>
      <c r="H53" s="24" t="str">
        <f>cennik!$B$2</f>
        <v>EUR</v>
      </c>
      <c r="I53" s="469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">
      <c r="A54" s="422" t="str">
        <f>texty!$A$92</f>
        <v>spojovacia skrutka</v>
      </c>
      <c r="B54" s="563">
        <v>89244</v>
      </c>
      <c r="C54" s="25" t="str">
        <f>+VLOOKUP(B54,cennik!$A:$G,2,FALSE)</f>
        <v>SEVROLL 20001 skrutkovrut 6,3x32 SEVROLL a Simple</v>
      </c>
      <c r="D54" s="571"/>
      <c r="E54" s="91">
        <f>+VLOOKUP(B54,cennik!$A:$G,3,FALSE)</f>
        <v>0.15482000000000001</v>
      </c>
      <c r="F54" s="91">
        <f>+E54*D54</f>
        <v>0</v>
      </c>
      <c r="G54" s="92">
        <f t="shared" si="4"/>
        <v>0</v>
      </c>
      <c r="H54" s="24" t="str">
        <f>cennik!$B$2</f>
        <v>EUR</v>
      </c>
      <c r="I54" s="469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5.65" customHeight="1" x14ac:dyDescent="0.2">
      <c r="A55" s="532"/>
      <c r="B55" s="570"/>
      <c r="C55" s="533"/>
      <c r="D55" s="572"/>
      <c r="E55" s="534"/>
      <c r="F55" s="534"/>
      <c r="G55" s="535"/>
      <c r="H55" s="537"/>
      <c r="I55" s="469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5.65" customHeight="1" x14ac:dyDescent="0.2">
      <c r="A56" s="532"/>
      <c r="B56" s="570"/>
      <c r="C56" s="533"/>
      <c r="D56" s="572"/>
      <c r="E56" s="534"/>
      <c r="F56" s="534"/>
      <c r="G56" s="535"/>
      <c r="H56" s="537"/>
      <c r="I56" s="469" t="str">
        <f>IFERROR(IF((VLOOKUP(B56,cennik!A:L,12,0))="O",texty!$A$250,""),"")</f>
        <v/>
      </c>
      <c r="J56" s="439" t="str">
        <f>IF(D56&gt;0,IF(VLOOKUP(B56,cennik!A:L,12,FALSE)="O",1,""),"")</f>
        <v/>
      </c>
      <c r="K56" s="24"/>
    </row>
    <row r="57" spans="1:12" s="21" customFormat="1" ht="5.65" customHeight="1" x14ac:dyDescent="0.2">
      <c r="A57" s="422"/>
      <c r="B57" s="17"/>
      <c r="C57" s="25"/>
      <c r="D57" s="91"/>
      <c r="E57" s="91"/>
      <c r="F57" s="91"/>
      <c r="G57" s="92"/>
      <c r="H57" s="24"/>
      <c r="I57" s="469" t="str">
        <f>IFERROR(IF((VLOOKUP(B57,cennik!A:L,12,0))="O",texty!$A$250,""),"")</f>
        <v/>
      </c>
      <c r="J57" s="439"/>
      <c r="K57" s="24"/>
    </row>
    <row r="58" spans="1:12" ht="12.75" customHeight="1" x14ac:dyDescent="0.2">
      <c r="A58" s="429" t="e">
        <f>CONCATENATE(texty!$A$6,ROUND((C13/1000),1),texty!$A$8)</f>
        <v>#DIV/0!</v>
      </c>
      <c r="B58" s="42"/>
      <c r="C58" s="43"/>
      <c r="D58" s="42"/>
      <c r="E58" s="97"/>
      <c r="F58" s="97"/>
      <c r="G58" s="97"/>
      <c r="H58" s="361"/>
      <c r="I58" s="469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">
      <c r="A59" s="21"/>
      <c r="B59" s="21"/>
      <c r="C59" s="442" t="str">
        <f>texty!$A$10</f>
        <v>Potrebná dĺžka tesnenia pri celkovom presklení (nutné objednať celé metre)</v>
      </c>
      <c r="D59" s="439" t="e">
        <f>CEILING(((B9+C9)*2/1000*D4),1)</f>
        <v>#DIV/0!</v>
      </c>
      <c r="E59" s="361"/>
      <c r="F59" s="361"/>
      <c r="G59" s="361"/>
      <c r="H59" s="361"/>
      <c r="I59" s="469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">
      <c r="A60" s="450" t="str">
        <f>texty!$A$12</f>
        <v>(pri kombináciach s H profilmi je nutné pripočítať potrebnú dĺžku - tesnenie musí byť po celom odvode každého skla</v>
      </c>
      <c r="B60" s="451"/>
      <c r="C60" s="452"/>
      <c r="D60" s="451"/>
      <c r="E60" s="441"/>
      <c r="F60" s="441"/>
      <c r="G60" s="441"/>
      <c r="H60" s="361"/>
      <c r="I60" s="469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">
      <c r="A61" s="422" t="str">
        <f>System10!A59</f>
        <v>tesnenie na sklo 4mm</v>
      </c>
      <c r="B61" s="570" t="s">
        <v>70</v>
      </c>
      <c r="C61" s="25" t="str">
        <f>+VLOOKUP(B61,cennik!$A:$G,2,FALSE)</f>
        <v>SEVROLL 20106 tesnenie na sklo 18/4-4,5mm asymetrické</v>
      </c>
      <c r="D61" s="573"/>
      <c r="E61" s="91">
        <f>+VLOOKUP(B61,cennik!$A:$G,3,FALSE)</f>
        <v>2.2861500000000001</v>
      </c>
      <c r="F61" s="96">
        <f>+CEILING(D61,1)*E61</f>
        <v>0</v>
      </c>
      <c r="G61" s="92">
        <f>+F61*(100-$G$26)/100</f>
        <v>0</v>
      </c>
      <c r="H61" s="24" t="str">
        <f>cennik!$B$2</f>
        <v>EUR</v>
      </c>
      <c r="I61" s="469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7.15" customHeight="1" x14ac:dyDescent="0.2">
      <c r="A62" s="532"/>
      <c r="B62" s="570"/>
      <c r="C62" s="533"/>
      <c r="D62" s="572"/>
      <c r="E62" s="534"/>
      <c r="F62" s="538"/>
      <c r="G62" s="535"/>
      <c r="H62" s="537"/>
      <c r="I62" s="469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7.15" customHeight="1" x14ac:dyDescent="0.2">
      <c r="A63" s="532"/>
      <c r="B63" s="570"/>
      <c r="C63" s="533"/>
      <c r="D63" s="572"/>
      <c r="E63" s="534"/>
      <c r="F63" s="538"/>
      <c r="G63" s="535"/>
      <c r="H63" s="537"/>
      <c r="I63" s="469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">
      <c r="A64" s="271" t="str">
        <f>texty!$A$190</f>
        <v>Ďalšie príslušenstvo</v>
      </c>
      <c r="B64" s="21"/>
      <c r="C64" s="21"/>
      <c r="D64" s="21"/>
      <c r="E64" s="361"/>
      <c r="F64" s="361"/>
      <c r="G64" s="361"/>
      <c r="H64" s="24"/>
      <c r="I64" s="469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">
      <c r="A65" s="271" t="str">
        <f>texty!$A$244</f>
        <v>Technický nákres tohoto systému</v>
      </c>
      <c r="B65" s="574">
        <v>129677</v>
      </c>
      <c r="C65" s="453" t="str">
        <f>VLOOKUP(B65,cennik!A:C,2,0)</f>
        <v>SEVROLL 20173 montážny prípravok pre lamino 10mm malý</v>
      </c>
      <c r="D65" s="460"/>
      <c r="E65" s="91">
        <f>+VLOOKUP(B65,cennik!$A:$G,3,FALSE)</f>
        <v>5.0214600000000003</v>
      </c>
      <c r="F65" s="96">
        <f>+CEILING(D65,1)*E65</f>
        <v>0</v>
      </c>
      <c r="G65" s="92">
        <f>+F65</f>
        <v>0</v>
      </c>
      <c r="H65" s="24" t="str">
        <f>cennik!$B$2</f>
        <v>EUR</v>
      </c>
      <c r="I65" s="469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">
      <c r="A66" s="21"/>
      <c r="B66" s="574">
        <v>128842</v>
      </c>
      <c r="C66" s="453" t="str">
        <f>VLOOKUP(B66,cennik!A:C,2,0)</f>
        <v>SEVROLL 20144 vrták stupňovitý 6,5/9,5mm</v>
      </c>
      <c r="D66" s="460"/>
      <c r="E66" s="91">
        <f>+VLOOKUP(B66,cennik!$A:$G,3,FALSE)</f>
        <v>26.752659999999999</v>
      </c>
      <c r="F66" s="96">
        <f>+CEILING(D66,1)*E66</f>
        <v>0</v>
      </c>
      <c r="G66" s="92">
        <f>+F66</f>
        <v>0</v>
      </c>
      <c r="H66" s="24" t="str">
        <f>cennik!$B$2</f>
        <v>EUR</v>
      </c>
      <c r="I66" s="469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">
      <c r="A67" s="637" t="str">
        <f>IF(SUM(D50:D51)&gt;0,IF(C7&lt;(B4/3),texty!$A$212,""),"")</f>
        <v/>
      </c>
      <c r="B67" s="637"/>
      <c r="C67" s="637"/>
      <c r="D67" s="637"/>
      <c r="E67" s="637"/>
      <c r="F67" s="637"/>
      <c r="G67" s="637"/>
      <c r="H67" s="637"/>
      <c r="I67" s="637"/>
      <c r="J67" s="272"/>
      <c r="K67" s="134"/>
    </row>
    <row r="68" spans="1:14" ht="12.75" customHeight="1" x14ac:dyDescent="0.2">
      <c r="A68" s="21"/>
      <c r="B68" s="17"/>
      <c r="C68" s="17"/>
      <c r="D68" s="455" t="str">
        <f>texty!$A$15</f>
        <v>CELKOM  (bez DPH)</v>
      </c>
      <c r="E68" s="441"/>
      <c r="F68" s="101" t="e">
        <f>SUM(F28:F66)</f>
        <v>#N/A</v>
      </c>
      <c r="G68" s="101" t="e">
        <f>SUM(G28:G66)</f>
        <v>#N/A</v>
      </c>
      <c r="H68" s="24" t="str">
        <f>cennik!$B$2</f>
        <v>EUR</v>
      </c>
      <c r="I68" s="24"/>
      <c r="J68" s="181"/>
      <c r="K68" s="181"/>
      <c r="L68" s="5" t="str">
        <f>data!J4</f>
        <v xml:space="preserve">strieborná </v>
      </c>
      <c r="M68" s="21" t="s">
        <v>987</v>
      </c>
    </row>
    <row r="69" spans="1:14" ht="12.75" customHeight="1" x14ac:dyDescent="0.2">
      <c r="A69" s="442" t="str">
        <f>System10!$A$67</f>
        <v>Vaša poznámka:</v>
      </c>
      <c r="B69" s="641"/>
      <c r="C69" s="642"/>
      <c r="D69" s="642"/>
      <c r="E69" s="642"/>
      <c r="F69" s="642"/>
      <c r="G69" s="643"/>
      <c r="H69" s="24"/>
      <c r="I69" s="24"/>
      <c r="L69" s="5" t="str">
        <f>data!J6</f>
        <v>oliva</v>
      </c>
      <c r="M69" s="21" t="s">
        <v>43</v>
      </c>
    </row>
    <row r="70" spans="1:14" ht="12.75" customHeight="1" x14ac:dyDescent="0.2">
      <c r="A70" s="630">
        <f>profil!$U$15</f>
        <v>0</v>
      </c>
      <c r="B70" s="631"/>
      <c r="C70" s="631"/>
      <c r="D70" s="631"/>
      <c r="E70" s="631"/>
      <c r="F70" s="631"/>
      <c r="G70" s="631"/>
      <c r="H70" s="631"/>
      <c r="I70" s="24"/>
      <c r="M70" s="21"/>
    </row>
    <row r="71" spans="1:14" ht="12.75" customHeight="1" x14ac:dyDescent="0.2">
      <c r="A71" s="632">
        <f>IF(N71=1,texty!$A$215,IF(K71&gt;0,texty!$A$214,""))</f>
        <v>0</v>
      </c>
      <c r="B71" s="632"/>
      <c r="C71" s="632"/>
      <c r="D71" s="632"/>
      <c r="E71" s="632"/>
      <c r="F71" s="632"/>
      <c r="G71" s="632"/>
      <c r="H71" s="632"/>
      <c r="I71" s="24"/>
      <c r="K71" s="6" t="e">
        <f>SUM(K28:K66)</f>
        <v>#N/A</v>
      </c>
      <c r="N71" s="5">
        <f>IF(ISERROR(K71),1,0)</f>
        <v>1</v>
      </c>
    </row>
    <row r="72" spans="1:14" ht="12.75" customHeight="1" x14ac:dyDescent="0.2"/>
  </sheetData>
  <sheetProtection algorithmName="SHA-512" hashValue="LPoue1DTuiCoeOPsxnbmLxj31+NkUQj6L6boQgei1eLnMtiGQ/vo+kyn4pjJKlun2bEXuLg0lgs7NuuJMAa2RA==" saltValue="SvS9cXIKsPHrIp9mfw/llQ==" spinCount="100000" sheet="1" objects="1" scenarios="1" selectLockedCell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38" priority="3">
      <formula>SUM($D$47:$D$48)&gt;0</formula>
    </cfRule>
  </conditionalFormatting>
  <conditionalFormatting sqref="D6">
    <cfRule type="expression" dxfId="136" priority="7">
      <formula>$D$4=4</formula>
    </cfRule>
    <cfRule type="expression" dxfId="135" priority="8">
      <formula>$D$4&lt;&gt;4</formula>
    </cfRule>
  </conditionalFormatting>
  <conditionalFormatting sqref="D54">
    <cfRule type="expression" dxfId="134" priority="9" stopIfTrue="1">
      <formula>IF($D$53&gt;0,IF($D$54=0,1,0),0)</formula>
    </cfRule>
  </conditionalFormatting>
  <conditionalFormatting sqref="G4">
    <cfRule type="expression" dxfId="133" priority="6">
      <formula>$D$4=4</formula>
    </cfRule>
  </conditionalFormatting>
  <conditionalFormatting sqref="I19:I20">
    <cfRule type="expression" dxfId="132" priority="4">
      <formula>$F$4=$M$69</formula>
    </cfRule>
  </conditionalFormatting>
  <conditionalFormatting sqref="I21:I22">
    <cfRule type="expression" dxfId="131" priority="5">
      <formula>$F$4=$M$68</formula>
    </cfRule>
  </conditionalFormatting>
  <dataValidations count="7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list" allowBlank="1" showInputMessage="1" showErrorMessage="1" sqref="E6:F6" xr:uid="{07B46508-01C3-414D-98A5-98F38AAE07BC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9">
    <pageSetUpPr fitToPage="1"/>
  </sheetPr>
  <dimension ref="A1:IU66"/>
  <sheetViews>
    <sheetView showGridLines="0" zoomScale="85" zoomScaleNormal="85" workbookViewId="0">
      <selection activeCell="C40" sqref="C40"/>
    </sheetView>
  </sheetViews>
  <sheetFormatPr defaultColWidth="0" defaultRowHeight="12.75" customHeight="1" zeroHeight="1" x14ac:dyDescent="0.2"/>
  <cols>
    <col min="1" max="1" width="37.42578125" style="5" customWidth="1"/>
    <col min="2" max="2" width="15.7109375" style="5" customWidth="1"/>
    <col min="3" max="3" width="41.42578125" style="5" customWidth="1"/>
    <col min="4" max="4" width="14" style="5" customWidth="1"/>
    <col min="5" max="5" width="13.42578125" style="5" customWidth="1"/>
    <col min="6" max="6" width="13.140625" style="5" customWidth="1"/>
    <col min="7" max="7" width="15.140625" style="5" bestFit="1" customWidth="1"/>
    <col min="8" max="8" width="4.7109375" style="6" bestFit="1" customWidth="1"/>
    <col min="9" max="9" width="31.7109375" style="6" customWidth="1"/>
    <col min="10" max="10" width="14.140625" style="6" hidden="1" customWidth="1"/>
    <col min="11" max="11" width="5.7109375" style="5" hidden="1" customWidth="1"/>
    <col min="12" max="12" width="5.42578125" style="5" hidden="1" customWidth="1"/>
    <col min="13" max="13" width="4.7109375" style="5" hidden="1" customWidth="1"/>
    <col min="14" max="14" width="7.140625" style="5" hidden="1" customWidth="1"/>
    <col min="15" max="15" width="8.7109375" style="5" hidden="1" customWidth="1"/>
    <col min="16" max="16" width="7.140625" style="5" hidden="1" customWidth="1"/>
    <col min="17" max="255" width="9.140625" style="5" hidden="1" customWidth="1"/>
    <col min="256" max="16384" width="5.42578125" style="5" hidden="1"/>
  </cols>
  <sheetData>
    <row r="1" spans="1:15" ht="13.5" customHeight="1" thickBot="1" x14ac:dyDescent="0.25">
      <c r="A1" s="7"/>
      <c r="B1" s="8"/>
      <c r="C1" s="8"/>
      <c r="D1" s="8"/>
      <c r="E1" s="8"/>
      <c r="F1" s="6"/>
      <c r="G1" s="6"/>
      <c r="K1" s="6">
        <v>2</v>
      </c>
      <c r="L1" s="5">
        <v>-10.8</v>
      </c>
    </row>
    <row r="2" spans="1:15" ht="18.75" customHeight="1" x14ac:dyDescent="0.2">
      <c r="A2" s="523" t="s">
        <v>854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15" ht="26.25" thickBot="1" x14ac:dyDescent="0.25">
      <c r="A3" s="524" t="str">
        <f>CONCATENATE(texty!A243," ",5,".",91)</f>
        <v>katalóg kovania 2018 str. 5.91</v>
      </c>
      <c r="B3" s="420" t="str">
        <f>CONCATENATE(texty!A34," / max.         2 738 mm /")</f>
        <v>výška / max.         2 738 mm /</v>
      </c>
      <c r="C3" s="9" t="str">
        <f>CONCATENATE(texty!A35,"/max 6000/")</f>
        <v>šírka/max 6000/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15" ht="18" customHeight="1" x14ac:dyDescent="0.2">
      <c r="A4" s="10" t="str">
        <f>+System10!A4</f>
        <v>VNÚTORNÝ ROZMER SKRINE:</v>
      </c>
      <c r="B4" s="56"/>
      <c r="C4" s="56"/>
      <c r="D4" s="22">
        <v>2</v>
      </c>
      <c r="E4" s="22" t="s">
        <v>99</v>
      </c>
      <c r="F4" s="655"/>
      <c r="G4" s="655"/>
      <c r="H4" s="655"/>
      <c r="I4" s="655"/>
      <c r="J4" s="190"/>
      <c r="K4" s="8"/>
    </row>
    <row r="5" spans="1:15" ht="18" customHeight="1" x14ac:dyDescent="0.2">
      <c r="A5" s="660" t="str">
        <f>IF(E4&lt;&gt;K66,texty!$A$3,"")</f>
        <v>táto položka je na objednávku, počítajte prosím s dodaciou  lehotou  do 4 týždnov</v>
      </c>
      <c r="B5" s="660"/>
      <c r="C5" s="660"/>
      <c r="D5" s="660"/>
      <c r="E5" s="660"/>
      <c r="F5" s="655"/>
      <c r="G5" s="655"/>
      <c r="H5" s="655"/>
      <c r="I5" s="655"/>
      <c r="J5" s="190"/>
      <c r="K5" s="3"/>
    </row>
    <row r="6" spans="1:15" ht="18" customHeight="1" x14ac:dyDescent="0.2">
      <c r="A6" s="10"/>
      <c r="B6" s="11" t="str">
        <f>IF(D4=4,texty!A227,"")</f>
        <v/>
      </c>
      <c r="D6" s="285">
        <v>3</v>
      </c>
      <c r="E6" s="8"/>
      <c r="F6" s="655"/>
      <c r="G6" s="655"/>
      <c r="H6" s="655"/>
      <c r="I6" s="655"/>
      <c r="J6" s="190"/>
      <c r="K6" s="6"/>
    </row>
    <row r="7" spans="1:15" ht="12.75" customHeight="1" x14ac:dyDescent="0.2">
      <c r="A7" s="10" t="str">
        <f>+System10!$A$7</f>
        <v>krídlo dverí:</v>
      </c>
      <c r="B7" s="57">
        <f>+B4-38</f>
        <v>-38</v>
      </c>
      <c r="C7" s="59">
        <f>+((C4-3+40*(D4-1))/D4+IF(AND(D4=4,D6=2),L1,0))</f>
        <v>18.5</v>
      </c>
      <c r="D7" s="8"/>
      <c r="E7" s="8"/>
      <c r="F7" s="50" t="str">
        <f>texty!$A$39</f>
        <v>V prípade použitia skla ako výplne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>stříbrná</v>
      </c>
    </row>
    <row r="8" spans="1:15" ht="12.75" customHeight="1" x14ac:dyDescent="0.2">
      <c r="A8" s="10" t="str">
        <f>texty!$A$48</f>
        <v>rozmer výplne 18mm:</v>
      </c>
      <c r="B8" s="57">
        <f>+B7-68</f>
        <v>-106</v>
      </c>
      <c r="C8" s="59">
        <f>+C7-24</f>
        <v>-5.5</v>
      </c>
      <c r="D8" s="8"/>
      <c r="E8" s="8"/>
      <c r="F8" s="50" t="str">
        <f>texty!$A$40</f>
        <v>je treba použiť bezpečnostné sklo</v>
      </c>
      <c r="G8" s="6"/>
      <c r="K8" s="6"/>
      <c r="N8" s="23" t="str">
        <f>CONCATENATE(N7,"-",E4)</f>
        <v>1800-stříbrná</v>
      </c>
      <c r="O8" s="21"/>
    </row>
    <row r="9" spans="1:15" ht="12.75" customHeight="1" x14ac:dyDescent="0.2">
      <c r="A9" s="10" t="str">
        <f>+System10!$A$9</f>
        <v>rozmer zrkadla / skla</v>
      </c>
      <c r="B9" s="61">
        <f>+B8</f>
        <v>-106</v>
      </c>
      <c r="C9" s="59">
        <f>C8-4</f>
        <v>-9.5</v>
      </c>
      <c r="D9" s="8"/>
      <c r="E9" s="8"/>
      <c r="F9" s="50" t="str">
        <f>texty!$A$41</f>
        <v>alebo sklo zabezpečiť ochrannou fóliou</v>
      </c>
      <c r="G9" s="6"/>
      <c r="K9" s="37"/>
      <c r="L9" s="36"/>
    </row>
    <row r="10" spans="1:15" ht="12.75" customHeight="1" x14ac:dyDescent="0.2">
      <c r="A10" s="10" t="str">
        <f>+System10!$A$12</f>
        <v>úchytková lišta</v>
      </c>
      <c r="B10" s="511">
        <f>B7</f>
        <v>-38</v>
      </c>
      <c r="D10" s="8"/>
      <c r="E10" s="8"/>
      <c r="F10" s="3" t="str">
        <f>texty!$A$43</f>
        <v>Maximálna hmotnosť krídla je 50 kg</v>
      </c>
      <c r="G10" s="6"/>
      <c r="N10" s="17"/>
      <c r="O10" s="21"/>
    </row>
    <row r="11" spans="1:15" ht="12.75" customHeight="1" x14ac:dyDescent="0.2">
      <c r="A11" s="10" t="str">
        <f>texty!$A$74</f>
        <v>dĺžka vodiacej a krycej lišty krídla</v>
      </c>
      <c r="B11" s="64"/>
      <c r="C11" s="68">
        <f>C7-40</f>
        <v>-21.5</v>
      </c>
      <c r="D11" s="8"/>
      <c r="E11" s="8"/>
      <c r="F11" s="3"/>
      <c r="G11" s="6"/>
      <c r="K11" s="36"/>
      <c r="N11" s="23"/>
      <c r="O11" s="21"/>
    </row>
    <row r="12" spans="1:15" ht="12.75" customHeight="1" x14ac:dyDescent="0.2">
      <c r="A12" s="7" t="str">
        <f>System10!A13</f>
        <v>dĺžka tesnenia na sklo na jednom krídle</v>
      </c>
      <c r="B12" s="58"/>
      <c r="C12" s="144">
        <f>B8*2+C8*2</f>
        <v>-223</v>
      </c>
      <c r="D12" s="8"/>
      <c r="E12" s="8"/>
      <c r="F12" s="6"/>
      <c r="G12" s="6"/>
      <c r="K12" s="6"/>
    </row>
    <row r="13" spans="1:15" ht="12.75" customHeight="1" x14ac:dyDescent="0.2">
      <c r="A13" s="635" t="str">
        <f>IF(SUM(D44:D45)&gt;0,texty!A246,"")</f>
        <v/>
      </c>
      <c r="B13" s="635"/>
      <c r="C13" s="86"/>
      <c r="D13" s="8"/>
      <c r="E13" s="8"/>
      <c r="G13" s="40"/>
      <c r="K13" s="35"/>
    </row>
    <row r="14" spans="1:15" ht="25.5" x14ac:dyDescent="0.2">
      <c r="A14" s="635"/>
      <c r="B14" s="635"/>
      <c r="C14" s="502" t="str">
        <f>texty!A78</f>
        <v>dodatočné odpočty výšky vypočítaných výplní pri použití deliacich profilov výplne:</v>
      </c>
      <c r="D14" s="8"/>
      <c r="E14" s="8"/>
      <c r="K14" s="6"/>
    </row>
    <row r="19" spans="1:10" ht="14.25" customHeight="1" x14ac:dyDescent="0.2">
      <c r="A19" s="10"/>
      <c r="B19" s="484" t="str">
        <f>texty!A242</f>
        <v>dilatácia 4 mm</v>
      </c>
      <c r="C19" s="27"/>
      <c r="D19" s="8"/>
      <c r="E19" s="8"/>
      <c r="F19" s="6"/>
      <c r="G19" s="6"/>
    </row>
    <row r="20" spans="1:10" ht="16.5" customHeight="1" x14ac:dyDescent="0.2">
      <c r="A20" s="10"/>
      <c r="B20" s="8"/>
      <c r="C20" s="8"/>
      <c r="E20" s="8"/>
      <c r="F20" s="6"/>
      <c r="G20" s="6"/>
    </row>
    <row r="21" spans="1:10" ht="16.5" customHeight="1" x14ac:dyDescent="0.2">
      <c r="B21" s="8"/>
      <c r="C21" s="8"/>
      <c r="D21" s="13"/>
      <c r="E21" s="8"/>
      <c r="F21" s="6"/>
      <c r="G21" s="6"/>
    </row>
    <row r="22" spans="1:10" ht="12.75" customHeight="1" x14ac:dyDescent="0.2">
      <c r="A22" s="27"/>
      <c r="B22" s="482"/>
      <c r="C22" s="8"/>
      <c r="D22" s="8"/>
      <c r="E22" s="8"/>
      <c r="F22" s="6"/>
    </row>
    <row r="23" spans="1:10" ht="12.75" customHeight="1" x14ac:dyDescent="0.2">
      <c r="B23" s="8"/>
      <c r="C23" s="8"/>
      <c r="D23" s="8"/>
      <c r="E23" s="8"/>
      <c r="F23" s="6"/>
      <c r="G23" s="134"/>
    </row>
    <row r="24" spans="1:10" ht="12.75" customHeight="1" x14ac:dyDescent="0.2">
      <c r="A24" s="7"/>
      <c r="B24" s="8"/>
      <c r="C24" s="8"/>
      <c r="D24" s="8"/>
      <c r="E24" s="8"/>
      <c r="F24" s="6"/>
      <c r="G24" s="134" t="str">
        <f>+System10!G25</f>
        <v>partnerská zľava:</v>
      </c>
    </row>
    <row r="25" spans="1:10" ht="12.75" customHeight="1" x14ac:dyDescent="0.2">
      <c r="A25" s="14" t="str">
        <f>+System10!$A$26</f>
        <v>Objednávacie kódy, ceny:</v>
      </c>
      <c r="B25" s="8"/>
      <c r="C25" s="8"/>
      <c r="D25" s="8"/>
      <c r="E25" s="8"/>
      <c r="F25" s="6"/>
      <c r="G25" s="143">
        <f>profil!C15</f>
        <v>0</v>
      </c>
      <c r="H25" s="6" t="s">
        <v>57</v>
      </c>
    </row>
    <row r="26" spans="1:10" s="82" customFormat="1" ht="12.75" customHeight="1" x14ac:dyDescent="0.2">
      <c r="A26" s="80"/>
      <c r="B26" s="81" t="str">
        <f>+System10!B27</f>
        <v>kód</v>
      </c>
      <c r="C26" s="81" t="str">
        <f>+System10!C27</f>
        <v>názov</v>
      </c>
      <c r="D26" s="81" t="str">
        <f>+System10!D27</f>
        <v>ks</v>
      </c>
      <c r="E26" s="81" t="str">
        <f>+System10!E27</f>
        <v>cena/ks</v>
      </c>
      <c r="F26" s="18" t="str">
        <f>+System10!F27</f>
        <v>cena celkom</v>
      </c>
      <c r="G26" s="18" t="str">
        <f>+System10!G27</f>
        <v>celkom netto:</v>
      </c>
      <c r="H26" s="18"/>
      <c r="I26" s="18" t="str">
        <f>texty!A29</f>
        <v>Poznámka:</v>
      </c>
      <c r="J26" s="18"/>
    </row>
    <row r="27" spans="1:10" ht="12.75" customHeight="1" x14ac:dyDescent="0.2">
      <c r="A27" s="7" t="str">
        <f>System10!A28</f>
        <v>Horný profil:</v>
      </c>
      <c r="B27" s="8" t="e">
        <f>+VLOOKUP(N8,data!$C$718:$D$722,2,0)</f>
        <v>#N/A</v>
      </c>
      <c r="C27" s="38" t="e">
        <f>+VLOOKUP(B27,cennik!$A:$G,2,FALSE)</f>
        <v>#N/A</v>
      </c>
      <c r="D27" s="8">
        <v>1</v>
      </c>
      <c r="E27" s="102" t="e">
        <f>+VLOOKUP(B27,cennik!$A:$G,3,FALSE)</f>
        <v>#N/A</v>
      </c>
      <c r="F27" s="102" t="e">
        <f t="shared" ref="F27:F33" si="0">+E27*D27</f>
        <v>#N/A</v>
      </c>
      <c r="G27" s="104" t="e">
        <f t="shared" ref="G27:G33" si="1">+F27*(100-$G$25)/100</f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</row>
    <row r="28" spans="1:10" ht="12.75" customHeight="1" x14ac:dyDescent="0.2">
      <c r="A28" s="72" t="str">
        <f>System10!A29</f>
        <v>spodný profil:</v>
      </c>
      <c r="B28" s="8" t="e">
        <f>+VLOOKUP($N$8,data!$C$723:$D$727,2,0)</f>
        <v>#N/A</v>
      </c>
      <c r="C28" s="38" t="e">
        <f>+VLOOKUP(B28,cennik!$A:$G,2,FALSE)</f>
        <v>#N/A</v>
      </c>
      <c r="D28" s="8">
        <v>1</v>
      </c>
      <c r="E28" s="102" t="e">
        <f>+VLOOKUP(B28,cennik!$A:$G,3,FALSE)</f>
        <v>#N/A</v>
      </c>
      <c r="F28" s="102" t="e">
        <f t="shared" si="0"/>
        <v>#N/A</v>
      </c>
      <c r="G28" s="104" t="e">
        <f t="shared" si="1"/>
        <v>#N/A</v>
      </c>
      <c r="H28" s="6" t="str">
        <f>cennik!$B$2</f>
        <v>EUR</v>
      </c>
      <c r="I28" s="469" t="str">
        <f>IFERROR(IF((VLOOKUP(B28,cennik!A:L,12,0))="O",texty!$A$250,""),"")</f>
        <v/>
      </c>
      <c r="J28" s="191" t="e">
        <f>IF(D28&gt;0,IF(VLOOKUP(B28,cennik!A:L,12,FALSE)="O",1,""),"")</f>
        <v>#N/A</v>
      </c>
    </row>
    <row r="29" spans="1:10" ht="12.75" customHeight="1" x14ac:dyDescent="0.2">
      <c r="A29" s="72" t="str">
        <f>texty!A83</f>
        <v>krycí profil (maska):</v>
      </c>
      <c r="B29" s="8" t="e">
        <f>+VLOOKUP($N$8,data!$C$739:$D$743,2,0)</f>
        <v>#N/A</v>
      </c>
      <c r="C29" s="38" t="e">
        <f>+VLOOKUP(B29,cennik!$A:$G,2,FALSE)</f>
        <v>#N/A</v>
      </c>
      <c r="D29" s="8">
        <v>1</v>
      </c>
      <c r="E29" s="102" t="e">
        <f>+VLOOKUP(B29,cennik!$A:$G,3,FALSE)</f>
        <v>#N/A</v>
      </c>
      <c r="F29" s="102" t="e">
        <f>+E29*D29</f>
        <v>#N/A</v>
      </c>
      <c r="G29" s="104" t="e">
        <f>+F29*(100-$G$25)/100</f>
        <v>#N/A</v>
      </c>
      <c r="H29" s="6" t="str">
        <f>cennik!$B$2</f>
        <v>EUR</v>
      </c>
      <c r="I29" s="469" t="str">
        <f>IFERROR(IF((VLOOKUP(B29,cennik!A:L,12,0))="O",texty!$A$250,""),"")</f>
        <v/>
      </c>
      <c r="J29" s="191" t="e">
        <f>IF(D29&gt;0,IF(VLOOKUP(B29,cennik!A:L,12,FALSE)="O",1,""),"")</f>
        <v>#N/A</v>
      </c>
    </row>
    <row r="30" spans="1:10" ht="12.75" customHeight="1" x14ac:dyDescent="0.2">
      <c r="A30" s="7" t="str">
        <f>System10!A31</f>
        <v>horné vozíky (sady)</v>
      </c>
      <c r="B30" s="185">
        <v>284540</v>
      </c>
      <c r="C30" s="38" t="str">
        <f>+VLOOKUP(B30,cennik!$A:$G,2,FALSE)</f>
        <v>SEVROLL 10207 Maxim horný vozík 18mm asymetrický - 2ks</v>
      </c>
      <c r="D30" s="17">
        <f>IF((D46+D47)&gt;D4,0,D4-(D47+D46))</f>
        <v>2</v>
      </c>
      <c r="E30" s="102">
        <f>+VLOOKUP(B30,cennik!$A:$G,3,FALSE)</f>
        <v>7.1822600000000003</v>
      </c>
      <c r="F30" s="105">
        <f t="shared" si="0"/>
        <v>14.364520000000001</v>
      </c>
      <c r="G30" s="104">
        <f t="shared" si="1"/>
        <v>14.364520000000001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</row>
    <row r="31" spans="1:10" ht="12.75" customHeight="1" x14ac:dyDescent="0.2">
      <c r="A31" s="7" t="str">
        <f>System10!A32</f>
        <v>spodné vozíky (sada)</v>
      </c>
      <c r="B31" s="16">
        <v>328321</v>
      </c>
      <c r="C31" s="38" t="str">
        <f>+VLOOKUP(B31,cennik!$A:$G,2,FALSE)</f>
        <v>SEVROLL 10238 spodný vozík WD10 V 2ks bez pozicionéru</v>
      </c>
      <c r="D31" s="17">
        <f>+D4</f>
        <v>2</v>
      </c>
      <c r="E31" s="102">
        <f>+VLOOKUP(B31,cennik!$A:$G,3,FALSE)</f>
        <v>5.9682199999999996</v>
      </c>
      <c r="F31" s="105">
        <f t="shared" si="0"/>
        <v>11.936439999999999</v>
      </c>
      <c r="G31" s="104">
        <f t="shared" si="1"/>
        <v>11.936439999999999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</row>
    <row r="32" spans="1:10" ht="12.75" customHeight="1" x14ac:dyDescent="0.2">
      <c r="A32" s="7" t="str">
        <f>System10!A33</f>
        <v>dorazový kartáč</v>
      </c>
      <c r="B32" s="16">
        <v>98067</v>
      </c>
      <c r="C32" s="38" t="str">
        <f>+VLOOKUP(B32,cennik!$A:$G,2,FALSE)</f>
        <v>SEVROLL dorazová kefa zásuvná 14x4mm sivá</v>
      </c>
      <c r="D32" s="17">
        <f>CEILING((B4*D4*2/1000),1)</f>
        <v>0</v>
      </c>
      <c r="E32" s="102">
        <f>+VLOOKUP(B32,cennik!$A:$G,3,FALSE)</f>
        <v>0.19361999999999999</v>
      </c>
      <c r="F32" s="105">
        <f t="shared" si="0"/>
        <v>0</v>
      </c>
      <c r="G32" s="104">
        <f t="shared" si="1"/>
        <v>0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</row>
    <row r="33" spans="1:10" ht="12.75" customHeight="1" x14ac:dyDescent="0.2">
      <c r="A33" s="7" t="str">
        <f>System10!A34</f>
        <v>úchytková lišta</v>
      </c>
      <c r="B33" s="211">
        <v>284539</v>
      </c>
      <c r="C33" s="38" t="str">
        <f>+VLOOKUP(B33,cennik!$A:$G,2,FALSE)</f>
        <v>SEVROLL Rex úchytová lišta 2,7m strieborná</v>
      </c>
      <c r="D33" s="17">
        <f>IF(B10&lt;=1347,D4*2/2,D4*2)</f>
        <v>2</v>
      </c>
      <c r="E33" s="102">
        <f>+VLOOKUP(B33,cennik!$A:$G,3,FALSE)</f>
        <v>23.132660000000001</v>
      </c>
      <c r="F33" s="105">
        <f t="shared" si="0"/>
        <v>46.265320000000003</v>
      </c>
      <c r="G33" s="104">
        <f t="shared" si="1"/>
        <v>46.265320000000003</v>
      </c>
      <c r="H33" s="6" t="str">
        <f>cennik!$B$2</f>
        <v>EUR</v>
      </c>
      <c r="I33" s="469" t="str">
        <f>IFERROR(IF((VLOOKUP(B33,cennik!A:L,12,0))="O",texty!$A$250,""),"")</f>
        <v/>
      </c>
      <c r="J33" s="191" t="str">
        <f>IF(D33&gt;0,IF(VLOOKUP(B33,cennik!A:L,12,FALSE)="O",1,""),"")</f>
        <v/>
      </c>
    </row>
    <row r="34" spans="1:10" ht="12.75" customHeight="1" x14ac:dyDescent="0.2">
      <c r="A34" s="7" t="str">
        <f>System10!A36</f>
        <v>horný profil rámu (vodiaca lišta)</v>
      </c>
      <c r="B34" s="8" t="e">
        <f>+VLOOKUP(N8,data!$C$728:$D$739,2,0)</f>
        <v>#N/A</v>
      </c>
      <c r="C34" s="38" t="e">
        <f>+VLOOKUP(B34,cennik!$A:$G,2,FALSE)</f>
        <v>#N/A</v>
      </c>
      <c r="D34" s="17">
        <v>1</v>
      </c>
      <c r="E34" s="102" t="e">
        <f>+VLOOKUP(B34,cennik!$A:$G,3,FALSE)</f>
        <v>#N/A</v>
      </c>
      <c r="F34" s="105" t="e">
        <f>+E34*D34</f>
        <v>#N/A</v>
      </c>
      <c r="G34" s="104" t="e">
        <f>+F34*(100-$G$25)/100</f>
        <v>#N/A</v>
      </c>
      <c r="H34" s="6" t="str">
        <f>cennik!$B$2</f>
        <v>EUR</v>
      </c>
      <c r="I34" s="469" t="str">
        <f>IFERROR(IF((VLOOKUP(B34,cennik!A:L,12,0))="O",texty!$A$250,""),"")</f>
        <v/>
      </c>
      <c r="J34" s="191" t="e">
        <f>IF(D34&gt;0,IF(VLOOKUP(B34,cennik!A:L,12,FALSE)="O",1,""),"")</f>
        <v>#N/A</v>
      </c>
    </row>
    <row r="35" spans="1:10" ht="12.75" customHeight="1" x14ac:dyDescent="0.2">
      <c r="A35" s="7" t="str">
        <f>System10!A38</f>
        <v>horizontálny spodný profil rámu</v>
      </c>
      <c r="B35" s="8" t="e">
        <f>+VLOOKUP(N8,data!$C$744:$D$754,2,0)</f>
        <v>#N/A</v>
      </c>
      <c r="C35" s="38" t="e">
        <f>+VLOOKUP(B35,cennik!$A:$G,2,FALSE)</f>
        <v>#N/A</v>
      </c>
      <c r="D35" s="17">
        <v>1</v>
      </c>
      <c r="E35" s="102" t="e">
        <f>+VLOOKUP(B35,cennik!$A:$G,3,FALSE)</f>
        <v>#N/A</v>
      </c>
      <c r="F35" s="105" t="e">
        <f>+E35*D35</f>
        <v>#N/A</v>
      </c>
      <c r="G35" s="104" t="e">
        <f>+F35*(100-$G$25)/100</f>
        <v>#N/A</v>
      </c>
      <c r="H35" s="6" t="str">
        <f>cennik!$B$2</f>
        <v>EUR</v>
      </c>
      <c r="I35" s="469" t="str">
        <f>IFERROR(IF((VLOOKUP(B35,cennik!A:L,12,0))="O",texty!$A$250,""),"")</f>
        <v/>
      </c>
      <c r="J35" s="191" t="e">
        <f>IF(D35&gt;0,IF(VLOOKUP(B35,cennik!A:L,12,FALSE)="O",1,""),"")</f>
        <v>#N/A</v>
      </c>
    </row>
    <row r="36" spans="1:10" ht="12.75" customHeight="1" x14ac:dyDescent="0.2">
      <c r="A36" s="7" t="s">
        <v>12</v>
      </c>
      <c r="B36" s="16">
        <v>89244</v>
      </c>
      <c r="C36" s="38" t="str">
        <f>+VLOOKUP(B36,cennik!$A:$G,2,FALSE)</f>
        <v>SEVROLL 20001 skrutkovrut 6,3x32 SEVROLL a Simple</v>
      </c>
      <c r="D36" s="17">
        <f>+D4*4</f>
        <v>8</v>
      </c>
      <c r="E36" s="102">
        <f>+VLOOKUP(B36,cennik!$A:$G,3,FALSE)</f>
        <v>0.15482000000000001</v>
      </c>
      <c r="F36" s="91">
        <f>+E36*D36</f>
        <v>1.2385600000000001</v>
      </c>
      <c r="G36" s="92">
        <f>+F36*(100-$G$25)/100</f>
        <v>1.2385600000000001</v>
      </c>
      <c r="H36" s="6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</row>
    <row r="37" spans="1:10" ht="12.75" customHeight="1" x14ac:dyDescent="0.2">
      <c r="A37" s="7"/>
      <c r="B37" s="16"/>
      <c r="C37" s="25"/>
      <c r="D37" s="17"/>
      <c r="E37" s="105"/>
      <c r="F37" s="105"/>
      <c r="G37" s="104"/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</row>
    <row r="38" spans="1:10" ht="12.75" customHeight="1" x14ac:dyDescent="0.2">
      <c r="A38" s="14" t="str">
        <f>texty!$A$66</f>
        <v>Voliteľné príslušenstvo:</v>
      </c>
      <c r="B38" s="16"/>
      <c r="C38" s="25"/>
      <c r="D38" s="26" t="str">
        <f>+System10!D41</f>
        <v>zadajte počet:</v>
      </c>
      <c r="E38" s="105"/>
      <c r="F38" s="105"/>
      <c r="G38" s="104"/>
      <c r="I38" s="469" t="str">
        <f>IFERROR(IF((VLOOKUP(B38,cennik!A:L,12,0))="O",texty!$A$250,""),"")</f>
        <v/>
      </c>
      <c r="J38" s="191"/>
    </row>
    <row r="39" spans="1:10" ht="12.75" customHeight="1" x14ac:dyDescent="0.2">
      <c r="A39" s="7" t="str">
        <f>texty!A88</f>
        <v>pozicionér do horného vedenia</v>
      </c>
      <c r="B39" s="16">
        <v>298035</v>
      </c>
      <c r="C39" s="38" t="str">
        <f>+VLOOKUP(B39,cennik!$A:$G,2,FALSE)</f>
        <v>SEVROLL 20326 Fix pozicionér pre horný vozík transparentný</v>
      </c>
      <c r="D39" s="29"/>
      <c r="E39" s="102">
        <f>+VLOOKUP(B39,cennik!$A:$G,3,FALSE)</f>
        <v>1.0837300000000001</v>
      </c>
      <c r="F39" s="105">
        <f>+E39*D39</f>
        <v>0</v>
      </c>
      <c r="G39" s="104">
        <f>+F39*(100-$G$25)/100</f>
        <v>0</v>
      </c>
      <c r="H39" s="6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</row>
    <row r="40" spans="1:10" ht="12.75" customHeight="1" x14ac:dyDescent="0.2">
      <c r="A40" s="7" t="str">
        <f>System10!A43</f>
        <v xml:space="preserve">pozicionér </v>
      </c>
      <c r="B40" s="16">
        <v>89063</v>
      </c>
      <c r="C40" s="38" t="str">
        <f>+VLOOKUP(B40,cennik!$A:$G,2,FALSE)</f>
        <v>SEVROLL 20080 pozicionér spodného vozíka HI-TEC</v>
      </c>
      <c r="D40" s="29"/>
      <c r="E40" s="102">
        <f>+VLOOKUP(B40,cennik!$A:$G,3,FALSE)</f>
        <v>0.30964000000000003</v>
      </c>
      <c r="F40" s="105">
        <f>+E40*D40</f>
        <v>0</v>
      </c>
      <c r="G40" s="104">
        <f>+F40*(100-$G$25)/100</f>
        <v>0</v>
      </c>
      <c r="H40" s="6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</row>
    <row r="41" spans="1:10" ht="12.75" customHeight="1" x14ac:dyDescent="0.2">
      <c r="A41" s="422" t="str">
        <f>texty!$A$228</f>
        <v> Tlmič dorazu MINI do 25 kg (pár)</v>
      </c>
      <c r="B41" s="16">
        <v>318662</v>
      </c>
      <c r="C41" s="25" t="str">
        <f>+VLOOKUP(B41,cennik!$A:$G,2,FALSE)</f>
        <v>SEVROLL 20368-SV tlmič dorazu Mini SV25 (14-25kg)</v>
      </c>
      <c r="D41" s="29"/>
      <c r="E41" s="91">
        <f>+VLOOKUP(B41,cennik!$A:$G,3,FALSE)</f>
        <v>22.75825</v>
      </c>
      <c r="F41" s="105">
        <f t="shared" ref="F41:F45" si="2">+E41*D41</f>
        <v>0</v>
      </c>
      <c r="G41" s="104">
        <f t="shared" ref="G41:G45" si="3">+F41*(100-$G$25)/100</f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</row>
    <row r="42" spans="1:10" ht="12.75" customHeight="1" x14ac:dyDescent="0.2">
      <c r="A42" s="422" t="str">
        <f>texty!$A$229</f>
        <v> Tlmič dorazu MINI do 40 kg (pár)</v>
      </c>
      <c r="B42" s="24">
        <v>283956</v>
      </c>
      <c r="C42" s="25" t="str">
        <f>+VLOOKUP(B42,cennik!$A:$G,2,FALSE)</f>
        <v>SEVROLL 20258-SV tlmič dorazu Mini SV40 (25 - 40kg)</v>
      </c>
      <c r="D42" s="29"/>
      <c r="E42" s="91">
        <f>+VLOOKUP(B42,cennik!$A:$G,3,FALSE)</f>
        <v>22.75825</v>
      </c>
      <c r="F42" s="105">
        <f t="shared" si="2"/>
        <v>0</v>
      </c>
      <c r="G42" s="104">
        <f t="shared" si="3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</row>
    <row r="43" spans="1:10" ht="12.75" customHeight="1" x14ac:dyDescent="0.2">
      <c r="A43" s="422" t="str">
        <f>texty!$A$230</f>
        <v> Tlmič dorazu MINI do 60 kg (pár)</v>
      </c>
      <c r="B43" s="24">
        <v>351743</v>
      </c>
      <c r="C43" s="25" t="str">
        <f>+VLOOKUP(B43,cennik!$A:$G,2,FALSE)</f>
        <v>SEVROLL 20339-SV tlmič dorazu Mini SV60 (40 - 60kg)</v>
      </c>
      <c r="D43" s="29"/>
      <c r="E43" s="91">
        <f>+VLOOKUP(B43,cennik!$A:$G,3,FALSE)</f>
        <v>22.75825</v>
      </c>
      <c r="F43" s="105">
        <f t="shared" si="2"/>
        <v>0</v>
      </c>
      <c r="G43" s="104">
        <f t="shared" si="3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</row>
    <row r="44" spans="1:10" ht="12.75" customHeight="1" x14ac:dyDescent="0.2">
      <c r="A44" s="422" t="str">
        <f>texty!$A$231</f>
        <v> Tlmič pre stredné krídlo do 25 kg</v>
      </c>
      <c r="B44" s="24">
        <v>318663</v>
      </c>
      <c r="C44" s="25" t="str">
        <f>+VLOOKUP(B44,cennik!$A:$G,2,FALSE)</f>
        <v>SEVROLL 20363-SV tlmič Central 10/18mm obojstranný 25kg</v>
      </c>
      <c r="D44" s="29"/>
      <c r="E44" s="91">
        <f>+VLOOKUP(B44,cennik!$A:$G,3,FALSE)</f>
        <v>48.741869999999999</v>
      </c>
      <c r="F44" s="105">
        <f t="shared" si="2"/>
        <v>0</v>
      </c>
      <c r="G44" s="104">
        <f t="shared" si="3"/>
        <v>0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</row>
    <row r="45" spans="1:10" ht="12.75" customHeight="1" x14ac:dyDescent="0.2">
      <c r="A45" s="422" t="str">
        <f>texty!$A$232</f>
        <v> Tlmič pre stredné krídlo do 40 kg</v>
      </c>
      <c r="B45" s="24">
        <v>283955</v>
      </c>
      <c r="C45" s="25" t="str">
        <f>+VLOOKUP(B45,cennik!$A:$G,2,FALSE)</f>
        <v>SEVROLL 20319-SV tlmič Central 10/18mm obojstranný 25-40kg</v>
      </c>
      <c r="D45" s="29"/>
      <c r="E45" s="91">
        <f>+VLOOKUP(B45,cennik!$A:$G,3,FALSE)</f>
        <v>48.741869999999999</v>
      </c>
      <c r="F45" s="105">
        <f t="shared" si="2"/>
        <v>0</v>
      </c>
      <c r="G45" s="104">
        <f t="shared" si="3"/>
        <v>0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</row>
    <row r="46" spans="1:10" ht="12.75" customHeight="1" x14ac:dyDescent="0.2">
      <c r="A46" s="7" t="str">
        <f>System10!A49</f>
        <v>tlmič dorazu (pár) 25 kg</v>
      </c>
      <c r="B46" s="24">
        <v>227185</v>
      </c>
      <c r="C46" s="38" t="str">
        <f>+VLOOKUP(B46,cennik!$A:$G,2,FALSE)</f>
        <v>K-SEVROLL tlmič dorazu 10/18mm 14-25kg L+P</v>
      </c>
      <c r="D46" s="29"/>
      <c r="E46" s="102">
        <f>+VLOOKUP(B46,cennik!$A:$G,3,FALSE)</f>
        <v>0</v>
      </c>
      <c r="F46" s="105">
        <f>+E46*D46</f>
        <v>0</v>
      </c>
      <c r="G46" s="104">
        <f t="shared" ref="G46:G52" si="4">+F46*(100-$G$25)/100</f>
        <v>0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</row>
    <row r="47" spans="1:10" ht="12.75" customHeight="1" x14ac:dyDescent="0.2">
      <c r="A47" s="7" t="str">
        <f>texty!$A$98</f>
        <v>tlmič dorazu (pár) 50 kg</v>
      </c>
      <c r="B47" s="24">
        <v>227187</v>
      </c>
      <c r="C47" s="25" t="str">
        <f>+VLOOKUP(B47,cennik!$A:$G,2,FALSE)</f>
        <v>K-SEVROLL tlmič dorazu 10/18mm 25-50kg L+P</v>
      </c>
      <c r="D47" s="29"/>
      <c r="E47" s="91">
        <f>+VLOOKUP(B47,cennik!$A:$G,3,FALSE)</f>
        <v>0</v>
      </c>
      <c r="F47" s="96">
        <f>+CEILING(D47,1)*E47</f>
        <v>0</v>
      </c>
      <c r="G47" s="104">
        <f t="shared" si="4"/>
        <v>0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</row>
    <row r="48" spans="1:10" ht="12.75" customHeight="1" x14ac:dyDescent="0.2">
      <c r="A48" s="7" t="str">
        <f>texty!A169</f>
        <v>spojovací profil H18 MAXIM 1,8m</v>
      </c>
      <c r="B48" s="186">
        <v>102833</v>
      </c>
      <c r="C48" s="38" t="str">
        <f>+VLOOKUP(B48,cennik!$A:$G,2,FALSE)</f>
        <v>SEVROLL 01881 Maxim spojovacia lišta H18 1,8m strieborná</v>
      </c>
      <c r="D48" s="29"/>
      <c r="E48" s="102" t="e">
        <f>+VLOOKUP(B48,cennik!$A:$G,3,FALSE)</f>
        <v>#N/A</v>
      </c>
      <c r="F48" s="105" t="e">
        <f>+E48*D48</f>
        <v>#N/A</v>
      </c>
      <c r="G48" s="104" t="e">
        <f t="shared" si="4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</row>
    <row r="49" spans="1:13" ht="12.75" customHeight="1" x14ac:dyDescent="0.2">
      <c r="A49" s="7" t="str">
        <f>texty!A170</f>
        <v>spojovací profil H18 MAXIM 2,5m</v>
      </c>
      <c r="B49" s="186">
        <v>102834</v>
      </c>
      <c r="C49" s="38" t="str">
        <f>+VLOOKUP(B49,cennik!$A:$G,2,FALSE)</f>
        <v>SEVROLL SPOJ.LIŠTA H18 2,5M str.</v>
      </c>
      <c r="D49" s="29"/>
      <c r="E49" s="102">
        <f>+VLOOKUP(B49,cennik!$A:$G,3,FALSE)</f>
        <v>10.30363</v>
      </c>
      <c r="F49" s="105">
        <f>+CEILING(D49,1)*E49</f>
        <v>0</v>
      </c>
      <c r="G49" s="104">
        <f t="shared" si="4"/>
        <v>0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3" ht="12.75" customHeight="1" x14ac:dyDescent="0.2">
      <c r="A50" s="7" t="str">
        <f>texty!A171</f>
        <v>spojovací profil H25 MAXIM 1,8m</v>
      </c>
      <c r="B50" s="186">
        <v>98055</v>
      </c>
      <c r="C50" s="38" t="str">
        <f>+VLOOKUP(B50,cennik!$A:$G,2,FALSE)</f>
        <v>SEVROLL Maxim spojovacia lišta H25 1,8m strieborná</v>
      </c>
      <c r="D50" s="29"/>
      <c r="E50" s="102" t="e">
        <f>+VLOOKUP(B50,cennik!$A:$G,3,FALSE)</f>
        <v>#N/A</v>
      </c>
      <c r="F50" s="105" t="e">
        <f>+CEILING(D50,1)*E50</f>
        <v>#N/A</v>
      </c>
      <c r="G50" s="104" t="e">
        <f t="shared" si="4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3"/>
    </row>
    <row r="51" spans="1:13" ht="12.75" customHeight="1" x14ac:dyDescent="0.2">
      <c r="A51" s="7" t="str">
        <f>texty!A172</f>
        <v>spojovací profil H25 MAXIM 2,5m</v>
      </c>
      <c r="B51" s="186">
        <v>102832</v>
      </c>
      <c r="C51" s="38" t="str">
        <f>+VLOOKUP(B51,cennik!$A:$G,2,FALSE)</f>
        <v>SEVROLL SPOJ.LIŠTA H25 2,5M str.</v>
      </c>
      <c r="D51" s="29"/>
      <c r="E51" s="102">
        <f>+VLOOKUP(B51,cennik!$A:$G,3,FALSE)</f>
        <v>19.950659999999999</v>
      </c>
      <c r="F51" s="105">
        <f>+CEILING(D51,1)*E51</f>
        <v>0</v>
      </c>
      <c r="G51" s="104">
        <f t="shared" si="4"/>
        <v>0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3"/>
    </row>
    <row r="52" spans="1:13" ht="12.75" customHeight="1" x14ac:dyDescent="0.2">
      <c r="A52" s="7" t="str">
        <f>texty!$A$92</f>
        <v>spojovacia skrutka</v>
      </c>
      <c r="B52" s="187">
        <v>89244</v>
      </c>
      <c r="C52" s="25" t="str">
        <f>+VLOOKUP(B52,cennik!$A:$G,2,FALSE)</f>
        <v>SEVROLL 20001 skrutkovrut 6,3x32 SEVROLL a Simple</v>
      </c>
      <c r="D52" s="30"/>
      <c r="E52" s="91">
        <f>+VLOOKUP(B52,cennik!$A:$G,3,FALSE)</f>
        <v>0.15482000000000001</v>
      </c>
      <c r="F52" s="91">
        <f>+E52*D52</f>
        <v>0</v>
      </c>
      <c r="G52" s="104">
        <f t="shared" si="4"/>
        <v>0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K52" s="3"/>
    </row>
    <row r="53" spans="1:13" ht="12.75" customHeight="1" x14ac:dyDescent="0.2">
      <c r="A53" s="41" t="str">
        <f>CONCATENATE(texty!$A$6,ROUND((C12/1000),1),texty!$A$8)</f>
        <v>Pokiaľ budete používať ako výplň sklo / zrkadlo, je nutné doobjednať tesnenie. Dĺžka tesnenia na jedno krídlo je -0,2m, pokiaľ je preskenných viac krídel, treba vynásobiť</v>
      </c>
      <c r="B53" s="42"/>
      <c r="C53" s="43"/>
      <c r="D53" s="44"/>
      <c r="E53" s="97"/>
      <c r="F53" s="97"/>
      <c r="G53" s="98"/>
      <c r="I53" s="469" t="str">
        <f>IFERROR(IF((VLOOKUP(B53,cennik!A:L,12,0))="O",texty!$A$250,""),"")</f>
        <v/>
      </c>
      <c r="J53" s="181"/>
      <c r="K53" s="6"/>
    </row>
    <row r="54" spans="1:13" ht="12.75" customHeight="1" x14ac:dyDescent="0.2">
      <c r="C54" s="40" t="str">
        <f>texty!$A$10</f>
        <v>Potrebná dĺžka tesnenia pri celkovom presklení (nutné objednať celé metre)</v>
      </c>
      <c r="D54" s="39">
        <f>CEILING(((C12*D4)/1000),1)</f>
        <v>0</v>
      </c>
      <c r="E54" s="94"/>
      <c r="F54" s="94"/>
      <c r="G54" s="94"/>
      <c r="I54" s="469" t="str">
        <f>IFERROR(IF((VLOOKUP(B54,cennik!A:L,12,0))="O",texty!$A$250,""),"")</f>
        <v/>
      </c>
      <c r="J54" s="181"/>
      <c r="K54" s="6"/>
    </row>
    <row r="55" spans="1:13" ht="12.75" customHeight="1" x14ac:dyDescent="0.2">
      <c r="A55" s="48" t="str">
        <f>texty!$A$12</f>
        <v>(pri kombináciach s H profilmi je nutné pripočítať potrebnú dĺžku - tesnenie musí byť po celom odvode každého skla</v>
      </c>
      <c r="B55" s="46"/>
      <c r="C55" s="47"/>
      <c r="D55" s="46"/>
      <c r="E55" s="99"/>
      <c r="F55" s="99"/>
      <c r="G55" s="99"/>
      <c r="I55" s="469" t="str">
        <f>IFERROR(IF((VLOOKUP(B55,cennik!A:L,12,0))="O",texty!$A$250,""),"")</f>
        <v/>
      </c>
      <c r="J55" s="181"/>
      <c r="K55" s="6"/>
    </row>
    <row r="56" spans="1:13" ht="12.75" customHeight="1" x14ac:dyDescent="0.2">
      <c r="A56" s="7" t="str">
        <f>texty!A105</f>
        <v>tesnenie na sklo 4mm asymetrické</v>
      </c>
      <c r="B56" s="17" t="s">
        <v>70</v>
      </c>
      <c r="C56" s="38" t="str">
        <f>+VLOOKUP(B56,cennik!$A:$G,2,FALSE)</f>
        <v>SEVROLL 20106 tesnenie na sklo 18/4-4,5mm asymetrické</v>
      </c>
      <c r="D56" s="45"/>
      <c r="E56" s="102">
        <f>+VLOOKUP(B56,cennik!$A:$G,3,FALSE)</f>
        <v>2.2861500000000001</v>
      </c>
      <c r="F56" s="96">
        <f>+CEILING(D56,1)*E56</f>
        <v>0</v>
      </c>
      <c r="G56" s="104">
        <f>+F56*(100-$G$25)/100</f>
        <v>0</v>
      </c>
      <c r="H56" s="6" t="str">
        <f>cennik!$B$2</f>
        <v>EUR</v>
      </c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3" ht="12.75" customHeight="1" x14ac:dyDescent="0.2">
      <c r="A57" s="7"/>
      <c r="B57" s="17">
        <v>256425</v>
      </c>
      <c r="C57" s="167" t="str">
        <f>VLOOKUP(B57,cennik!A:C,2,0)</f>
        <v>SEVROLL 20183 montážny prípravok pre systém Maxim malý</v>
      </c>
      <c r="D57" s="45"/>
      <c r="E57" s="91">
        <f>+VLOOKUP(B57,cennik!$A:$G,3,FALSE)</f>
        <v>5.2530299999999999</v>
      </c>
      <c r="F57" s="96">
        <f>+CEILING(D57,1)*E57</f>
        <v>0</v>
      </c>
      <c r="G57" s="92">
        <f>F57</f>
        <v>0</v>
      </c>
      <c r="H57" s="6" t="str">
        <f>cennik!$B$2</f>
        <v>EUR</v>
      </c>
      <c r="I57" s="469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3" ht="12.75" customHeight="1" x14ac:dyDescent="0.2">
      <c r="A58" s="7"/>
      <c r="B58" s="17">
        <v>128842</v>
      </c>
      <c r="C58" s="167" t="str">
        <f>VLOOKUP(B58,cennik!A:C,2,0)</f>
        <v>SEVROLL 20144 vrták stupňovitý 6,5/9,5mm</v>
      </c>
      <c r="D58" s="45"/>
      <c r="E58" s="91">
        <f>+VLOOKUP(B58,cennik!$A:$G,3,FALSE)</f>
        <v>26.752659999999999</v>
      </c>
      <c r="F58" s="96">
        <f>+CEILING(D58,1)*E58</f>
        <v>0</v>
      </c>
      <c r="G58" s="92">
        <f>F58</f>
        <v>0</v>
      </c>
      <c r="H58" s="6" t="str">
        <f>cennik!$B$2</f>
        <v>EUR</v>
      </c>
      <c r="I58" s="469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3" ht="12.75" customHeight="1" x14ac:dyDescent="0.2">
      <c r="A59" s="7"/>
      <c r="B59" s="17"/>
      <c r="C59" s="38"/>
      <c r="D59" s="38"/>
      <c r="E59" s="102"/>
      <c r="F59" s="96"/>
      <c r="G59" s="92"/>
      <c r="I59" s="181"/>
      <c r="J59" s="191"/>
      <c r="K59" s="6"/>
    </row>
    <row r="60" spans="1:13" ht="15" x14ac:dyDescent="0.2">
      <c r="A60" s="271" t="str">
        <f>texty!$A$190</f>
        <v>Ďalšie príslušenstvo</v>
      </c>
      <c r="B60" s="272"/>
      <c r="C60" s="272"/>
      <c r="D60" s="272"/>
      <c r="E60" s="272"/>
      <c r="F60" s="272"/>
      <c r="G60" s="272"/>
      <c r="H60" s="272"/>
      <c r="I60" s="272"/>
      <c r="J60" s="134"/>
      <c r="K60" s="6"/>
    </row>
    <row r="61" spans="1:13" ht="12.75" customHeight="1" x14ac:dyDescent="0.2">
      <c r="C61" s="73"/>
      <c r="D61" s="76" t="str">
        <f>texty!$A$15</f>
        <v>CELKOM  (bez DPH)</v>
      </c>
      <c r="E61" s="106"/>
      <c r="F61" s="107" t="e">
        <f>SUM(F27:F59)</f>
        <v>#N/A</v>
      </c>
      <c r="G61" s="107" t="e">
        <f>SUM(G27:G59)</f>
        <v>#N/A</v>
      </c>
      <c r="H61" s="6" t="str">
        <f>cennik!$B$2</f>
        <v>EUR</v>
      </c>
      <c r="I61" s="181"/>
      <c r="J61" s="181"/>
      <c r="K61" s="6"/>
    </row>
    <row r="62" spans="1:13" ht="12.75" customHeight="1" x14ac:dyDescent="0.2">
      <c r="A62" s="75" t="str">
        <f>System10!$A$67</f>
        <v>Vaša poznámka:</v>
      </c>
      <c r="B62" s="658"/>
      <c r="C62" s="657"/>
      <c r="D62" s="657"/>
      <c r="E62" s="657"/>
      <c r="F62" s="657"/>
      <c r="G62" s="657"/>
      <c r="K62" s="6"/>
    </row>
    <row r="63" spans="1:13" ht="12.75" customHeight="1" x14ac:dyDescent="0.2">
      <c r="A63" s="659">
        <f>profil!$U$15</f>
        <v>0</v>
      </c>
      <c r="B63" s="649"/>
      <c r="C63" s="649"/>
      <c r="D63" s="649"/>
      <c r="E63" s="649"/>
      <c r="F63" s="649"/>
      <c r="G63" s="649"/>
      <c r="K63" s="6"/>
    </row>
    <row r="64" spans="1:13" ht="12.75" customHeight="1" x14ac:dyDescent="0.2">
      <c r="A64" s="650">
        <f>IF(M64=1,texty!$A$215,IF(J64&gt;0,texty!$A$214,""))</f>
        <v>0</v>
      </c>
      <c r="B64" s="650"/>
      <c r="C64" s="650"/>
      <c r="D64" s="650"/>
      <c r="E64" s="650"/>
      <c r="F64" s="650"/>
      <c r="G64" s="650"/>
      <c r="J64" s="6" t="e">
        <f>SUM(J27:J59)</f>
        <v>#N/A</v>
      </c>
      <c r="M64" s="5">
        <f>IF(ISERROR(J64),1,0)</f>
        <v>1</v>
      </c>
    </row>
    <row r="66" spans="11:11" ht="12.75" hidden="1" customHeight="1" x14ac:dyDescent="0.2">
      <c r="K66" s="5" t="str">
        <f>texty!A128</f>
        <v xml:space="preserve">strieborná </v>
      </c>
    </row>
  </sheetData>
  <mergeCells count="6">
    <mergeCell ref="A64:G64"/>
    <mergeCell ref="F4:I6"/>
    <mergeCell ref="A5:E5"/>
    <mergeCell ref="B62:G62"/>
    <mergeCell ref="A63:G63"/>
    <mergeCell ref="A13:B14"/>
  </mergeCells>
  <conditionalFormatting sqref="A13">
    <cfRule type="expression" dxfId="130" priority="4">
      <formula>SUM($D$44:$D$45)&gt;0</formula>
    </cfRule>
  </conditionalFormatting>
  <conditionalFormatting sqref="D6">
    <cfRule type="expression" dxfId="128" priority="7">
      <formula>$D$4=4</formula>
    </cfRule>
    <cfRule type="expression" dxfId="127" priority="8">
      <formula>$D$4&lt;&gt;4</formula>
    </cfRule>
  </conditionalFormatting>
  <conditionalFormatting sqref="F4:I6">
    <cfRule type="expression" dxfId="126" priority="6">
      <formula>$D$4=4</formula>
    </cfRule>
  </conditionalFormatting>
  <dataValidations count="6">
    <dataValidation type="list" allowBlank="1" showInputMessage="1" showErrorMessage="1" sqref="D6" xr:uid="{00000000-0002-0000-1400-000000000000}">
      <formula1>$K$1:$K$2</formula1>
    </dataValidation>
    <dataValidation type="list" allowBlank="1" showInputMessage="1" showErrorMessage="1" sqref="E4" xr:uid="{00000000-0002-0000-1400-000001000000}">
      <formula1>$K$66</formula1>
    </dataValidation>
    <dataValidation type="list" allowBlank="1" showInputMessage="1" showErrorMessage="1" sqref="E6" xr:uid="{00000000-0002-0000-1400-000002000000}">
      <formula1>"stříbrná,zlatá,oliva"</formula1>
      <formula2>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400-000003000000}">
      <formula1>0</formula1>
      <formula2>2738</formula2>
    </dataValidation>
    <dataValidation type="whole" allowBlank="1" showInputMessage="1" showErrorMessage="1" errorTitle="STOP" error="Max. 6000 mm" promptTitle="Maximální šířka otvoru je 4300mm" sqref="C4" xr:uid="{00000000-0002-0000-14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400-000005000000}">
      <formula1>0</formula1>
      <formula2>9</formula2>
    </dataValidation>
  </dataValidations>
  <hyperlinks>
    <hyperlink ref="A2" location="profil!A1" display="Prosper  systém Maxim" xr:uid="{00000000-0004-0000-1400-000000000000}"/>
    <hyperlink ref="A60" location="příslušenství!A56" display="příslušenství!A56" xr:uid="{00000000-0004-0000-1400-000001000000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27F968-16BA-408B-9020-8D92588C1089}">
            <xm:f>$I27=texty!$A$250</xm:f>
            <x14:dxf>
              <font>
                <color rgb="FFFF0000"/>
              </font>
            </x14:dxf>
          </x14:cfRule>
          <xm:sqref>A27:I58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298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6.7109375" style="5" customWidth="1"/>
    <col min="2" max="2" width="15.7109375" style="5" customWidth="1"/>
    <col min="3" max="3" width="46.42578125" style="5" bestFit="1" customWidth="1"/>
    <col min="4" max="4" width="13.7109375" style="5" customWidth="1"/>
    <col min="5" max="5" width="14.7109375" style="5" customWidth="1"/>
    <col min="6" max="6" width="18.7109375" style="5" bestFit="1" customWidth="1"/>
    <col min="7" max="7" width="14.7109375" style="5" customWidth="1"/>
    <col min="8" max="8" width="4.7109375" style="5" customWidth="1"/>
    <col min="9" max="9" width="24.7109375" style="6" customWidth="1"/>
    <col min="10" max="11" width="12.140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8.710937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-9.75</v>
      </c>
    </row>
    <row r="2" spans="1:16" ht="18.75" customHeight="1" x14ac:dyDescent="0.2">
      <c r="A2" s="523" t="s">
        <v>722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",5,".",67)</f>
        <v>katalóg kovania 2018 str. 5.67</v>
      </c>
      <c r="B3" s="420" t="str">
        <f>CONCATENATE(texty!A34," / max.         2 742 mm /")</f>
        <v>výška / max.         2 742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20" t="str">
        <f>texty!A38</f>
        <v>typ spodného vedenia</v>
      </c>
      <c r="G3" s="6"/>
      <c r="H3" s="6"/>
      <c r="L3" s="6"/>
    </row>
    <row r="4" spans="1:16" ht="25.5" customHeight="1" x14ac:dyDescent="0.2">
      <c r="A4" s="10" t="str">
        <f>+System10!A4</f>
        <v>VNÚTORNÝ ROZMER SKRINE:</v>
      </c>
      <c r="B4" s="56"/>
      <c r="C4" s="56"/>
      <c r="D4" s="22"/>
      <c r="E4" s="22"/>
      <c r="F4" s="458"/>
      <c r="G4" s="647"/>
      <c r="H4" s="647"/>
      <c r="I4" s="647"/>
      <c r="K4" s="190"/>
      <c r="L4" s="8"/>
    </row>
    <row r="5" spans="1:16" ht="18" customHeight="1" x14ac:dyDescent="0.2">
      <c r="A5" s="10"/>
      <c r="B5" s="651" t="str">
        <f>+System10!B5</f>
        <v>vypíšte týchto 5 políčok !!! Údaje v mm</v>
      </c>
      <c r="C5" s="651"/>
      <c r="D5" s="651"/>
      <c r="E5" s="651"/>
      <c r="F5" s="651"/>
      <c r="G5" s="647"/>
      <c r="H5" s="647"/>
      <c r="I5" s="647"/>
      <c r="K5" s="190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23" t="str">
        <f>CONCATENATE(L5,"-",E4)</f>
        <v>1700-</v>
      </c>
      <c r="M6" s="21"/>
      <c r="N6" s="23" t="str">
        <f>CONCATENATE(N5,"-",E4,", ",F4)</f>
        <v xml:space="preserve">1700-, </v>
      </c>
    </row>
    <row r="7" spans="1:16" ht="12.75" customHeight="1" x14ac:dyDescent="0.2">
      <c r="A7" s="10" t="str">
        <f>texty!A47</f>
        <v>krídlo dverí:</v>
      </c>
      <c r="B7" s="57">
        <f>+B4-42</f>
        <v>-42</v>
      </c>
      <c r="C7" s="59" t="e">
        <f>+((C4-3+36*(D4-1))/D4+IF(AND(D4=4,D6=2),M1,0))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>
        <f>+E4</f>
        <v>0</v>
      </c>
    </row>
    <row r="8" spans="1:16" ht="12.75" customHeight="1" x14ac:dyDescent="0.2">
      <c r="A8" s="10" t="str">
        <f>texty!$A$48</f>
        <v>rozmer výplne 18mm:</v>
      </c>
      <c r="B8" s="57">
        <f>+B7-2</f>
        <v>-44</v>
      </c>
      <c r="C8" s="59" t="e">
        <f>+C7-22</f>
        <v>#DIV/0!</v>
      </c>
      <c r="D8" s="8"/>
      <c r="E8" s="8"/>
      <c r="F8" s="8"/>
      <c r="G8" s="5" t="str">
        <f>System10!G11</f>
        <v>Maximálna hmotnosť krídla je 50 kg</v>
      </c>
      <c r="H8" s="6"/>
      <c r="L8" s="6"/>
      <c r="O8" s="23" t="str">
        <f>CONCATENATE(O7,"-",E4)</f>
        <v>1700-</v>
      </c>
      <c r="P8" s="21"/>
    </row>
    <row r="9" spans="1:16" ht="12.75" customHeight="1" x14ac:dyDescent="0.2">
      <c r="A9" s="10" t="str">
        <f>texty!A49</f>
        <v>rozmer výplne 12mm:</v>
      </c>
      <c r="B9" s="57">
        <f>+B8</f>
        <v>-44</v>
      </c>
      <c r="C9" s="59" t="e">
        <f>+C7-7</f>
        <v>#DIV/0!</v>
      </c>
      <c r="D9" s="8"/>
      <c r="E9" s="8"/>
      <c r="F9" s="8"/>
      <c r="G9" s="50"/>
      <c r="H9" s="6"/>
      <c r="L9" s="37"/>
      <c r="M9" s="36"/>
    </row>
    <row r="10" spans="1:16" ht="12.75" customHeight="1" x14ac:dyDescent="0.2">
      <c r="A10" s="10" t="str">
        <f>texty!A50</f>
        <v>rozmer zrkadla /na DTD 12mm/</v>
      </c>
      <c r="B10" s="61">
        <f>+B8-4</f>
        <v>-48</v>
      </c>
      <c r="C10" s="65" t="e">
        <f>+C9-20</f>
        <v>#DIV/0!</v>
      </c>
      <c r="D10" s="8"/>
      <c r="E10" s="8"/>
      <c r="F10" s="8"/>
      <c r="G10" s="49"/>
      <c r="H10" s="6"/>
      <c r="O10" s="17"/>
      <c r="P10" s="21"/>
    </row>
    <row r="11" spans="1:16" x14ac:dyDescent="0.2">
      <c r="A11" s="10" t="str">
        <f>texty!$A$51</f>
        <v>Dĺžka úchytkového profilu (+2 mm)</v>
      </c>
      <c r="B11" s="67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">
      <c r="A12" s="10"/>
      <c r="B12" s="170" t="e">
        <f>IF(B7&gt;2400,texty!A194,IF(C7&gt;700,texty!A194,""))</f>
        <v>#DIV/0!</v>
      </c>
      <c r="C12" s="169"/>
      <c r="D12" s="8"/>
      <c r="E12" s="8"/>
      <c r="F12" s="8"/>
      <c r="G12" s="3"/>
      <c r="H12" s="6"/>
      <c r="L12" s="36"/>
      <c r="O12" s="23"/>
      <c r="P12" s="21"/>
    </row>
    <row r="13" spans="1:16" ht="24" x14ac:dyDescent="0.2">
      <c r="A13" s="635" t="str">
        <f>IF(SUM(D39:D40)&gt;0,texty!A246,"")</f>
        <v/>
      </c>
      <c r="B13" s="635"/>
      <c r="C13" s="483" t="str">
        <f>texty!A78</f>
        <v>dodatočné odpočty výšky vypočítaných výplní pri použití deliacich profilov výplne:</v>
      </c>
      <c r="D13" s="8"/>
      <c r="E13" s="8"/>
      <c r="F13" s="8"/>
      <c r="G13" s="6"/>
      <c r="H13" s="6"/>
      <c r="L13" s="6"/>
    </row>
    <row r="14" spans="1:16" ht="17.25" customHeight="1" x14ac:dyDescent="0.2">
      <c r="A14" s="635"/>
      <c r="B14" s="635"/>
      <c r="C14" s="483"/>
      <c r="D14" s="8"/>
      <c r="E14" s="8"/>
      <c r="F14" s="8"/>
      <c r="G14" s="6"/>
      <c r="H14" s="6"/>
      <c r="L14" s="6"/>
    </row>
    <row r="15" spans="1:16" ht="12.75" customHeight="1" x14ac:dyDescent="0.2">
      <c r="B15" s="58"/>
      <c r="C15" s="86"/>
      <c r="D15" s="8"/>
      <c r="E15" s="8"/>
      <c r="F15" s="8"/>
      <c r="H15" s="6"/>
      <c r="L15" s="35"/>
    </row>
    <row r="16" spans="1:16" ht="12.75" customHeight="1" x14ac:dyDescent="0.2">
      <c r="A16" s="10"/>
      <c r="B16" s="8"/>
      <c r="C16" s="12"/>
      <c r="D16" s="8"/>
      <c r="E16" s="8"/>
      <c r="F16" s="8"/>
      <c r="H16" s="40"/>
      <c r="I16" s="638" t="s">
        <v>993</v>
      </c>
      <c r="L16" s="6"/>
    </row>
    <row r="17" spans="1:12" ht="12.75" customHeight="1" x14ac:dyDescent="0.2">
      <c r="A17" s="10"/>
      <c r="B17" s="8"/>
      <c r="C17" s="12"/>
      <c r="D17" s="8"/>
      <c r="E17" s="8"/>
      <c r="F17" s="8"/>
      <c r="G17" s="6"/>
      <c r="H17" s="6"/>
      <c r="I17" s="638"/>
      <c r="L17" s="6"/>
    </row>
    <row r="18" spans="1:12" ht="12.75" customHeight="1" x14ac:dyDescent="0.2">
      <c r="A18" s="10"/>
      <c r="B18" s="8"/>
      <c r="C18" s="12"/>
      <c r="D18" s="8"/>
      <c r="E18" s="8"/>
      <c r="F18" s="8"/>
      <c r="G18" s="6"/>
      <c r="H18" s="6"/>
      <c r="I18" s="639" t="s">
        <v>994</v>
      </c>
      <c r="L18" s="6"/>
    </row>
    <row r="19" spans="1:12" ht="14.25" customHeight="1" x14ac:dyDescent="0.2">
      <c r="A19" s="10"/>
      <c r="B19" s="8"/>
      <c r="C19" s="27"/>
      <c r="D19" s="8"/>
      <c r="E19" s="8"/>
      <c r="F19" s="8"/>
      <c r="G19" s="6"/>
      <c r="H19" s="6"/>
      <c r="I19" s="639"/>
      <c r="L19" s="6"/>
    </row>
    <row r="20" spans="1:12" ht="16.5" customHeight="1" x14ac:dyDescent="0.2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">
      <c r="A21" s="485" t="s">
        <v>1013</v>
      </c>
      <c r="B21" s="506" t="s">
        <v>1020</v>
      </c>
      <c r="C21" s="8"/>
      <c r="D21" s="13"/>
      <c r="E21" s="8"/>
      <c r="F21" s="8"/>
      <c r="G21" s="6"/>
      <c r="H21" s="6"/>
      <c r="L21" s="5">
        <v>4.8</v>
      </c>
    </row>
    <row r="22" spans="1:12" ht="12.75" customHeight="1" x14ac:dyDescent="0.2">
      <c r="A22" s="7"/>
      <c r="B22" s="8"/>
      <c r="C22" s="8"/>
      <c r="D22" s="8"/>
      <c r="E22" s="8"/>
      <c r="F22" s="6"/>
      <c r="G22" s="134" t="str">
        <f>+System10!G25</f>
        <v>partnerská zľava:</v>
      </c>
      <c r="H22" s="6"/>
      <c r="L22" s="5" t="str">
        <f>CONCATENATE(L21,"-",E4)</f>
        <v>4,8-</v>
      </c>
    </row>
    <row r="23" spans="1:12" ht="12.75" customHeight="1" x14ac:dyDescent="0.2">
      <c r="A23" s="131" t="str">
        <f>System10!A26</f>
        <v>Objednávacie kódy, ceny:</v>
      </c>
      <c r="B23" s="8"/>
      <c r="C23" s="8"/>
      <c r="D23" s="8"/>
      <c r="E23" s="8"/>
      <c r="F23" s="6"/>
      <c r="G23" s="143">
        <f>profil!C15</f>
        <v>0</v>
      </c>
      <c r="H23" s="6" t="s">
        <v>57</v>
      </c>
      <c r="L23" s="6"/>
    </row>
    <row r="24" spans="1:12" s="82" customFormat="1" ht="12.75" customHeight="1" x14ac:dyDescent="0.2">
      <c r="A24" s="80"/>
      <c r="B24" s="81" t="str">
        <f>+System10!B27</f>
        <v>kód</v>
      </c>
      <c r="C24" s="81" t="str">
        <f>+System10!C27</f>
        <v>názov</v>
      </c>
      <c r="D24" s="81" t="str">
        <f>+System10!D27</f>
        <v>ks</v>
      </c>
      <c r="E24" s="81" t="str">
        <f>+System10!E27</f>
        <v>cena/ks</v>
      </c>
      <c r="F24" s="18" t="str">
        <f>+System10!F27</f>
        <v>cena celkom</v>
      </c>
      <c r="G24" s="18" t="str">
        <f>+System10!G27</f>
        <v>celkom netto:</v>
      </c>
      <c r="H24" s="18"/>
      <c r="I24" s="18" t="str">
        <f>texty!A29</f>
        <v>Poznámka:</v>
      </c>
      <c r="K24" s="18"/>
      <c r="L24" s="18"/>
    </row>
    <row r="25" spans="1:12" ht="12.75" customHeight="1" x14ac:dyDescent="0.2">
      <c r="A25" s="7" t="str">
        <f>texty!A106</f>
        <v>Horný profil:</v>
      </c>
      <c r="B25" s="8" t="e">
        <f>+VLOOKUP(L6,data!$C$196:$D$259,2,0)</f>
        <v>#N/A</v>
      </c>
      <c r="C25" s="25" t="e">
        <f>+VLOOKUP(B25,cennik!$A:$G,2,FALSE)</f>
        <v>#N/A</v>
      </c>
      <c r="D25" s="17" t="e">
        <f>IF(B25="N/A",0,1)</f>
        <v>#N/A</v>
      </c>
      <c r="E25" s="91" t="e">
        <f>+VLOOKUP(B25,cennik!$A:$G,3,FALSE)</f>
        <v>#N/A</v>
      </c>
      <c r="F25" s="91" t="e">
        <f t="shared" ref="F25:F31" si="0">+E25*D25</f>
        <v>#N/A</v>
      </c>
      <c r="G25" s="92" t="e">
        <f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K25" s="191" t="e">
        <f>IF(D25&gt;0,IF(VLOOKUP(B25,cennik!A:L,12,FALSE)="O",1,""),"")</f>
        <v>#N/A</v>
      </c>
      <c r="L25" s="6"/>
    </row>
    <row r="26" spans="1:12" ht="12.75" customHeight="1" x14ac:dyDescent="0.2">
      <c r="A26" s="7" t="str">
        <f>texty!A107</f>
        <v>spodný profil:</v>
      </c>
      <c r="B26" s="16" t="e">
        <f>+VLOOKUP(N6,data!$C$4:$D$103,2,0)</f>
        <v>#N/A</v>
      </c>
      <c r="C26" s="25" t="e">
        <f>IF($B$26=data!$D$64,texty!$A$239,+VLOOKUP($B$26,cennik!$A:$G,2,FALSE))</f>
        <v>#N/A</v>
      </c>
      <c r="D26" s="17">
        <v>1</v>
      </c>
      <c r="E26" s="91" t="e">
        <f>IF(B26=data!$D$73,0,+VLOOKUP(B26,cennik!$A:$G,3,FALSE))</f>
        <v>#N/A</v>
      </c>
      <c r="F26" s="91" t="e">
        <f t="shared" si="0"/>
        <v>#N/A</v>
      </c>
      <c r="G26" s="92" t="e">
        <f t="shared" ref="G26:G31" si="1">+F26*(100-$G$23)/100</f>
        <v>#N/A</v>
      </c>
      <c r="H26" s="24" t="str">
        <f>cennik!$B$2</f>
        <v>EUR</v>
      </c>
      <c r="I26" s="469" t="str">
        <f>IFERROR(IF((VLOOKUP(B26,cennik!A:L,12,0))="O",texty!$A$250,""),"")</f>
        <v/>
      </c>
      <c r="K26" s="191" t="e">
        <f>IF(D26&gt;0,IF(VLOOKUP(B26,cennik!A:L,12,FALSE)="O",1,""),"")</f>
        <v>#N/A</v>
      </c>
      <c r="L26" s="6"/>
    </row>
    <row r="27" spans="1:12" ht="12.75" customHeight="1" x14ac:dyDescent="0.2">
      <c r="A27" s="422" t="str">
        <f>texty!A83</f>
        <v>krycí profil (maska):</v>
      </c>
      <c r="B27" s="16" t="e">
        <f>+VLOOKUP(N6,data!$C$105:$D$195,2,0)</f>
        <v>#N/A</v>
      </c>
      <c r="C27" s="25" t="e">
        <f>IF($B$27=data!$D$64,texty!$A$239,+VLOOKUP($B$27,cennik!$A:$G,2,FALSE))</f>
        <v>#N/A</v>
      </c>
      <c r="D27" s="17">
        <v>1</v>
      </c>
      <c r="E27" s="91" t="e">
        <f>IF(B27=data!$D$73,0,+VLOOKUP(B27,cennik!$A:$G,3,FALSE))</f>
        <v>#N/A</v>
      </c>
      <c r="F27" s="91" t="e">
        <f t="shared" si="0"/>
        <v>#N/A</v>
      </c>
      <c r="G27" s="92" t="e">
        <f t="shared" si="1"/>
        <v>#N/A</v>
      </c>
      <c r="H27" s="24" t="str">
        <f>cennik!$B$2</f>
        <v>EUR</v>
      </c>
      <c r="I27" s="469" t="str">
        <f>IFERROR(IF((VLOOKUP(B27,cennik!A:L,12,0))="O",texty!$A$250,""),"")</f>
        <v/>
      </c>
      <c r="K27" s="191" t="e">
        <f>IF(D27&gt;0,IF(VLOOKUP(B27,cennik!A:L,12,FALSE)="O",1,""),"")</f>
        <v>#N/A</v>
      </c>
      <c r="L27" s="6"/>
    </row>
    <row r="28" spans="1:12" ht="12.75" customHeight="1" x14ac:dyDescent="0.2">
      <c r="A28" s="7" t="str">
        <f>texty!A109</f>
        <v>horný vozík</v>
      </c>
      <c r="B28" s="16">
        <v>228023</v>
      </c>
      <c r="C28" s="25" t="str">
        <f>+VLOOKUP(B28,cennik!$A$3:$G$984,2,FALSE)</f>
        <v>SEVROLL 10196 Focus horný vozík 18mm 2ks</v>
      </c>
      <c r="D28" s="17">
        <f>IF((D41+D42)&gt;D4,0,D4-(D41+D42))</f>
        <v>0</v>
      </c>
      <c r="E28" s="91">
        <f>+VLOOKUP(B28,cennik!$A:$G,3,FALSE)</f>
        <v>3.9014199999999999</v>
      </c>
      <c r="F28" s="91">
        <f t="shared" si="0"/>
        <v>0</v>
      </c>
      <c r="G28" s="92">
        <f t="shared" si="1"/>
        <v>0</v>
      </c>
      <c r="H28" s="6" t="str">
        <f>cennik!$B$2</f>
        <v>EUR</v>
      </c>
      <c r="I28" s="469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">
      <c r="A29" s="7" t="str">
        <f>texty!A110</f>
        <v>spodný vozík</v>
      </c>
      <c r="B29" s="16">
        <f>IF(F4=M64,362316,229440)</f>
        <v>229440</v>
      </c>
      <c r="C29" s="25" t="str">
        <f>+VLOOKUP(B29,cennik!$A:$G,2,FALSE)</f>
        <v>SEVROLL 10198 spodný vozík WD 18C HI-TEC - 2ks</v>
      </c>
      <c r="D29" s="17">
        <f>+D4</f>
        <v>0</v>
      </c>
      <c r="E29" s="91">
        <f>+VLOOKUP(B29,cennik!$A:$G,3,FALSE)</f>
        <v>5.1863999999999999</v>
      </c>
      <c r="F29" s="91">
        <f t="shared" si="0"/>
        <v>0</v>
      </c>
      <c r="G29" s="92">
        <f t="shared" si="1"/>
        <v>0</v>
      </c>
      <c r="H29" s="6" t="str">
        <f>cennik!$B$2</f>
        <v>EUR</v>
      </c>
      <c r="I29" s="469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">
      <c r="A30" s="7" t="str">
        <f>texty!A89</f>
        <v>dorazový kartáč</v>
      </c>
      <c r="B30" s="16" t="e">
        <f>+VLOOKUP(L22,data!$C$790:$D$812,2,0)</f>
        <v>#N/A</v>
      </c>
      <c r="C30" s="25" t="e">
        <f>+VLOOKUP(B30,cennik!$A:$G,2,FALSE)</f>
        <v>#N/A</v>
      </c>
      <c r="D30" s="17">
        <f>CEILING((B4*D4*2/1000),1)</f>
        <v>0</v>
      </c>
      <c r="E30" s="91" t="e">
        <f>+VLOOKUP(B30,cennik!$A:$G,3,FALSE)</f>
        <v>#N/A</v>
      </c>
      <c r="F30" s="91" t="e">
        <f t="shared" si="0"/>
        <v>#N/A</v>
      </c>
      <c r="G30" s="92" t="e">
        <f t="shared" si="1"/>
        <v>#N/A</v>
      </c>
      <c r="H30" s="6" t="str">
        <f>cennik!$B$2</f>
        <v>EUR</v>
      </c>
      <c r="I30" s="469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">
      <c r="A31" s="7" t="str">
        <f>texty!A113</f>
        <v>úchytková lišta</v>
      </c>
      <c r="B31" s="16" t="e">
        <f>+VLOOKUP(P7,data!$C$528:$D$535,2,0)</f>
        <v>#N/A</v>
      </c>
      <c r="C31" s="38" t="e">
        <f>+VLOOKUP(B31,cennik!$A:$G,2,FALSE)</f>
        <v>#N/A</v>
      </c>
      <c r="D31" s="17">
        <f>IF(B11&lt;=1347,D4*2/2,D4*2)</f>
        <v>0</v>
      </c>
      <c r="E31" s="207" t="e">
        <f>+VLOOKUP(B31,cennik!$A:$G,3,FALSE)</f>
        <v>#N/A</v>
      </c>
      <c r="F31" s="105" t="e">
        <f t="shared" si="0"/>
        <v>#N/A</v>
      </c>
      <c r="G31" s="92" t="e">
        <f t="shared" si="1"/>
        <v>#N/A</v>
      </c>
      <c r="H31" s="6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">
      <c r="A32" s="7"/>
      <c r="B32" s="16"/>
      <c r="C32" s="25"/>
      <c r="D32" s="17"/>
      <c r="E32" s="91"/>
      <c r="F32" s="105"/>
      <c r="G32" s="104"/>
      <c r="H32" s="6"/>
      <c r="I32" s="469" t="str">
        <f>IFERROR(IF((VLOOKUP(B32,cennik!A:L,12,0))="O",texty!$A$250,""),"")</f>
        <v/>
      </c>
      <c r="K32" s="181"/>
      <c r="L32" s="6"/>
    </row>
    <row r="33" spans="1:12" s="128" customFormat="1" ht="12.75" customHeight="1" x14ac:dyDescent="0.2">
      <c r="A33" s="14" t="str">
        <f>texty!$A$66</f>
        <v>Voliteľné príslušenstvo:</v>
      </c>
      <c r="B33" s="123"/>
      <c r="C33" s="124"/>
      <c r="D33" s="477" t="str">
        <f>System10!$D$41</f>
        <v>zadajte počet:</v>
      </c>
      <c r="E33" s="132"/>
      <c r="F33" s="125"/>
      <c r="G33" s="126"/>
      <c r="H33" s="127"/>
      <c r="I33" s="469" t="str">
        <f>IFERROR(IF((VLOOKUP(B33,cennik!A:L,12,0))="O",texty!$A$250,""),"")</f>
        <v/>
      </c>
      <c r="K33" s="182"/>
      <c r="L33" s="127"/>
    </row>
    <row r="34" spans="1:12" s="128" customFormat="1" ht="12.75" customHeight="1" x14ac:dyDescent="0.2">
      <c r="A34" s="7" t="str">
        <f>texty!$A$88</f>
        <v>pozicionér do horného vedenia</v>
      </c>
      <c r="B34" s="187">
        <v>298035</v>
      </c>
      <c r="C34" s="38" t="str">
        <f>+VLOOKUP(B34,cennik!$A:$G,2,FALSE)</f>
        <v>SEVROLL 20326 Fix pozicionér pre horný vozík transparentný</v>
      </c>
      <c r="D34" s="29"/>
      <c r="E34" s="207">
        <f>+VLOOKUP(B34,cennik!$A:$G,3,FALSE)</f>
        <v>1.0837300000000001</v>
      </c>
      <c r="F34" s="105">
        <f>+E34*D34</f>
        <v>0</v>
      </c>
      <c r="G34" s="104">
        <f>+F34*(100-$G$23)/100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/>
      <c r="K34" s="191" t="str">
        <f>IF(D34&gt;0,IF(VLOOKUP(B34,cennik!A:L,12,FALSE)="O",1,""),"")</f>
        <v/>
      </c>
      <c r="L34" s="127"/>
    </row>
    <row r="35" spans="1:12" ht="12.75" customHeight="1" x14ac:dyDescent="0.2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SEVROLL 20080 pozicionér spodného vozíka HI-TEC</v>
      </c>
      <c r="D35" s="29"/>
      <c r="E35" s="207">
        <f>+VLOOKUP(B35,cennik!$A:$G,3,FALSE)</f>
        <v>0.30964000000000003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/>
      <c r="K35" s="191" t="str">
        <f>IF(D35&gt;0,IF(VLOOKUP(B35,cennik!A:L,12,FALSE)="O",1,""),"")</f>
        <v/>
      </c>
      <c r="L35" s="6"/>
    </row>
    <row r="36" spans="1:12" ht="12.75" customHeight="1" x14ac:dyDescent="0.2">
      <c r="A36" s="422" t="str">
        <f>texty!$A$228</f>
        <v> Tlmič dorazu MINI do 25 kg (pár)</v>
      </c>
      <c r="B36" s="16">
        <v>318662</v>
      </c>
      <c r="C36" s="25" t="str">
        <f>+VLOOKUP(B36,cennik!$A:$G,2,FALSE)</f>
        <v>SEVROLL 20368-SV tlmič dorazu Mini SV25 (14-25kg)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3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/>
      <c r="K36" s="191" t="str">
        <f>IF(D36&gt;0,IF(VLOOKUP(B36,cennik!A:L,12,FALSE)="O",1,""),"")</f>
        <v/>
      </c>
      <c r="L36" s="6"/>
    </row>
    <row r="37" spans="1:12" ht="12.75" customHeight="1" x14ac:dyDescent="0.2">
      <c r="A37" s="422" t="str">
        <f>texty!$A$229</f>
        <v> Tlmič dorazu MINI do 40 kg (pár)</v>
      </c>
      <c r="B37" s="24">
        <v>283956</v>
      </c>
      <c r="C37" s="25" t="str">
        <f>+VLOOKUP(B37,cennik!$A:$G,2,FALSE)</f>
        <v>SEVROLL 20258-SV tlmič dorazu Mini SV40 (25 - 40kg)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3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/>
      <c r="K37" s="191" t="str">
        <f>IF(D37&gt;0,IF(VLOOKUP(B37,cennik!A:L,12,FALSE)="O",1,""),"")</f>
        <v/>
      </c>
      <c r="L37" s="6"/>
    </row>
    <row r="38" spans="1:12" ht="12.75" customHeight="1" x14ac:dyDescent="0.2">
      <c r="A38" s="422" t="str">
        <f>texty!$A$230</f>
        <v> Tlmič dorazu MINI do 60 kg (pár)</v>
      </c>
      <c r="B38" s="24">
        <v>351743</v>
      </c>
      <c r="C38" s="25" t="str">
        <f>+VLOOKUP(B38,cennik!$A:$G,2,FALSE)</f>
        <v>SEVROLL 20339-SV tlmič dorazu Mini SV60 (40 - 60kg)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3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/>
      <c r="K38" s="191" t="str">
        <f>IF(D38&gt;0,IF(VLOOKUP(B38,cennik!A:L,12,FALSE)="O",1,""),"")</f>
        <v/>
      </c>
      <c r="L38" s="6"/>
    </row>
    <row r="39" spans="1:12" ht="12.75" customHeight="1" x14ac:dyDescent="0.2">
      <c r="A39" s="422" t="str">
        <f>texty!$A$231</f>
        <v> Tlmič pre stredné krídlo do 25 kg</v>
      </c>
      <c r="B39" s="24">
        <v>318663</v>
      </c>
      <c r="C39" s="25" t="str">
        <f>+VLOOKUP(B39,cennik!$A:$G,2,FALSE)</f>
        <v>SEVROLL 20363-SV tlmič Central 10/18mm obojstranný 25kg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3"/>
        <v>0</v>
      </c>
      <c r="H39" s="24" t="str">
        <f>cennik!$B$2</f>
        <v>EUR</v>
      </c>
      <c r="I39" s="469" t="str">
        <f>IFERROR(IF((VLOOKUP(B39,cennik!A:L,12,0))="O",texty!$A$250,""),"")</f>
        <v/>
      </c>
      <c r="J39" s="191"/>
      <c r="K39" s="191" t="str">
        <f>IF(D39&gt;0,IF(VLOOKUP(B39,cennik!A:L,12,FALSE)="O",1,""),"")</f>
        <v/>
      </c>
      <c r="L39" s="6"/>
    </row>
    <row r="40" spans="1:12" ht="12.75" customHeight="1" x14ac:dyDescent="0.2">
      <c r="A40" s="422" t="str">
        <f>texty!$A$232</f>
        <v> Tlmič pre stredné krídlo do 40 kg</v>
      </c>
      <c r="B40" s="24">
        <v>283955</v>
      </c>
      <c r="C40" s="25" t="str">
        <f>+VLOOKUP(B40,cennik!$A:$G,2,FALSE)</f>
        <v>SEVROLL 20319-SV tlmič Central 10/18mm obojstranný 25-40kg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3"/>
        <v>0</v>
      </c>
      <c r="H40" s="24" t="str">
        <f>cennik!$B$2</f>
        <v>EUR</v>
      </c>
      <c r="I40" s="469" t="str">
        <f>IFERROR(IF((VLOOKUP(B40,cennik!A:L,12,0))="O",texty!$A$250,""),"")</f>
        <v/>
      </c>
      <c r="J40" s="191"/>
      <c r="K40" s="191" t="str">
        <f>IF(D40&gt;0,IF(VLOOKUP(B40,cennik!A:L,12,FALSE)="O",1,""),"")</f>
        <v/>
      </c>
      <c r="L40" s="6"/>
    </row>
    <row r="41" spans="1:12" ht="12.75" customHeight="1" x14ac:dyDescent="0.2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 L+P</v>
      </c>
      <c r="D41" s="29"/>
      <c r="E41" s="207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/>
      <c r="K41" s="191" t="str">
        <f>IF(D41&gt;0,IF(VLOOKUP(B41,cennik!A:L,12,FALSE)="O",1,""),"")</f>
        <v/>
      </c>
      <c r="L41" s="6"/>
    </row>
    <row r="42" spans="1:12" ht="12.75" customHeight="1" x14ac:dyDescent="0.2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/>
      <c r="K42" s="191" t="str">
        <f>IF(D42&gt;0,IF(VLOOKUP(B42,cennik!A:L,12,FALSE)="O",1,""),"")</f>
        <v/>
      </c>
      <c r="L42" s="6"/>
    </row>
    <row r="43" spans="1:12" ht="12.75" customHeight="1" x14ac:dyDescent="0.2">
      <c r="A43" s="7" t="str">
        <f>texty!$A$196</f>
        <v>Spona dorazovej kefky</v>
      </c>
      <c r="B43" s="16">
        <v>223569</v>
      </c>
      <c r="C43" s="38" t="str">
        <f>+VLOOKUP(B43,cennik!$A:$G,2,FALSE)</f>
        <v>SEVROLL 20223 spona dorazovej kefky</v>
      </c>
      <c r="D43" s="29"/>
      <c r="E43" s="207">
        <f>+VLOOKUP(B43,cennik!$A:$G,3,FALSE)</f>
        <v>7.1209999999999996E-2</v>
      </c>
      <c r="F43" s="105">
        <f t="shared" si="2"/>
        <v>0</v>
      </c>
      <c r="G43" s="104">
        <f t="shared" si="3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/>
      <c r="K43" s="191" t="str">
        <f>IF(D43&gt;0,IF(VLOOKUP(B43,cennik!A:L,12,FALSE)="O",1,""),"")</f>
        <v/>
      </c>
      <c r="L43" s="6"/>
    </row>
    <row r="44" spans="1:12" ht="12.75" customHeight="1" x14ac:dyDescent="0.2">
      <c r="A44" s="145" t="str">
        <f>texty!$A$114</f>
        <v>spojovací profil H18-3metre</v>
      </c>
      <c r="B44" s="16" t="e">
        <f>+VLOOKUP($P$7,data!$C$537:$D$547,2,0)</f>
        <v>#N/A</v>
      </c>
      <c r="C44" s="38" t="e">
        <f>+VLOOKUP(B44,cennik!$A:$G,2,FALSE)</f>
        <v>#N/A</v>
      </c>
      <c r="D44" s="29"/>
      <c r="E44" s="207" t="e">
        <f>+VLOOKUP(B44,cennik!$A:$G,3,FALSE)</f>
        <v>#N/A</v>
      </c>
      <c r="F44" s="105" t="e">
        <f t="shared" si="2"/>
        <v>#N/A</v>
      </c>
      <c r="G44" s="104" t="e">
        <f t="shared" si="3"/>
        <v>#N/A</v>
      </c>
      <c r="H44" s="6" t="str">
        <f>cennik!$B$2</f>
        <v>EUR</v>
      </c>
      <c r="I44" s="469" t="str">
        <f>IFERROR(IF((VLOOKUP(B44,cennik!A:L,12,0))="O",texty!$A$250,""),"")</f>
        <v/>
      </c>
      <c r="J44" s="191"/>
      <c r="K44" s="191" t="str">
        <f>IF(D44&gt;0,IF(VLOOKUP(B44,cennik!A:L,12,FALSE)="O",1,""),"")</f>
        <v/>
      </c>
      <c r="L44" s="6"/>
    </row>
    <row r="45" spans="1:12" ht="12.75" customHeight="1" x14ac:dyDescent="0.2">
      <c r="A45" s="145" t="str">
        <f>texty!$A$115</f>
        <v>spojovací T profil - 3metre /s drážkou/</v>
      </c>
      <c r="B45" s="16" t="str">
        <f>IFERROR(VLOOKUP($P$7,data!$C$548:$D$557,2,0),"N/A")</f>
        <v>N/A</v>
      </c>
      <c r="C45" s="38" t="str">
        <f>IF(B45=data!$D$64,texty!$A$239,+VLOOKUP(B45,cennik!$A$3:$G$907,2,FALSE))</f>
        <v> v tejto farbe a dĺžke sa daný profil nevyrába</v>
      </c>
      <c r="D45" s="29"/>
      <c r="E45" s="91">
        <f>IF(B45=data!$D$73,0,+VLOOKUP(B45,cennik!$A$3:$G$907,3,FALSE))</f>
        <v>0</v>
      </c>
      <c r="F45" s="91">
        <f t="shared" si="2"/>
        <v>0</v>
      </c>
      <c r="G45" s="104">
        <f t="shared" si="3"/>
        <v>0</v>
      </c>
      <c r="H45" s="24" t="str">
        <f>cennik!$B$2</f>
        <v>EUR</v>
      </c>
      <c r="I45" s="469" t="str">
        <f>IFERROR(IF((VLOOKUP(B45,cennik!A:L,12,0))="O",texty!$A$250,""),"")</f>
        <v/>
      </c>
      <c r="J45" s="191"/>
      <c r="K45" s="191" t="str">
        <f>IF(D45&gt;0,IF(VLOOKUP(B45,cennik!A:L,12,FALSE)="O",1,""),"")</f>
        <v/>
      </c>
      <c r="L45" s="3"/>
    </row>
    <row r="46" spans="1:12" ht="12.75" customHeight="1" x14ac:dyDescent="0.2">
      <c r="A46" s="145" t="str">
        <f>texty!$A$116</f>
        <v>spojovací T profil - 3metre /s lemom/</v>
      </c>
      <c r="B46" s="16" t="str">
        <f>IFERROR(VLOOKUP($P$7,data!$C$558:$D$567,2,0),"N/A")</f>
        <v>N/A</v>
      </c>
      <c r="C46" s="38" t="str">
        <f>IF(B46=data!$D$64,texty!$A$239,+VLOOKUP(B46,cennik!$A$3:$G$907,2,FALSE))</f>
        <v> v tejto farbe a dĺžke sa daný profil nevyrába</v>
      </c>
      <c r="D46" s="29"/>
      <c r="E46" s="91">
        <f>IF(B46=data!$D$73,0,+VLOOKUP(B46,cennik!$A$3:$G$907,3,FALSE))</f>
        <v>0</v>
      </c>
      <c r="F46" s="91">
        <f t="shared" si="2"/>
        <v>0</v>
      </c>
      <c r="G46" s="104">
        <f t="shared" si="3"/>
        <v>0</v>
      </c>
      <c r="H46" s="24" t="str">
        <f>cennik!$B$2</f>
        <v>EUR</v>
      </c>
      <c r="I46" s="469" t="str">
        <f>IFERROR(IF((VLOOKUP(B46,cennik!A:L,12,0))="O",texty!$A$250,""),"")</f>
        <v/>
      </c>
      <c r="J46" s="191"/>
      <c r="K46" s="191" t="str">
        <f>IF(D46&gt;0,IF(VLOOKUP(B46,cennik!A:L,12,FALSE)="O",1,""),"")</f>
        <v/>
      </c>
      <c r="L46" s="3"/>
    </row>
    <row r="47" spans="1:12" ht="12.75" customHeight="1" x14ac:dyDescent="0.2">
      <c r="A47" s="145" t="str">
        <f>texty!$A$117</f>
        <v>"U" profil na DTD 18mm - 3 metre /hladký/</v>
      </c>
      <c r="B47" s="16" t="e">
        <f>+VLOOKUP($P$7,data!$C$568:$D$578,2,0)</f>
        <v>#N/A</v>
      </c>
      <c r="C47" s="38" t="e">
        <f>+VLOOKUP(B47,cennik!$A:$G,2,FALSE)</f>
        <v>#N/A</v>
      </c>
      <c r="D47" s="29"/>
      <c r="E47" s="207" t="e">
        <f>+VLOOKUP(B47,cennik!$A:$G,3,FALSE)</f>
        <v>#N/A</v>
      </c>
      <c r="F47" s="105" t="e">
        <f t="shared" si="2"/>
        <v>#N/A</v>
      </c>
      <c r="G47" s="104" t="e">
        <f t="shared" si="3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/>
      <c r="K47" s="191" t="str">
        <f>IF(D47&gt;0,IF(VLOOKUP(B47,cennik!A:L,12,FALSE)="O",1,""),"")</f>
        <v/>
      </c>
      <c r="L47" s="3"/>
    </row>
    <row r="48" spans="1:12" ht="12.75" customHeight="1" x14ac:dyDescent="0.2">
      <c r="A48" s="145" t="str">
        <f>texty!$A$118</f>
        <v>"U" profil na DTD 18mm - 3 metre /lem/</v>
      </c>
      <c r="B48" s="16" t="str">
        <f>IFERROR(VLOOKUP($P$7,data!$C$579:$D$588,2,0),"N/A")</f>
        <v>N/A</v>
      </c>
      <c r="C48" s="38" t="str">
        <f>IF(B48=data!$D$64,texty!$A$239,+VLOOKUP(B48,cennik!$A:$G,2,FALSE))</f>
        <v> v tejto farbe a dĺžke sa daný profil nevyrába</v>
      </c>
      <c r="D48" s="29"/>
      <c r="E48" s="91">
        <f>IF(B48=data!$D$73,0,+VLOOKUP(B48,cennik!$A:$G,3,FALSE))</f>
        <v>0</v>
      </c>
      <c r="F48" s="91">
        <f t="shared" si="2"/>
        <v>0</v>
      </c>
      <c r="G48" s="104">
        <f t="shared" si="3"/>
        <v>0</v>
      </c>
      <c r="H48" s="6" t="str">
        <f>cennik!$B$2</f>
        <v>EUR</v>
      </c>
      <c r="I48" s="469" t="str">
        <f>IFERROR(IF((VLOOKUP(B48,cennik!A:L,12,0))="O",texty!$A$250,""),"")</f>
        <v/>
      </c>
      <c r="J48" s="191"/>
      <c r="K48" s="191" t="str">
        <f>IF(D48&gt;0,IF(VLOOKUP(B48,cennik!A:L,12,FALSE)="O",1,""),"")</f>
        <v/>
      </c>
      <c r="L48" s="3"/>
    </row>
    <row r="49" spans="1:14" ht="12.75" customHeight="1" x14ac:dyDescent="0.2">
      <c r="A49" s="145" t="str">
        <f>texty!$A$119</f>
        <v>uholník mini 11x17mm - 1,7m</v>
      </c>
      <c r="B49" s="6" t="e">
        <f>+VLOOKUP($P$7,data!$C$589:$D$599,2,0)</f>
        <v>#N/A</v>
      </c>
      <c r="C49" s="38" t="e">
        <f>IF(B49=data!$D$64,texty!$A$239,+VLOOKUP(B49,cennik!$A:$G,2,FALSE))</f>
        <v>#N/A</v>
      </c>
      <c r="D49" s="29"/>
      <c r="E49" s="91" t="e">
        <f>IF(B49=data!$D$73,0,+VLOOKUP(B49,cennik!$A:$G,3,FALSE))</f>
        <v>#N/A</v>
      </c>
      <c r="F49" s="91" t="e">
        <f>+E49*D49</f>
        <v>#N/A</v>
      </c>
      <c r="G49" s="104" t="e">
        <f t="shared" si="3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/>
      <c r="K49" s="191" t="str">
        <f>IF(D49&gt;0,IF(VLOOKUP(B49,cennik!A:L,12,FALSE)="O",1,""),"")</f>
        <v/>
      </c>
      <c r="L49" s="3"/>
    </row>
    <row r="50" spans="1:14" ht="12.75" customHeight="1" x14ac:dyDescent="0.2">
      <c r="A50" s="145" t="str">
        <f>texty!$A$120</f>
        <v>uholník mini 11x17mm - 2,35m</v>
      </c>
      <c r="B50" s="6" t="e">
        <f>+VLOOKUP($P$7,data!$C$600:$D$610,2,0)</f>
        <v>#N/A</v>
      </c>
      <c r="C50" s="38" t="e">
        <f>IF(B50=data!$D$64,texty!$A$239,+VLOOKUP(B50,cennik!$A:$G,2,FALSE))</f>
        <v>#N/A</v>
      </c>
      <c r="D50" s="29"/>
      <c r="E50" s="91" t="e">
        <f>IF(B50=data!$D$73,0,+VLOOKUP(B50,cennik!$A:$G,3,FALSE))</f>
        <v>#N/A</v>
      </c>
      <c r="F50" s="91" t="e">
        <f>+E50*D50</f>
        <v>#N/A</v>
      </c>
      <c r="G50" s="104" t="e">
        <f t="shared" si="3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/>
      <c r="K50" s="191" t="str">
        <f>IF(D50&gt;0,IF(VLOOKUP(B50,cennik!A:L,12,FALSE)="O",1,""),"")</f>
        <v/>
      </c>
      <c r="L50" s="3"/>
    </row>
    <row r="51" spans="1:14" ht="12.75" customHeight="1" x14ac:dyDescent="0.2">
      <c r="A51" s="145" t="str">
        <f>texty!$A$121</f>
        <v>uholník mini 11x17mm - 3m</v>
      </c>
      <c r="B51" s="15" t="e">
        <f>+VLOOKUP($P$7,data!$C$611:$D$621,2,0)</f>
        <v>#N/A</v>
      </c>
      <c r="C51" s="38" t="e">
        <f>IF(B51=data!$D$64,texty!$A$239,+VLOOKUP(B51,cennik!$A:$G,2,FALSE))</f>
        <v>#N/A</v>
      </c>
      <c r="D51" s="29"/>
      <c r="E51" s="91" t="e">
        <f>IF(B51=data!$D$73,0,+VLOOKUP(B51,cennik!$A:$G,3,FALSE))</f>
        <v>#N/A</v>
      </c>
      <c r="F51" s="91" t="e">
        <f>+E51*D51</f>
        <v>#N/A</v>
      </c>
      <c r="G51" s="104" t="e">
        <f t="shared" si="3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/>
      <c r="K51" s="191" t="str">
        <f>IF(D51&gt;0,IF(VLOOKUP(B51,cennik!A:L,12,FALSE)="O",1,""),"")</f>
        <v/>
      </c>
      <c r="L51" s="3"/>
    </row>
    <row r="52" spans="1:14" ht="12.75" customHeight="1" x14ac:dyDescent="0.2">
      <c r="A52" s="145" t="str">
        <f>texty!$A$122</f>
        <v>uholník K2 19x18mm - 1,7m</v>
      </c>
      <c r="B52" s="24" t="str">
        <f>IFERROR(VLOOKUP($P$7,data!$C$622:$D$631,2,0),"N/A")</f>
        <v>N/A</v>
      </c>
      <c r="C52" s="38" t="str">
        <f>IF(B52=data!$D$64,texty!$A$239,+VLOOKUP(B52,cennik!$A$3:$G$907,2,FALSE))</f>
        <v> v tejto farbe a dĺžke sa daný profil nevyrába</v>
      </c>
      <c r="D52" s="29"/>
      <c r="E52" s="91">
        <f>IF(B52=data!$D$73,0,+VLOOKUP(B52,cennik!$A$3:$G$907,3,FALSE))</f>
        <v>0</v>
      </c>
      <c r="F52" s="91">
        <f>+E52*D52</f>
        <v>0</v>
      </c>
      <c r="G52" s="104">
        <f t="shared" si="3"/>
        <v>0</v>
      </c>
      <c r="H52" s="6" t="str">
        <f>cennik!$B$2</f>
        <v>EUR</v>
      </c>
      <c r="I52" s="469" t="str">
        <f>IFERROR(IF((VLOOKUP(B52,cennik!A:L,12,0))="O",texty!$A$250,""),"")</f>
        <v/>
      </c>
      <c r="J52" s="191"/>
      <c r="K52" s="191" t="str">
        <f>IF(D52&gt;0,IF(VLOOKUP(B52,cennik!A:L,12,FALSE)="O",1,""),"")</f>
        <v/>
      </c>
      <c r="L52" s="6"/>
    </row>
    <row r="53" spans="1:14" ht="12.75" customHeight="1" x14ac:dyDescent="0.2">
      <c r="A53" s="145" t="str">
        <f>texty!$A$123</f>
        <v>uholník K2 19x18mm - 2,35m</v>
      </c>
      <c r="B53" s="16" t="str">
        <f>IFERROR(VLOOKUP($P$7,data!$C$632:$D$641,2,0),"N/A")</f>
        <v>N/A</v>
      </c>
      <c r="C53" s="38" t="str">
        <f>IF(B53=data!$D$64,texty!$A$239,+VLOOKUP(B53,cennik!$A$3:$G$907,2,FALSE))</f>
        <v> v tejto farbe a dĺžke sa daný profil nevyrába</v>
      </c>
      <c r="D53" s="30"/>
      <c r="E53" s="91">
        <f>IF(B53=data!$D$73,0,+VLOOKUP(B53,cennik!$A$3:$G$907,3,FALSE))</f>
        <v>0</v>
      </c>
      <c r="F53" s="91">
        <f t="shared" si="2"/>
        <v>0</v>
      </c>
      <c r="G53" s="104">
        <f t="shared" si="3"/>
        <v>0</v>
      </c>
      <c r="H53" s="6" t="str">
        <f>cennik!$B$2</f>
        <v>EUR</v>
      </c>
      <c r="I53" s="469" t="str">
        <f>IFERROR(IF((VLOOKUP(B53,cennik!A:L,12,0))="O",texty!$A$250,""),"")</f>
        <v/>
      </c>
      <c r="J53" s="191"/>
      <c r="K53" s="191" t="str">
        <f>IF(D53&gt;0,IF(VLOOKUP(B53,cennik!A:L,12,FALSE)="O",1,""),"")</f>
        <v/>
      </c>
      <c r="L53" s="6"/>
    </row>
    <row r="54" spans="1:14" ht="12.75" customHeight="1" x14ac:dyDescent="0.2">
      <c r="A54" s="145" t="str">
        <f>texty!$A$124</f>
        <v>uholník K2 19x18mm - 3,00m</v>
      </c>
      <c r="B54" s="16" t="str">
        <f>IFERROR(VLOOKUP($P$7,data!$C$642:$D$651,2,0),"N/A")</f>
        <v>N/A</v>
      </c>
      <c r="C54" s="38" t="str">
        <f>IF(B54=data!$D$64,texty!$A$239,+VLOOKUP(B54,cennik!$A$3:$G$907,2,FALSE))</f>
        <v> v tejto farbe a dĺžke sa daný profil nevyrába</v>
      </c>
      <c r="D54" s="30"/>
      <c r="E54" s="91">
        <f>IF(B54=data!$D$73,0,+VLOOKUP(B54,cennik!$A$3:$G$907,3,FALSE))</f>
        <v>0</v>
      </c>
      <c r="F54" s="91">
        <f t="shared" si="2"/>
        <v>0</v>
      </c>
      <c r="G54" s="104">
        <f t="shared" si="3"/>
        <v>0</v>
      </c>
      <c r="H54" s="6" t="str">
        <f>cennik!$B$2</f>
        <v>EUR</v>
      </c>
      <c r="I54" s="469" t="str">
        <f>IFERROR(IF((VLOOKUP(B54,cennik!A:L,12,0))="O",texty!$A$250,""),"")</f>
        <v/>
      </c>
      <c r="J54" s="191"/>
      <c r="K54" s="191" t="str">
        <f>IF(D54&gt;0,IF(VLOOKUP(B54,cennik!A:L,12,FALSE)="O",1,""),"")</f>
        <v/>
      </c>
      <c r="L54" s="6"/>
    </row>
    <row r="55" spans="1:14" ht="12.75" customHeight="1" x14ac:dyDescent="0.2">
      <c r="A55" s="145" t="str">
        <f>texty!$A$241</f>
        <v>klínok pre dilatáciu výplne 16mm</v>
      </c>
      <c r="B55" s="16">
        <v>308631</v>
      </c>
      <c r="C55" s="38" t="str">
        <f>+VLOOKUP(B55,cennik!$A:$G,2,FALSE)</f>
        <v>SEVROLL 20252 klin pre lamino hrúbka 2mm (100 ks)</v>
      </c>
      <c r="D55" s="29"/>
      <c r="E55" s="207">
        <f>+VLOOKUP(B55,cennik!$A:$G,3,FALSE)</f>
        <v>8.7214100000000006</v>
      </c>
      <c r="F55" s="105">
        <f t="shared" ref="F55" si="4">+E55*D55</f>
        <v>0</v>
      </c>
      <c r="G55" s="104">
        <f t="shared" ref="G55" si="5">+F55*(100-$G$23)/100</f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">
      <c r="A56" s="422" t="str">
        <f>texty!$A$240</f>
        <v>zámok posuvných dverí</v>
      </c>
      <c r="B56" s="24">
        <v>216363</v>
      </c>
      <c r="C56" s="38" t="str">
        <f>+VLOOKUP(B56,cennik!$A:$G,2,FALSE)</f>
        <v>SEVROLL 20356 zámok na posuvné dvere 10/18mm</v>
      </c>
      <c r="D56" s="29"/>
      <c r="E56" s="207">
        <f>+VLOOKUP(B56,cennik!$A:$G,3,FALSE)</f>
        <v>15.72176</v>
      </c>
      <c r="F56" s="105">
        <f t="shared" si="2"/>
        <v>0</v>
      </c>
      <c r="G56" s="104">
        <f t="shared" si="3"/>
        <v>0</v>
      </c>
      <c r="H56" s="6" t="str">
        <f>cennik!$B$2</f>
        <v>EUR</v>
      </c>
      <c r="I56" s="469" t="str">
        <f>IFERROR(IF((VLOOKUP(B56,cennik!A:L,12,0))="O",texty!$A$250,""),"")</f>
        <v/>
      </c>
      <c r="J56" s="191"/>
      <c r="K56" s="191" t="str">
        <f>IF(D56&gt;0,IF(VLOOKUP(B56,cennik!A:L,12,FALSE)="O",1,""),"")</f>
        <v/>
      </c>
      <c r="L56" s="6"/>
    </row>
    <row r="57" spans="1:14" ht="12.75" customHeight="1" x14ac:dyDescent="0.2">
      <c r="A57" s="7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07">
        <f>+VLOOKUP(B57,cennik!$A:$G,3,FALSE)</f>
        <v>0.29721999999999998</v>
      </c>
      <c r="F57" s="105">
        <f t="shared" si="2"/>
        <v>0</v>
      </c>
      <c r="G57" s="104">
        <f t="shared" si="3"/>
        <v>0</v>
      </c>
      <c r="H57" s="6" t="str">
        <f>cennik!$B$2</f>
        <v>EUR</v>
      </c>
      <c r="I57" s="469" t="str">
        <f>IFERROR(IF((VLOOKUP(B57,cennik!A:L,12,0))="O",texty!$A$250,""),"")</f>
        <v/>
      </c>
      <c r="J57" s="191"/>
      <c r="K57" s="191" t="str">
        <f>IF(D57&gt;0,IF(VLOOKUP(B57,cennik!A:L,12,FALSE)="O",1,""),"")</f>
        <v/>
      </c>
      <c r="L57" s="6"/>
    </row>
    <row r="58" spans="1:14" ht="12.75" customHeight="1" x14ac:dyDescent="0.2">
      <c r="A58" s="145"/>
      <c r="B58" s="24"/>
      <c r="C58" s="25"/>
      <c r="D58" s="91"/>
      <c r="E58" s="91"/>
      <c r="F58" s="96"/>
      <c r="G58" s="104"/>
      <c r="H58" s="6"/>
      <c r="I58" s="181"/>
      <c r="K58" s="191"/>
      <c r="L58" s="6"/>
    </row>
    <row r="59" spans="1:14" ht="15" x14ac:dyDescent="0.2">
      <c r="A59" s="271" t="str">
        <f>texty!$A$190</f>
        <v>Ďalšie príslušenstvo</v>
      </c>
      <c r="B59" s="272"/>
      <c r="C59" s="272"/>
      <c r="D59" s="272"/>
      <c r="E59" s="272"/>
      <c r="F59" s="272"/>
      <c r="G59" s="272"/>
      <c r="H59" s="272"/>
      <c r="I59" s="272"/>
      <c r="K59" s="134"/>
      <c r="L59" s="6"/>
    </row>
    <row r="60" spans="1:14" ht="12.75" customHeight="1" x14ac:dyDescent="0.2">
      <c r="A60" s="271" t="str">
        <f>texty!$A$244</f>
        <v>Technický nákres tohoto systému</v>
      </c>
      <c r="C60" s="73"/>
      <c r="D60" s="48" t="str">
        <f>texty!A15</f>
        <v>CELKOM  (bez DPH)</v>
      </c>
      <c r="E60" s="106"/>
      <c r="F60" s="107" t="e">
        <f>SUM(F25:F57)</f>
        <v>#N/A</v>
      </c>
      <c r="G60" s="107" t="e">
        <f>SUM(G25:G57)</f>
        <v>#N/A</v>
      </c>
      <c r="H60" s="6" t="str">
        <f>cennik!$B$2</f>
        <v>EUR</v>
      </c>
      <c r="I60" s="181"/>
      <c r="K60" s="181"/>
      <c r="L60" s="6"/>
    </row>
    <row r="61" spans="1:14" ht="12.75" customHeight="1" x14ac:dyDescent="0.2">
      <c r="A61" s="75" t="str">
        <f>System10!$A$67</f>
        <v>Vaša poznámka:</v>
      </c>
      <c r="B61" s="661"/>
      <c r="C61" s="662"/>
      <c r="D61" s="662"/>
      <c r="E61" s="662"/>
      <c r="F61" s="662"/>
      <c r="G61" s="663"/>
      <c r="H61" s="6"/>
      <c r="L61" s="6"/>
    </row>
    <row r="62" spans="1:14" ht="12.75" customHeight="1" x14ac:dyDescent="0.2">
      <c r="A62" s="659">
        <f>profil!$U$15</f>
        <v>0</v>
      </c>
      <c r="B62" s="649"/>
      <c r="C62" s="649"/>
      <c r="D62" s="649"/>
      <c r="E62" s="649"/>
      <c r="F62" s="649"/>
      <c r="G62" s="649"/>
      <c r="H62" s="649"/>
      <c r="L62" s="6"/>
    </row>
    <row r="63" spans="1:14" ht="12.75" customHeight="1" x14ac:dyDescent="0.2">
      <c r="A63" s="650">
        <f>IF(N63=1,texty!$A$215,IF(K63&gt;0,texty!$A$214,""))</f>
        <v>0</v>
      </c>
      <c r="B63" s="650"/>
      <c r="C63" s="650"/>
      <c r="D63" s="650"/>
      <c r="E63" s="650"/>
      <c r="F63" s="650"/>
      <c r="G63" s="650"/>
      <c r="H63" s="650"/>
      <c r="K63" s="6" t="e">
        <f>SUM(K25:K58)</f>
        <v>#N/A</v>
      </c>
      <c r="N63" s="5">
        <f>IF(ISERROR(K63),1,0)</f>
        <v>1</v>
      </c>
    </row>
    <row r="64" spans="1:14" ht="12.75" hidden="1" customHeight="1" x14ac:dyDescent="0.2">
      <c r="L64" s="5" t="str">
        <f>texty!A128</f>
        <v xml:space="preserve">strieborná </v>
      </c>
      <c r="M64" s="21" t="s">
        <v>987</v>
      </c>
    </row>
    <row r="65" spans="12:13" ht="12.75" hidden="1" customHeight="1" x14ac:dyDescent="0.2">
      <c r="L65" s="5" t="str">
        <f>texty!A129</f>
        <v>zlatá</v>
      </c>
      <c r="M65" s="21" t="s">
        <v>43</v>
      </c>
    </row>
    <row r="66" spans="12:13" ht="12.75" hidden="1" customHeight="1" x14ac:dyDescent="0.2">
      <c r="L66" s="5" t="str">
        <f>texty!A130</f>
        <v>oliva</v>
      </c>
    </row>
    <row r="67" spans="12:13" ht="12.75" hidden="1" customHeight="1" x14ac:dyDescent="0.2">
      <c r="L67" s="5" t="str">
        <f>data!J15</f>
        <v>biela lesk</v>
      </c>
    </row>
    <row r="68" spans="12:13" ht="12.75" hidden="1" customHeight="1" x14ac:dyDescent="0.2">
      <c r="L68" s="5" t="str">
        <f>data!J18</f>
        <v>biela mat</v>
      </c>
    </row>
    <row r="69" spans="12:13" ht="12.75" hidden="1" customHeight="1" x14ac:dyDescent="0.2">
      <c r="L69" s="5" t="str">
        <f>data!J16</f>
        <v>čierna lesk</v>
      </c>
    </row>
    <row r="70" spans="12:13" ht="12.75" hidden="1" customHeight="1" x14ac:dyDescent="0.2">
      <c r="L70" s="5" t="str">
        <f>data!J17</f>
        <v>čierna mat</v>
      </c>
    </row>
    <row r="71" spans="12:13" ht="12.75" hidden="1" customHeight="1" x14ac:dyDescent="0.2">
      <c r="L71" s="5" t="str">
        <f>data!J12</f>
        <v>grafit</v>
      </c>
    </row>
    <row r="298" spans="3:10" ht="12.75" hidden="1" customHeight="1" x14ac:dyDescent="0.2">
      <c r="C298" s="5">
        <f>$K$15</f>
        <v>0</v>
      </c>
      <c r="D298" s="5">
        <v>276730</v>
      </c>
      <c r="J298" s="6">
        <f>$K$15</f>
        <v>0</v>
      </c>
    </row>
  </sheetData>
  <sheetProtection algorithmName="SHA-512" hashValue="VguhDRsjmNpWlXVPue3n5gt2E9YYChHQ9uF/FRbDT5UzaWceJS6URDnGFc0+rldcOob6FzFwC/wSZgcZEbGIbA==" saltValue="AX/fzMMOS7CE9R4k8NgmdA==" spinCount="100000" sheet="1" objects="1" scenarios="1"/>
  <dataConsolidate/>
  <mergeCells count="8">
    <mergeCell ref="A63:H63"/>
    <mergeCell ref="A62:H62"/>
    <mergeCell ref="G4:I6"/>
    <mergeCell ref="I16:I17"/>
    <mergeCell ref="I18:I19"/>
    <mergeCell ref="B61:G61"/>
    <mergeCell ref="B5:F5"/>
    <mergeCell ref="A13:B14"/>
  </mergeCells>
  <conditionalFormatting sqref="A13">
    <cfRule type="expression" dxfId="125" priority="3">
      <formula>SUM($D$39:$D$40)&gt;0</formula>
    </cfRule>
  </conditionalFormatting>
  <conditionalFormatting sqref="D6">
    <cfRule type="expression" dxfId="123" priority="7">
      <formula>$D$4=4</formula>
    </cfRule>
    <cfRule type="expression" dxfId="122" priority="8">
      <formula>$D$4&lt;&gt;4</formula>
    </cfRule>
  </conditionalFormatting>
  <conditionalFormatting sqref="G4">
    <cfRule type="expression" dxfId="121" priority="6">
      <formula>$D$4=4</formula>
    </cfRule>
  </conditionalFormatting>
  <conditionalFormatting sqref="I16:I17">
    <cfRule type="expression" dxfId="120" priority="33">
      <formula>$F$4=$M$65</formula>
    </cfRule>
  </conditionalFormatting>
  <conditionalFormatting sqref="I18:I19">
    <cfRule type="expression" dxfId="119" priority="37">
      <formula>$F$4=$M$64</formula>
    </cfRule>
  </conditionalFormatting>
  <dataValidations count="7">
    <dataValidation type="list" allowBlank="1" showInputMessage="1" showErrorMessage="1" sqref="E4" xr:uid="{00000000-0002-0000-1500-000000000000}">
      <formula1>$L$64:$L$71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E6" xr:uid="{00000000-0002-0000-1500-000004000000}">
      <formula1>"stříbrná,zlatá,oliva"</formula1>
      <formula2>0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$M$64:$M$65</formula1>
    </dataValidation>
  </dataValidations>
  <hyperlinks>
    <hyperlink ref="A2" location="profil!A1" display="ALFA" xr:uid="{00000000-0004-0000-1500-000000000000}"/>
    <hyperlink ref="A59" location="příslušenství!A56" display="příslušenství!A56" xr:uid="{00000000-0004-0000-1500-000001000000}"/>
    <hyperlink ref="A60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="85" zoomScaleNormal="85" workbookViewId="0">
      <selection activeCell="F4" sqref="F4"/>
    </sheetView>
  </sheetViews>
  <sheetFormatPr defaultColWidth="0" defaultRowHeight="12.75" customHeight="1" zeroHeight="1" x14ac:dyDescent="0.2"/>
  <cols>
    <col min="1" max="1" width="37.140625" style="5" customWidth="1"/>
    <col min="2" max="2" width="15.7109375" style="5" customWidth="1"/>
    <col min="3" max="3" width="46.42578125" style="5" bestFit="1" customWidth="1"/>
    <col min="4" max="4" width="13.7109375" style="5" customWidth="1"/>
    <col min="5" max="7" width="14.7109375" style="5" customWidth="1"/>
    <col min="8" max="8" width="4.7109375" style="5" customWidth="1"/>
    <col min="9" max="9" width="30.7109375" style="6" customWidth="1"/>
    <col min="10" max="11" width="12.140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-5.25</v>
      </c>
    </row>
    <row r="2" spans="1:16" ht="18.75" customHeight="1" x14ac:dyDescent="0.2">
      <c r="A2" s="523" t="s">
        <v>745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",5,".",68)</f>
        <v>katalóg kovania 2018 str. 5.68</v>
      </c>
      <c r="B3" s="420" t="str">
        <f>CONCATENATE(texty!A34," / max.         2 742 mm /")</f>
        <v>výška / max.         2 742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20" t="str">
        <f>texty!A38</f>
        <v>typ spodného vedenia</v>
      </c>
      <c r="G3" s="6"/>
      <c r="H3" s="6"/>
      <c r="L3" s="6"/>
    </row>
    <row r="4" spans="1:16" ht="25.5" customHeight="1" x14ac:dyDescent="0.2">
      <c r="A4" s="10" t="str">
        <f>+System10!A4</f>
        <v>VNÚTORNÝ ROZMER SKRINE:</v>
      </c>
      <c r="B4" s="56"/>
      <c r="C4" s="56"/>
      <c r="D4" s="22"/>
      <c r="E4" s="209"/>
      <c r="F4" s="458"/>
      <c r="G4" s="647"/>
      <c r="H4" s="647"/>
      <c r="I4" s="647"/>
      <c r="K4" s="190"/>
      <c r="L4" s="8"/>
      <c r="M4" s="17"/>
      <c r="N4" s="21"/>
      <c r="O4" s="17"/>
    </row>
    <row r="5" spans="1:16" ht="18" customHeight="1" x14ac:dyDescent="0.2">
      <c r="A5" s="10"/>
      <c r="B5" s="664" t="str">
        <f>+System10!B5</f>
        <v>vypíšte týchto 5 políčok !!! Údaje v mm</v>
      </c>
      <c r="C5" s="664"/>
      <c r="D5" s="664"/>
      <c r="E5" s="664"/>
      <c r="F5" s="8"/>
      <c r="G5" s="647"/>
      <c r="H5" s="647"/>
      <c r="I5" s="647"/>
      <c r="K5" s="190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  <c r="O5" s="23"/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23" t="str">
        <f>CONCATENATE(L5,"-",E4)</f>
        <v>1700-</v>
      </c>
      <c r="M6" s="21"/>
      <c r="N6" s="23" t="str">
        <f>CONCATENATE(N5,"-",E4,", ",F4)</f>
        <v xml:space="preserve">1700-, </v>
      </c>
    </row>
    <row r="7" spans="1:16" ht="12.75" customHeight="1" x14ac:dyDescent="0.2">
      <c r="A7" s="10" t="str">
        <f>texty!A47</f>
        <v>krídlo dverí:</v>
      </c>
      <c r="B7" s="57">
        <f>+B4-42</f>
        <v>-42</v>
      </c>
      <c r="C7" s="59" t="e">
        <f>+((C4-3+18*(D4-1))/D4+IF(AND(D4=4,D6=2),M1,0))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>
        <f>+E4</f>
        <v>0</v>
      </c>
    </row>
    <row r="8" spans="1:16" ht="12.75" customHeight="1" x14ac:dyDescent="0.2">
      <c r="A8" s="10" t="str">
        <f>texty!$A$48</f>
        <v>rozmer výplne 18mm:</v>
      </c>
      <c r="B8" s="57">
        <f>+B7-2</f>
        <v>-44</v>
      </c>
      <c r="C8" s="59" t="e">
        <f>+C7-19</f>
        <v>#DIV/0!</v>
      </c>
      <c r="D8" s="8"/>
      <c r="E8" s="8"/>
      <c r="F8" s="8"/>
      <c r="G8" s="5" t="str">
        <f>System10!G11</f>
        <v>Maximálna hmotnosť krídla je 50 kg</v>
      </c>
      <c r="H8" s="6"/>
      <c r="L8" s="6"/>
      <c r="O8" s="23" t="str">
        <f>CONCATENATE(O7,"-",E4)</f>
        <v>1700-</v>
      </c>
      <c r="P8" s="21"/>
    </row>
    <row r="9" spans="1:16" ht="12.75" customHeight="1" x14ac:dyDescent="0.2">
      <c r="A9" s="10" t="str">
        <f>texty!A49</f>
        <v>rozmer výplne 12mm:</v>
      </c>
      <c r="B9" s="57">
        <f>+B8</f>
        <v>-44</v>
      </c>
      <c r="C9" s="59" t="e">
        <f>+C7-7</f>
        <v>#DIV/0!</v>
      </c>
      <c r="D9" s="8"/>
      <c r="E9" s="8"/>
      <c r="F9" s="8"/>
      <c r="G9" s="50"/>
      <c r="H9" s="6"/>
      <c r="L9" s="37"/>
      <c r="M9" s="36"/>
    </row>
    <row r="10" spans="1:16" ht="12.75" customHeight="1" x14ac:dyDescent="0.2">
      <c r="A10" s="10" t="str">
        <f>texty!A50</f>
        <v>rozmer zrkadla /na DTD 12mm/</v>
      </c>
      <c r="B10" s="61">
        <f>+B8-4</f>
        <v>-48</v>
      </c>
      <c r="C10" s="59" t="e">
        <f>+C9-16</f>
        <v>#DIV/0!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">
      <c r="A11" s="10" t="str">
        <f>texty!$A$51</f>
        <v>Dĺžka úchytkového profilu (+2 mm)</v>
      </c>
      <c r="B11" s="67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">
      <c r="A12" s="10"/>
      <c r="B12" s="170" t="e">
        <f>IF(B7&gt;2400,texty!A194,IF(C7&gt;700,texty!A194,""))</f>
        <v>#DIV/0!</v>
      </c>
      <c r="C12" s="169"/>
      <c r="D12" s="8"/>
      <c r="E12" s="8"/>
      <c r="F12" s="8"/>
      <c r="G12" s="3"/>
      <c r="H12" s="6"/>
      <c r="L12" s="36"/>
      <c r="O12" s="23"/>
      <c r="P12" s="21"/>
    </row>
    <row r="13" spans="1:16" ht="28.9" customHeight="1" x14ac:dyDescent="0.2">
      <c r="A13" s="635" t="str">
        <f>IF(SUM(D40:D41)&gt;0,texty!A246,"")</f>
        <v/>
      </c>
      <c r="B13" s="635"/>
      <c r="C13" s="492" t="str">
        <f>texty!A78</f>
        <v>dodatočné odpočty výšky vypočítaných výplní pri použití deliacich profilov výplne:</v>
      </c>
      <c r="D13" s="8"/>
      <c r="E13" s="8"/>
      <c r="F13" s="8"/>
      <c r="G13" s="6"/>
      <c r="H13" s="6"/>
      <c r="L13" s="6"/>
    </row>
    <row r="14" spans="1:16" ht="17.25" customHeight="1" x14ac:dyDescent="0.2">
      <c r="A14" s="635"/>
      <c r="B14" s="635"/>
      <c r="C14" s="492"/>
      <c r="D14" s="8"/>
      <c r="E14" s="8"/>
      <c r="F14" s="8"/>
      <c r="G14" s="6"/>
      <c r="H14" s="6"/>
      <c r="L14" s="6"/>
    </row>
    <row r="15" spans="1:16" ht="28.9" customHeight="1" x14ac:dyDescent="0.2">
      <c r="A15" s="188"/>
      <c r="B15" s="64"/>
      <c r="C15" s="492"/>
      <c r="D15" s="8"/>
      <c r="E15" s="8"/>
      <c r="F15" s="8"/>
      <c r="G15" s="6"/>
      <c r="H15" s="6"/>
      <c r="L15" s="6"/>
    </row>
    <row r="16" spans="1:16" ht="12.75" customHeight="1" x14ac:dyDescent="0.2">
      <c r="B16" s="58"/>
      <c r="C16" s="86"/>
      <c r="D16" s="8"/>
      <c r="E16" s="8"/>
      <c r="F16" s="8"/>
      <c r="H16" s="6"/>
      <c r="L16" s="35"/>
    </row>
    <row r="17" spans="1:12" ht="12.75" customHeight="1" x14ac:dyDescent="0.2">
      <c r="A17" s="10"/>
      <c r="B17" s="8"/>
      <c r="C17" s="12"/>
      <c r="D17" s="8"/>
      <c r="E17" s="8"/>
      <c r="F17" s="8"/>
      <c r="H17" s="40"/>
      <c r="I17" s="638" t="s">
        <v>993</v>
      </c>
      <c r="L17" s="6"/>
    </row>
    <row r="18" spans="1:12" ht="12.75" customHeight="1" x14ac:dyDescent="0.2">
      <c r="A18" s="10"/>
      <c r="B18" s="8"/>
      <c r="C18" s="12"/>
      <c r="D18" s="8"/>
      <c r="E18" s="8"/>
      <c r="F18" s="8"/>
      <c r="G18" s="6"/>
      <c r="H18" s="6"/>
      <c r="I18" s="638"/>
      <c r="L18" s="6"/>
    </row>
    <row r="19" spans="1:12" ht="12.75" customHeight="1" x14ac:dyDescent="0.2">
      <c r="A19" s="10"/>
      <c r="B19" s="8"/>
      <c r="C19" s="12"/>
      <c r="D19" s="8"/>
      <c r="E19" s="8"/>
      <c r="F19" s="8"/>
      <c r="G19" s="6"/>
      <c r="H19" s="6"/>
      <c r="I19" s="639" t="s">
        <v>994</v>
      </c>
      <c r="L19" s="6"/>
    </row>
    <row r="20" spans="1:12" ht="14.25" customHeight="1" x14ac:dyDescent="0.2">
      <c r="A20" s="10"/>
      <c r="B20" s="8"/>
      <c r="C20" s="27"/>
      <c r="D20" s="8"/>
      <c r="E20" s="8"/>
      <c r="F20" s="8"/>
      <c r="G20" s="6"/>
      <c r="H20" s="6"/>
      <c r="I20" s="639"/>
      <c r="L20" s="6"/>
    </row>
    <row r="21" spans="1:12" ht="16.5" customHeight="1" x14ac:dyDescent="0.2">
      <c r="A21" s="485" t="s">
        <v>1013</v>
      </c>
      <c r="B21" s="506" t="s">
        <v>1020</v>
      </c>
      <c r="C21" s="8"/>
      <c r="E21" s="8"/>
      <c r="F21" s="8"/>
      <c r="G21" s="6"/>
      <c r="H21" s="6"/>
      <c r="L21" s="6"/>
    </row>
    <row r="22" spans="1:12" ht="16.5" customHeight="1" x14ac:dyDescent="0.2">
      <c r="A22" s="7"/>
      <c r="B22" s="8"/>
      <c r="C22" s="8"/>
      <c r="D22" s="13"/>
      <c r="E22" s="8"/>
      <c r="F22" s="8"/>
      <c r="G22" s="6"/>
      <c r="H22" s="6"/>
      <c r="L22" s="6"/>
    </row>
    <row r="23" spans="1:12" ht="12.75" customHeight="1" x14ac:dyDescent="0.2">
      <c r="A23" s="7"/>
      <c r="B23" s="8"/>
      <c r="C23" s="8"/>
      <c r="D23" s="8"/>
      <c r="E23" s="8"/>
      <c r="F23" s="6"/>
      <c r="G23" s="134" t="str">
        <f>+System10!G25</f>
        <v>partnerská zľava:</v>
      </c>
      <c r="H23" s="6"/>
      <c r="L23" s="6"/>
    </row>
    <row r="24" spans="1:12" ht="12.75" customHeight="1" x14ac:dyDescent="0.2">
      <c r="A24" s="131" t="str">
        <f>System10!A26</f>
        <v>Objednávacie kódy, ceny:</v>
      </c>
      <c r="B24" s="8"/>
      <c r="C24" s="8"/>
      <c r="D24" s="8"/>
      <c r="E24" s="8"/>
      <c r="F24" s="6"/>
      <c r="G24" s="143">
        <f>profil!C15</f>
        <v>0</v>
      </c>
      <c r="H24" s="6" t="s">
        <v>57</v>
      </c>
      <c r="L24" s="6"/>
    </row>
    <row r="25" spans="1:12" s="82" customFormat="1" ht="12.75" customHeight="1" x14ac:dyDescent="0.2">
      <c r="A25" s="80"/>
      <c r="B25" s="81" t="str">
        <f>+System10!B27</f>
        <v>kód</v>
      </c>
      <c r="C25" s="81" t="str">
        <f>+System10!C27</f>
        <v>názov</v>
      </c>
      <c r="D25" s="81" t="str">
        <f>+System10!D27</f>
        <v>ks</v>
      </c>
      <c r="E25" s="81" t="str">
        <f>+System10!E27</f>
        <v>cena/ks</v>
      </c>
      <c r="F25" s="18" t="str">
        <f>+System10!F27</f>
        <v>cena celkom</v>
      </c>
      <c r="G25" s="18" t="str">
        <f>+System10!G27</f>
        <v>celkom netto:</v>
      </c>
      <c r="H25" s="18"/>
      <c r="I25" s="18" t="str">
        <f>texty!A29</f>
        <v>Poznámka:</v>
      </c>
      <c r="K25" s="18"/>
      <c r="L25" s="18"/>
    </row>
    <row r="26" spans="1:12" ht="12.75" customHeight="1" x14ac:dyDescent="0.2">
      <c r="A26" s="7" t="str">
        <f>texty!A106</f>
        <v>Horný profil:</v>
      </c>
      <c r="B26" s="8" t="e">
        <f>+VLOOKUP(L6,data!$C$196:$D$259,2,0)</f>
        <v>#N/A</v>
      </c>
      <c r="C26" s="25" t="e">
        <f>+VLOOKUP(B26,cennik!$A:$G,2,FALSE)</f>
        <v>#N/A</v>
      </c>
      <c r="D26" s="17" t="e">
        <f>IF(B26="N/A",0,1)</f>
        <v>#N/A</v>
      </c>
      <c r="E26" s="91" t="e">
        <f>+VLOOKUP(B26,cennik!$A:$G,3,FALSE)</f>
        <v>#N/A</v>
      </c>
      <c r="F26" s="91" t="e">
        <f t="shared" ref="F26:F32" si="0">+E26*D26</f>
        <v>#N/A</v>
      </c>
      <c r="G26" s="92" t="e">
        <f t="shared" ref="G26:G32" si="1">+F26*(100-$G$24)/100</f>
        <v>#N/A</v>
      </c>
      <c r="H26" s="6" t="str">
        <f>cennik!$B$2</f>
        <v>EUR</v>
      </c>
      <c r="I26" s="469" t="str">
        <f>IFERROR(IF((VLOOKUP(B26,cennik!A:L,12,0))="O",texty!$A$250,""),"")</f>
        <v/>
      </c>
      <c r="J26" s="191" t="e">
        <f>IF(D26&gt;0,IF(VLOOKUP(B26,cennik!A:L,12,FALSE)="O",1,""),"")</f>
        <v>#N/A</v>
      </c>
      <c r="K26" s="191"/>
      <c r="L26" s="6"/>
    </row>
    <row r="27" spans="1:12" ht="12.75" customHeight="1" x14ac:dyDescent="0.2">
      <c r="A27" s="7" t="str">
        <f>texty!A107</f>
        <v>spodný profil:</v>
      </c>
      <c r="B27" s="16" t="e">
        <f>+VLOOKUP(N6,data!$C$4:$D$103,2,0)</f>
        <v>#N/A</v>
      </c>
      <c r="C27" s="25" t="e">
        <f>IF($B$27=data!$D$64,texty!$A$239,+VLOOKUP($B$27,cennik!$A:$G,2,FALSE))</f>
        <v>#N/A</v>
      </c>
      <c r="D27" s="17">
        <v>1</v>
      </c>
      <c r="E27" s="91" t="e">
        <f>IF(B27=data!$D$73,0,+VLOOKUP(B27,cennik!$A:$G,3,FALSE))</f>
        <v>#N/A</v>
      </c>
      <c r="F27" s="91" t="e">
        <f t="shared" si="0"/>
        <v>#N/A</v>
      </c>
      <c r="G27" s="92" t="e">
        <f t="shared" si="1"/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  <c r="K27" s="191"/>
      <c r="L27" s="6"/>
    </row>
    <row r="28" spans="1:12" ht="12.75" customHeight="1" x14ac:dyDescent="0.2">
      <c r="A28" s="422" t="str">
        <f>texty!A83</f>
        <v>krycí profil (maska):</v>
      </c>
      <c r="B28" s="16" t="e">
        <f>+VLOOKUP(N6,data!$C$105:$D$195,2,0)</f>
        <v>#N/A</v>
      </c>
      <c r="C28" s="25" t="e">
        <f>IF($B$28=data!$D$64,texty!$A$239,+VLOOKUP($B$28,cennik!$A:$G,2,FALSE))</f>
        <v>#N/A</v>
      </c>
      <c r="D28" s="17">
        <v>1</v>
      </c>
      <c r="E28" s="91" t="e">
        <f>IF(B28=data!$D$73,0,+VLOOKUP(B28,cennik!$A:$G,3,FALSE))</f>
        <v>#N/A</v>
      </c>
      <c r="F28" s="91" t="e">
        <f t="shared" si="0"/>
        <v>#N/A</v>
      </c>
      <c r="G28" s="92" t="e">
        <f t="shared" si="1"/>
        <v>#N/A</v>
      </c>
      <c r="H28" s="6" t="str">
        <f>cennik!$B$2</f>
        <v>EUR</v>
      </c>
      <c r="I28" s="469" t="str">
        <f>IFERROR(IF((VLOOKUP(B28,cennik!A:L,12,0))="O",texty!$A$250,""),"")</f>
        <v/>
      </c>
      <c r="J28" s="191" t="e">
        <f>IF(D28&gt;0,IF(VLOOKUP(B28,cennik!A:L,12,FALSE)="O",1,""),"")</f>
        <v>#N/A</v>
      </c>
      <c r="K28" s="191"/>
      <c r="L28" s="6"/>
    </row>
    <row r="29" spans="1:12" ht="12.75" customHeight="1" x14ac:dyDescent="0.2">
      <c r="A29" s="7" t="str">
        <f>texty!A109</f>
        <v>horný vozík</v>
      </c>
      <c r="B29" s="16">
        <v>228023</v>
      </c>
      <c r="C29" s="38" t="str">
        <f>+VLOOKUP(B29,cennik!$A:$G,2,FALSE)</f>
        <v>SEVROLL 10196 Focus horný vozík 18mm 2ks</v>
      </c>
      <c r="D29" s="17">
        <f>IF((D42+D43)&gt;D4,0,D4-(D42+D43))</f>
        <v>0</v>
      </c>
      <c r="E29" s="207">
        <f>+VLOOKUP(B29,cennik!$A:$G,3,FALSE)</f>
        <v>3.9014199999999999</v>
      </c>
      <c r="F29" s="105">
        <f t="shared" si="0"/>
        <v>0</v>
      </c>
      <c r="G29" s="104">
        <f t="shared" si="1"/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K29" s="191"/>
      <c r="L29" s="6"/>
    </row>
    <row r="30" spans="1:12" ht="12.75" customHeight="1" x14ac:dyDescent="0.2">
      <c r="A30" s="7" t="str">
        <f>texty!A110</f>
        <v>spodný vozík</v>
      </c>
      <c r="B30" s="16">
        <f>IF(F4=M65,362316,229440)</f>
        <v>229440</v>
      </c>
      <c r="C30" s="25" t="str">
        <f>+VLOOKUP(B30,cennik!$A:$G,2,FALSE)</f>
        <v>SEVROLL 10198 spodný vozík WD 18C HI-TEC - 2ks</v>
      </c>
      <c r="D30" s="17">
        <f>+D4</f>
        <v>0</v>
      </c>
      <c r="E30" s="207">
        <f>+VLOOKUP(B30,cennik!$A:$G,3,FALSE)</f>
        <v>5.1863999999999999</v>
      </c>
      <c r="F30" s="105">
        <f t="shared" si="0"/>
        <v>0</v>
      </c>
      <c r="G30" s="104">
        <f t="shared" si="1"/>
        <v>0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K30" s="191"/>
      <c r="L30" s="6"/>
    </row>
    <row r="31" spans="1:12" ht="12.75" customHeight="1" x14ac:dyDescent="0.2">
      <c r="A31" s="7" t="str">
        <f>texty!A89</f>
        <v>dorazový kartáč</v>
      </c>
      <c r="B31" s="16" t="e">
        <f>+VLOOKUP(L48,data!$C$790:$D$810,2,0)</f>
        <v>#N/A</v>
      </c>
      <c r="C31" s="38" t="e">
        <f>+VLOOKUP(B31,cennik!$A:$G,2,FALSE)</f>
        <v>#N/A</v>
      </c>
      <c r="D31" s="17">
        <f>CEILING((B4*D4*2/1000),1)</f>
        <v>0</v>
      </c>
      <c r="E31" s="207" t="e">
        <f>+VLOOKUP(B31,cennik!$A:$G,3,FALSE)</f>
        <v>#N/A</v>
      </c>
      <c r="F31" s="105" t="e">
        <f t="shared" si="0"/>
        <v>#N/A</v>
      </c>
      <c r="G31" s="104" t="e">
        <f t="shared" si="1"/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K31" s="191"/>
      <c r="L31" s="6"/>
    </row>
    <row r="32" spans="1:12" ht="12.75" customHeight="1" x14ac:dyDescent="0.2">
      <c r="A32" s="7" t="str">
        <f>texty!A113</f>
        <v>úchytková lišta</v>
      </c>
      <c r="B32" s="16" t="e">
        <f>+VLOOKUP(P7,data!$C$759:$D$763,2,0)</f>
        <v>#N/A</v>
      </c>
      <c r="C32" s="38" t="e">
        <f>+VLOOKUP(B32,cennik!$A:$G,2,FALSE)</f>
        <v>#N/A</v>
      </c>
      <c r="D32" s="17">
        <f>IF(B11&lt;=1347,D4*2/2,D4*2)</f>
        <v>0</v>
      </c>
      <c r="E32" s="207" t="e">
        <f>+VLOOKUP(B32,cennik!$A:$G,3,FALSE)</f>
        <v>#N/A</v>
      </c>
      <c r="F32" s="105" t="e">
        <f t="shared" si="0"/>
        <v>#N/A</v>
      </c>
      <c r="G32" s="104" t="e">
        <f t="shared" si="1"/>
        <v>#N/A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K32" s="191"/>
      <c r="L32" s="6"/>
    </row>
    <row r="33" spans="1:12" ht="12.75" customHeight="1" x14ac:dyDescent="0.2">
      <c r="A33" s="7"/>
      <c r="B33" s="16"/>
      <c r="C33" s="25"/>
      <c r="D33" s="17"/>
      <c r="E33" s="91"/>
      <c r="F33" s="105"/>
      <c r="G33" s="104"/>
      <c r="H33" s="6"/>
      <c r="I33" s="469" t="str">
        <f>IFERROR(IF((VLOOKUP(B33,cennik!A:L,12,0))="O",texty!$A$250,""),"")</f>
        <v/>
      </c>
      <c r="K33" s="191"/>
      <c r="L33" s="6"/>
    </row>
    <row r="34" spans="1:12" s="128" customFormat="1" ht="12.75" customHeight="1" x14ac:dyDescent="0.2">
      <c r="A34" s="14" t="str">
        <f>texty!$A$66</f>
        <v>Voliteľné príslušenstvo:</v>
      </c>
      <c r="B34" s="123"/>
      <c r="C34" s="124"/>
      <c r="D34" s="477" t="str">
        <f>System10!D41</f>
        <v>zadajte počet:</v>
      </c>
      <c r="E34" s="132"/>
      <c r="F34" s="125"/>
      <c r="G34" s="126"/>
      <c r="H34" s="127"/>
      <c r="I34" s="469" t="str">
        <f>IFERROR(IF((VLOOKUP(B34,cennik!A:L,12,0))="O",texty!$A$250,""),"")</f>
        <v/>
      </c>
      <c r="K34" s="191"/>
      <c r="L34" s="127"/>
    </row>
    <row r="35" spans="1:12" s="128" customFormat="1" ht="12.75" customHeight="1" x14ac:dyDescent="0.2">
      <c r="A35" s="7" t="str">
        <f>texty!$A$88</f>
        <v>pozicionér do horného vedenia</v>
      </c>
      <c r="B35" s="187">
        <v>298035</v>
      </c>
      <c r="C35" s="38" t="str">
        <f>+VLOOKUP(B35,cennik!$A:$G,2,FALSE)</f>
        <v>SEVROLL 20326 Fix pozicionér pre horný vozík transparentný</v>
      </c>
      <c r="D35" s="29"/>
      <c r="E35" s="207">
        <f>+VLOOKUP(B35,cennik!$A:$G,3,FALSE)</f>
        <v>1.0837300000000001</v>
      </c>
      <c r="F35" s="105">
        <f>+E35*D35</f>
        <v>0</v>
      </c>
      <c r="G35" s="104">
        <f>+F35*(100-$G$24)/100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191"/>
      <c r="L35" s="127"/>
    </row>
    <row r="36" spans="1:12" ht="12.75" customHeight="1" x14ac:dyDescent="0.2">
      <c r="A36" s="7" t="str">
        <f>texty!$A$111</f>
        <v xml:space="preserve">pozicionér </v>
      </c>
      <c r="B36" s="16">
        <f>IF(F4="Gemini",387424,89063)</f>
        <v>89063</v>
      </c>
      <c r="C36" s="38" t="str">
        <f>+VLOOKUP(B36,cennik!$A:$G,2,FALSE)</f>
        <v>SEVROLL 20080 pozicionér spodného vozíka HI-TEC</v>
      </c>
      <c r="D36" s="29"/>
      <c r="E36" s="207">
        <f>+VLOOKUP(B36,cennik!$A:$G,3,FALSE)</f>
        <v>0.30964000000000003</v>
      </c>
      <c r="F36" s="105">
        <f t="shared" ref="F36:F58" si="2">+E36*D36</f>
        <v>0</v>
      </c>
      <c r="G36" s="104">
        <f t="shared" ref="G36:G58" si="3">+F36*(100-$G$24)/100</f>
        <v>0</v>
      </c>
      <c r="H36" s="6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K36" s="191"/>
      <c r="L36" s="6"/>
    </row>
    <row r="37" spans="1:12" ht="12.75" customHeight="1" x14ac:dyDescent="0.2">
      <c r="A37" s="422" t="str">
        <f>texty!$A$228</f>
        <v> Tlmič dorazu MINI do 25 kg (pár)</v>
      </c>
      <c r="B37" s="16">
        <v>318662</v>
      </c>
      <c r="C37" s="25" t="str">
        <f>+VLOOKUP(B37,cennik!$A:$G,2,FALSE)</f>
        <v>SEVROLL 20368-SV tlmič dorazu Mini SV25 (14-25kg)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3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K37" s="191"/>
      <c r="L37" s="6"/>
    </row>
    <row r="38" spans="1:12" ht="12.75" customHeight="1" x14ac:dyDescent="0.2">
      <c r="A38" s="422" t="str">
        <f>texty!$A$229</f>
        <v> Tlmič dorazu MINI do 40 kg (pár)</v>
      </c>
      <c r="B38" s="24">
        <v>283956</v>
      </c>
      <c r="C38" s="25" t="str">
        <f>+VLOOKUP(B38,cennik!$A:$G,2,FALSE)</f>
        <v>SEVROLL 20258-SV tlmič dorazu Mini SV40 (25 - 40kg)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3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K38" s="191"/>
      <c r="L38" s="6"/>
    </row>
    <row r="39" spans="1:12" ht="12.75" customHeight="1" x14ac:dyDescent="0.2">
      <c r="A39" s="422" t="str">
        <f>texty!$A$230</f>
        <v> Tlmič dorazu MINI do 60 kg (pár)</v>
      </c>
      <c r="B39" s="24">
        <v>351743</v>
      </c>
      <c r="C39" s="25" t="str">
        <f>+VLOOKUP(B39,cennik!$A:$G,2,FALSE)</f>
        <v>SEVROLL 20339-SV tlmič dorazu Mini SV60 (40 - 60kg)</v>
      </c>
      <c r="D39" s="373"/>
      <c r="E39" s="91">
        <f>+VLOOKUP(B39,cennik!$A:$G,3,FALSE)</f>
        <v>22.75825</v>
      </c>
      <c r="F39" s="96">
        <f>+CEILING(D39,1)*E39</f>
        <v>0</v>
      </c>
      <c r="G39" s="104">
        <f t="shared" si="3"/>
        <v>0</v>
      </c>
      <c r="H39" s="24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K39" s="191"/>
      <c r="L39" s="3"/>
    </row>
    <row r="40" spans="1:12" ht="12.75" customHeight="1" x14ac:dyDescent="0.2">
      <c r="A40" s="422" t="str">
        <f>texty!$A$231</f>
        <v> Tlmič pre stredné krídlo do 25 kg</v>
      </c>
      <c r="B40" s="24">
        <v>318663</v>
      </c>
      <c r="C40" s="25" t="str">
        <f>+VLOOKUP(B40,cennik!$A:$G,2,FALSE)</f>
        <v>SEVROLL 20363-SV tlmič Central 10/18mm obojstranný 25kg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3"/>
        <v>0</v>
      </c>
      <c r="H40" s="24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K40" s="191"/>
      <c r="L40" s="3"/>
    </row>
    <row r="41" spans="1:12" ht="12.75" customHeight="1" x14ac:dyDescent="0.2">
      <c r="A41" s="422" t="str">
        <f>texty!$A$232</f>
        <v> Tlmič pre stredné krídlo do 40 kg</v>
      </c>
      <c r="B41" s="24">
        <v>283955</v>
      </c>
      <c r="C41" s="25" t="str">
        <f>+VLOOKUP(B41,cennik!$A:$G,2,FALSE)</f>
        <v>SEVROLL 20319-SV tlmič Central 10/18mm obojstranný 25-40kg</v>
      </c>
      <c r="D41" s="373"/>
      <c r="E41" s="91">
        <f>+VLOOKUP(B41,cennik!$A:$G,3,FALSE)</f>
        <v>48.741869999999999</v>
      </c>
      <c r="F41" s="96">
        <f>+CEILING(D41,1)*E41</f>
        <v>0</v>
      </c>
      <c r="G41" s="104">
        <f t="shared" si="3"/>
        <v>0</v>
      </c>
      <c r="H41" s="24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K41" s="191"/>
      <c r="L41" s="3"/>
    </row>
    <row r="42" spans="1:12" ht="12.75" customHeight="1" x14ac:dyDescent="0.2">
      <c r="A42" s="7" t="str">
        <f>texty!$A$97</f>
        <v>tlmič dorazu (pár) 25 kg</v>
      </c>
      <c r="B42" s="24">
        <v>227185</v>
      </c>
      <c r="C42" s="38" t="str">
        <f>+VLOOKUP(B42,cennik!$A:$G,2,FALSE)</f>
        <v>K-SEVROLL tlmič dorazu 10/18mm 14-25kg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K42" s="191"/>
      <c r="L42" s="3"/>
    </row>
    <row r="43" spans="1:12" ht="12.75" customHeight="1" x14ac:dyDescent="0.2">
      <c r="A43" s="7" t="str">
        <f>texty!$A$98</f>
        <v>tlmič dorazu (pár) 50 kg</v>
      </c>
      <c r="B43" s="24">
        <v>227187</v>
      </c>
      <c r="C43" s="38" t="str">
        <f>+VLOOKUP(B43,cennik!$A:$G,2,FALSE)</f>
        <v>K-SEVROLL tlmič dorazu 10/18mm 25-50kg L+P</v>
      </c>
      <c r="D43" s="29"/>
      <c r="E43" s="207">
        <f>+VLOOKUP(B43,cennik!$A:$G,3,FALSE)</f>
        <v>0</v>
      </c>
      <c r="F43" s="105">
        <f>+E43*D43</f>
        <v>0</v>
      </c>
      <c r="G43" s="104">
        <f t="shared" si="3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K43" s="191"/>
      <c r="L43" s="3"/>
    </row>
    <row r="44" spans="1:12" ht="12.75" customHeight="1" x14ac:dyDescent="0.2">
      <c r="A44" s="7" t="str">
        <f>texty!$A$196</f>
        <v>Spona dorazovej kefky</v>
      </c>
      <c r="B44" s="16">
        <v>223569</v>
      </c>
      <c r="C44" s="38" t="str">
        <f>+VLOOKUP(B44,cennik!$A:$G,2,FALSE)</f>
        <v>SEVROLL 20223 spona dorazovej kefky</v>
      </c>
      <c r="D44" s="29"/>
      <c r="E44" s="207">
        <f>+VLOOKUP(B44,cennik!$A:$G,3,FALSE)</f>
        <v>7.1209999999999996E-2</v>
      </c>
      <c r="F44" s="105">
        <f t="shared" si="2"/>
        <v>0</v>
      </c>
      <c r="G44" s="104">
        <f t="shared" si="3"/>
        <v>0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191"/>
      <c r="L44" s="3"/>
    </row>
    <row r="45" spans="1:12" ht="12.75" customHeight="1" x14ac:dyDescent="0.2">
      <c r="A45" s="145" t="str">
        <f>texty!$A$114</f>
        <v>spojovací profil H18-3metre</v>
      </c>
      <c r="B45" s="16" t="e">
        <f>+VLOOKUP($P$7,data!$C$537:$D$547,2,0)</f>
        <v>#N/A</v>
      </c>
      <c r="C45" s="38" t="e">
        <f>+VLOOKUP(B45,cennik!$A:$G,2,FALSE)</f>
        <v>#N/A</v>
      </c>
      <c r="D45" s="29"/>
      <c r="E45" s="207" t="e">
        <f>+VLOOKUP(B45,cennik!$A:$G,3,FALSE)</f>
        <v>#N/A</v>
      </c>
      <c r="F45" s="105" t="e">
        <f t="shared" si="2"/>
        <v>#N/A</v>
      </c>
      <c r="G45" s="104" t="e">
        <f t="shared" si="3"/>
        <v>#N/A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  <c r="L45" s="3"/>
    </row>
    <row r="46" spans="1:12" ht="12.75" customHeight="1" x14ac:dyDescent="0.2">
      <c r="A46" s="145" t="str">
        <f>texty!$A$115</f>
        <v>spojovací T profil - 3metre /s drážkou/</v>
      </c>
      <c r="B46" s="16" t="e">
        <f>+VLOOKUP($P$7,data!$C$548:$D$557,2,0)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2"/>
        <v>#N/A</v>
      </c>
      <c r="G46" s="104" t="e">
        <f t="shared" si="3"/>
        <v>#N/A</v>
      </c>
      <c r="H46" s="24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  <c r="L46" s="6"/>
    </row>
    <row r="47" spans="1:12" ht="12.75" customHeight="1" x14ac:dyDescent="0.2">
      <c r="A47" s="145" t="str">
        <f>texty!$A$116</f>
        <v>spojovací T profil - 3metre /s lemom/</v>
      </c>
      <c r="B47" s="16" t="e">
        <f>+VLOOKUP($P$7,data!$C$558:$D$567,2,0)</f>
        <v>#N/A</v>
      </c>
      <c r="C47" s="38" t="e">
        <f>IF(B47=data!$D$64,texty!$A$239,+VLOOKUP(B47,cennik!$A$3:$G$907,2,FALSE))</f>
        <v>#N/A</v>
      </c>
      <c r="D47" s="29"/>
      <c r="E47" s="91" t="e">
        <f>IF(B47=data!$D$73,0,+VLOOKUP(B47,cennik!$A$3:$G$907,3,FALSE))</f>
        <v>#N/A</v>
      </c>
      <c r="F47" s="91" t="e">
        <f t="shared" si="2"/>
        <v>#N/A</v>
      </c>
      <c r="G47" s="104" t="e">
        <f t="shared" si="3"/>
        <v>#N/A</v>
      </c>
      <c r="H47" s="24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  <c r="L47" s="5">
        <v>4.8</v>
      </c>
    </row>
    <row r="48" spans="1:12" ht="12.75" customHeight="1" x14ac:dyDescent="0.2">
      <c r="A48" s="145" t="str">
        <f>texty!$A$117</f>
        <v>"U" profil na DTD 18mm - 3 metre /hladký/</v>
      </c>
      <c r="B48" s="6" t="e">
        <f>+VLOOKUP($P$7,data!$C$568:$D$578,2,0)</f>
        <v>#N/A</v>
      </c>
      <c r="C48" s="38" t="e">
        <f>+VLOOKUP(B48,cennik!$A:$G,2,FALSE)</f>
        <v>#N/A</v>
      </c>
      <c r="D48" s="29"/>
      <c r="E48" s="207" t="e">
        <f>+VLOOKUP(B48,cennik!$A:$G,3,FALSE)</f>
        <v>#N/A</v>
      </c>
      <c r="F48" s="105" t="e">
        <f t="shared" si="2"/>
        <v>#N/A</v>
      </c>
      <c r="G48" s="104" t="e">
        <f t="shared" si="3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  <c r="L48" s="5" t="str">
        <f>CONCATENATE(L47,"-",E4)</f>
        <v>4,8-</v>
      </c>
    </row>
    <row r="49" spans="1:14" ht="12.75" customHeight="1" x14ac:dyDescent="0.2">
      <c r="A49" s="145" t="str">
        <f>texty!$A$118</f>
        <v>"U" profil na DTD 18mm - 3 metre /lem/</v>
      </c>
      <c r="B49" s="16" t="e">
        <f>+VLOOKUP($P$7,data!$C$578:$D$588,2,0)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 t="shared" si="2"/>
        <v>#N/A</v>
      </c>
      <c r="G49" s="104" t="e">
        <f t="shared" si="3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  <c r="L49" s="6"/>
    </row>
    <row r="50" spans="1:14" ht="12.75" customHeight="1" x14ac:dyDescent="0.2">
      <c r="A50" s="145" t="str">
        <f>texty!$A$119</f>
        <v>uholník mini 11x17mm - 1,7m</v>
      </c>
      <c r="B50" s="6" t="e">
        <f>+VLOOKUP($P$7,data!$C$589:$D$599,2,0)</f>
        <v>#N/A</v>
      </c>
      <c r="C50" s="38" t="e">
        <f>IF(B50=data!$D$64,texty!$A$239,+VLOOKUP(B50,cennik!$A:$G,2,FALSE))</f>
        <v>#N/A</v>
      </c>
      <c r="D50" s="29"/>
      <c r="E50" s="91" t="e">
        <f>IF(B50=data!$D$73,0,+VLOOKUP(B50,cennik!$A:$G,3,FALSE))</f>
        <v>#N/A</v>
      </c>
      <c r="F50" s="91" t="e">
        <f>+E50*D50</f>
        <v>#N/A</v>
      </c>
      <c r="G50" s="104" t="e">
        <f t="shared" si="3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  <c r="L50" s="6"/>
    </row>
    <row r="51" spans="1:14" ht="12.75" customHeight="1" x14ac:dyDescent="0.2">
      <c r="A51" s="145" t="str">
        <f>texty!$A$120</f>
        <v>uholník mini 11x17mm - 2,35m</v>
      </c>
      <c r="B51" s="6" t="e">
        <f>+VLOOKUP($P$7,data!$C$600:$D$610,2,0)</f>
        <v>#N/A</v>
      </c>
      <c r="C51" s="38" t="e">
        <f>IF(B51=data!$D$64,texty!$A$239,+VLOOKUP(B51,cennik!$A:$G,2,FALSE))</f>
        <v>#N/A</v>
      </c>
      <c r="D51" s="29"/>
      <c r="E51" s="91" t="e">
        <f>IF(B51=data!$D$73,0,+VLOOKUP(B51,cennik!$A:$G,3,FALSE))</f>
        <v>#N/A</v>
      </c>
      <c r="F51" s="91" t="e">
        <f>+E51*D51</f>
        <v>#N/A</v>
      </c>
      <c r="G51" s="104" t="e">
        <f t="shared" si="3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  <c r="L51" s="6"/>
    </row>
    <row r="52" spans="1:14" ht="12.75" customHeight="1" x14ac:dyDescent="0.2">
      <c r="A52" s="145" t="str">
        <f>texty!$A$121</f>
        <v>uholník mini 11x17mm - 3m</v>
      </c>
      <c r="B52" s="15" t="e">
        <f>+VLOOKUP($P$7,data!$C$611:$D$621,2,0)</f>
        <v>#N/A</v>
      </c>
      <c r="C52" s="38" t="e">
        <f>IF(B52=data!$D$64,texty!$A$239,+VLOOKUP(B52,cennik!$A:$G,2,FALSE))</f>
        <v>#N/A</v>
      </c>
      <c r="D52" s="29"/>
      <c r="E52" s="91" t="e">
        <f>IF(B52=data!$D$73,0,+VLOOKUP(B52,cennik!$A:$G,3,FALSE))</f>
        <v>#N/A</v>
      </c>
      <c r="F52" s="91" t="e">
        <f>+E52*D52</f>
        <v>#N/A</v>
      </c>
      <c r="G52" s="104" t="e">
        <f t="shared" si="3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  <c r="L52" s="6"/>
    </row>
    <row r="53" spans="1:14" ht="12.75" customHeight="1" x14ac:dyDescent="0.2">
      <c r="A53" s="145" t="str">
        <f>texty!$A$122</f>
        <v>uholník K2 19x18mm - 1,7m</v>
      </c>
      <c r="B53" s="24" t="e">
        <f>+VLOOKUP($P$7,data!$C$622:$D$631,2,0)</f>
        <v>#N/A</v>
      </c>
      <c r="C53" s="38" t="e">
        <f>IF(B53=data!$D$64,texty!$A$239,+VLOOKUP(B53,cennik!$A$3:$G$907,2,FALSE))</f>
        <v>#N/A</v>
      </c>
      <c r="D53" s="29"/>
      <c r="E53" s="91" t="e">
        <f>IF(B53=data!$D$73,0,+VLOOKUP(B53,cennik!$A$3:$G$907,3,FALSE))</f>
        <v>#N/A</v>
      </c>
      <c r="F53" s="91" t="e">
        <f>+E53*D53</f>
        <v>#N/A</v>
      </c>
      <c r="G53" s="104" t="e">
        <f t="shared" si="3"/>
        <v>#N/A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K53" s="191"/>
      <c r="L53" s="6"/>
    </row>
    <row r="54" spans="1:14" ht="12.75" customHeight="1" x14ac:dyDescent="0.2">
      <c r="A54" s="145" t="str">
        <f>texty!$A$123</f>
        <v>uholník K2 19x18mm - 2,35m</v>
      </c>
      <c r="B54" s="16" t="e">
        <f>+VLOOKUP($P$7,data!$C$632:$D$641,2,0)</f>
        <v>#N/A</v>
      </c>
      <c r="C54" s="38" t="e">
        <f>IF(B54=data!$D$64,texty!$A$239,+VLOOKUP(B54,cennik!$A$3:$G$907,2,FALSE))</f>
        <v>#N/A</v>
      </c>
      <c r="D54" s="30"/>
      <c r="E54" s="91" t="e">
        <f>IF(B54=data!$D$73,0,+VLOOKUP(B54,cennik!$A$3:$G$907,3,FALSE))</f>
        <v>#N/A</v>
      </c>
      <c r="F54" s="91" t="e">
        <f t="shared" si="2"/>
        <v>#N/A</v>
      </c>
      <c r="G54" s="104" t="e">
        <f t="shared" si="3"/>
        <v>#N/A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K54" s="191"/>
      <c r="L54" s="6"/>
    </row>
    <row r="55" spans="1:14" ht="12.75" customHeight="1" x14ac:dyDescent="0.2">
      <c r="A55" s="145" t="str">
        <f>texty!$A$124</f>
        <v>uholník K2 19x18mm - 3,00m</v>
      </c>
      <c r="B55" s="16" t="e">
        <f>+VLOOKUP($P$7,data!$C$642:$D$651,2,0)</f>
        <v>#N/A</v>
      </c>
      <c r="C55" s="38" t="e">
        <f>IF(B55=data!$D$64,texty!$A$239,+VLOOKUP(B55,cennik!$A$3:$G$907,2,FALSE))</f>
        <v>#N/A</v>
      </c>
      <c r="D55" s="30"/>
      <c r="E55" s="91" t="e">
        <f>IF(B55=data!$D$73,0,+VLOOKUP(B55,cennik!$A$3:$G$907,3,FALSE))</f>
        <v>#N/A</v>
      </c>
      <c r="F55" s="91" t="e">
        <f t="shared" si="2"/>
        <v>#N/A</v>
      </c>
      <c r="G55" s="104" t="e">
        <f t="shared" si="3"/>
        <v>#N/A</v>
      </c>
      <c r="H55" s="6" t="str">
        <f>cennik!$B$2</f>
        <v>EUR</v>
      </c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K55" s="191"/>
      <c r="L55" s="6"/>
    </row>
    <row r="56" spans="1:14" ht="12.75" customHeight="1" x14ac:dyDescent="0.2">
      <c r="A56" s="145" t="str">
        <f>texty!$A$241</f>
        <v>klínok pre dilatáciu výplne 16mm</v>
      </c>
      <c r="B56" s="16">
        <v>308631</v>
      </c>
      <c r="C56" s="38" t="str">
        <f>+VLOOKUP(B56,cennik!$A:$G,2,FALSE)</f>
        <v>SEVROLL 20252 klin pre lamino hrúbka 2mm (100 ks)</v>
      </c>
      <c r="D56" s="29"/>
      <c r="E56" s="207">
        <f>+VLOOKUP(B56,cennik!$A:$G,3,FALSE)</f>
        <v>8.7214100000000006</v>
      </c>
      <c r="F56" s="105">
        <f t="shared" si="2"/>
        <v>0</v>
      </c>
      <c r="G56" s="104">
        <f t="shared" si="3"/>
        <v>0</v>
      </c>
      <c r="H56" s="6" t="str">
        <f>cennik!$B$2</f>
        <v>EUR</v>
      </c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K56" s="191"/>
      <c r="L56" s="6"/>
    </row>
    <row r="57" spans="1:14" ht="12.75" customHeight="1" x14ac:dyDescent="0.2">
      <c r="A57" s="422" t="str">
        <f>texty!$A$240</f>
        <v>zámok posuvných dverí</v>
      </c>
      <c r="B57" s="24">
        <v>216363</v>
      </c>
      <c r="C57" s="38" t="str">
        <f>+VLOOKUP(B57,cennik!$A:$G,2,FALSE)</f>
        <v>SEVROLL 20356 zámok na posuvné dvere 10/18mm</v>
      </c>
      <c r="D57" s="29"/>
      <c r="E57" s="207">
        <f>+VLOOKUP(B57,cennik!$A:$G,3,FALSE)</f>
        <v>15.72176</v>
      </c>
      <c r="F57" s="105">
        <f t="shared" si="2"/>
        <v>0</v>
      </c>
      <c r="G57" s="104">
        <f t="shared" si="3"/>
        <v>0</v>
      </c>
      <c r="H57" s="6" t="str">
        <f>cennik!$B$2</f>
        <v>EUR</v>
      </c>
      <c r="I57" s="469" t="str">
        <f>IFERROR(IF((VLOOKUP(B57,cennik!A:L,12,0))="O",texty!$A$250,""),"")</f>
        <v/>
      </c>
      <c r="J57" s="191" t="str">
        <f>IF(D57&gt;0,IF(VLOOKUP(B57,cennik!A:L,12,FALSE)="O",1,""),"")</f>
        <v/>
      </c>
      <c r="K57" s="191"/>
      <c r="L57" s="6"/>
    </row>
    <row r="58" spans="1:14" ht="12.75" customHeight="1" x14ac:dyDescent="0.2">
      <c r="A58" s="7" t="str">
        <f>texty!$A$112</f>
        <v>protiprachový kartáč samolepiaci</v>
      </c>
      <c r="B58" s="24">
        <v>308639</v>
      </c>
      <c r="C58" s="25" t="str">
        <f>+VLOOKUP(B58,cennik!$A:$G,2,FALSE)</f>
        <v>SEVROLL protiprachový kartáč samolep. 6,7x13mm</v>
      </c>
      <c r="D58" s="29"/>
      <c r="E58" s="207">
        <f>+VLOOKUP(B58,cennik!$A:$G,3,FALSE)</f>
        <v>0.29721999999999998</v>
      </c>
      <c r="F58" s="105">
        <f t="shared" si="2"/>
        <v>0</v>
      </c>
      <c r="G58" s="104">
        <f t="shared" si="3"/>
        <v>0</v>
      </c>
      <c r="H58" s="6" t="str">
        <f>cennik!$B$2</f>
        <v>EUR</v>
      </c>
      <c r="I58" s="469" t="str">
        <f>IFERROR(IF((VLOOKUP(B58,cennik!A:L,12,0))="O",texty!$A$250,""),"")</f>
        <v/>
      </c>
      <c r="J58" s="191" t="str">
        <f>IF(D58&gt;0,IF(VLOOKUP(B58,cennik!A:L,12,FALSE)="O",1,""),"")</f>
        <v/>
      </c>
      <c r="K58" s="191"/>
      <c r="L58" s="6"/>
    </row>
    <row r="59" spans="1:14" ht="12.75" customHeight="1" x14ac:dyDescent="0.2">
      <c r="A59" s="145"/>
      <c r="B59" s="145"/>
      <c r="C59" s="145"/>
      <c r="D59" s="145"/>
      <c r="E59" s="145"/>
      <c r="F59" s="145"/>
      <c r="G59" s="145"/>
      <c r="H59" s="145"/>
      <c r="I59" s="181"/>
      <c r="K59" s="191"/>
      <c r="L59" s="6"/>
    </row>
    <row r="60" spans="1:14" ht="15" x14ac:dyDescent="0.2">
      <c r="A60" s="271" t="str">
        <f>texty!$A$190</f>
        <v>Ďalšie príslušenstvo</v>
      </c>
      <c r="B60" s="272"/>
      <c r="C60" s="272"/>
      <c r="D60" s="272"/>
      <c r="E60" s="272"/>
      <c r="F60" s="272"/>
      <c r="G60" s="272"/>
      <c r="H60" s="272"/>
      <c r="I60" s="272"/>
      <c r="K60" s="134"/>
      <c r="L60" s="6"/>
    </row>
    <row r="61" spans="1:14" ht="12.75" customHeight="1" x14ac:dyDescent="0.2">
      <c r="A61" s="271" t="str">
        <f>texty!$A$244</f>
        <v>Technický nákres tohoto systému</v>
      </c>
      <c r="C61" s="73"/>
      <c r="D61" s="48" t="str">
        <f>texty!A15</f>
        <v>CELKOM  (bez DPH)</v>
      </c>
      <c r="E61" s="106"/>
      <c r="F61" s="107" t="e">
        <f>SUM(F26:F59)</f>
        <v>#N/A</v>
      </c>
      <c r="G61" s="107" t="e">
        <f>SUM(G26:G59)</f>
        <v>#N/A</v>
      </c>
      <c r="H61" s="6" t="str">
        <f>cennik!$B$2</f>
        <v>EUR</v>
      </c>
      <c r="I61" s="181"/>
      <c r="K61" s="181"/>
      <c r="L61" s="6"/>
    </row>
    <row r="62" spans="1:14" ht="12.75" customHeight="1" x14ac:dyDescent="0.2">
      <c r="A62" s="75" t="str">
        <f>System10!$A$67</f>
        <v>Vaša poznámka:</v>
      </c>
      <c r="B62" s="661"/>
      <c r="C62" s="662"/>
      <c r="D62" s="662"/>
      <c r="E62" s="662"/>
      <c r="F62" s="662"/>
      <c r="G62" s="663"/>
      <c r="H62" s="6"/>
      <c r="L62" s="6"/>
    </row>
    <row r="63" spans="1:14" ht="12.75" customHeight="1" x14ac:dyDescent="0.2">
      <c r="A63" s="659">
        <f>profil!$U$15</f>
        <v>0</v>
      </c>
      <c r="B63" s="649"/>
      <c r="C63" s="649"/>
      <c r="D63" s="649"/>
      <c r="E63" s="649"/>
      <c r="F63" s="649"/>
      <c r="G63" s="649"/>
      <c r="H63" s="649"/>
      <c r="L63" s="6"/>
    </row>
    <row r="64" spans="1:14" ht="12.75" customHeight="1" x14ac:dyDescent="0.2">
      <c r="A64" s="650" t="str">
        <f>IF(N64=1,texty!$A$215,IF(J64&gt;0,texty!$A$214,""))</f>
        <v/>
      </c>
      <c r="B64" s="650"/>
      <c r="C64" s="650"/>
      <c r="D64" s="650"/>
      <c r="E64" s="650"/>
      <c r="F64" s="650"/>
      <c r="G64" s="650"/>
      <c r="H64" s="650"/>
      <c r="J64" s="6">
        <f>SUM(K26:K59)</f>
        <v>0</v>
      </c>
      <c r="N64" s="5">
        <f>IF(ISERROR(J64),1,0)</f>
        <v>0</v>
      </c>
    </row>
    <row r="65" spans="12:13" ht="12.75" hidden="1" customHeight="1" x14ac:dyDescent="0.2">
      <c r="L65" s="5" t="str">
        <f>texty!A128</f>
        <v xml:space="preserve">strieborná </v>
      </c>
      <c r="M65" s="21" t="s">
        <v>987</v>
      </c>
    </row>
    <row r="66" spans="12:13" ht="12.75" hidden="1" customHeight="1" x14ac:dyDescent="0.2">
      <c r="L66" s="5" t="str">
        <f>texty!A130</f>
        <v>oliva</v>
      </c>
      <c r="M66" s="21" t="s">
        <v>43</v>
      </c>
    </row>
    <row r="67" spans="12:13" ht="12.75" hidden="1" customHeight="1" x14ac:dyDescent="0.2">
      <c r="L67" s="5" t="str">
        <f>data!J15</f>
        <v>biela lesk</v>
      </c>
    </row>
    <row r="68" spans="12:13" ht="12.75" hidden="1" customHeight="1" x14ac:dyDescent="0.2">
      <c r="L68" s="5" t="str">
        <f>data!J18</f>
        <v>biela mat</v>
      </c>
    </row>
    <row r="69" spans="12:13" ht="12.75" hidden="1" customHeight="1" x14ac:dyDescent="0.2">
      <c r="L69" s="5" t="str">
        <f>data!J17</f>
        <v>čierna mat</v>
      </c>
    </row>
  </sheetData>
  <sheetProtection algorithmName="SHA-512" hashValue="Q7Ho5QvGdju/w5xHubrb9/KbuaL8WCjVaKOPU3sE+DoLRs+CxNZKo7wf4wzRdaQruLKlUB/6ICdgn7ozMjF4/Q==" saltValue="xfHGbv4+1CTYv805Stm3sw==" spinCount="100000" sheet="1" objects="1" scenarios="1" selectLockedCell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18" priority="3">
      <formula>SUM($D$40:$D$41)&gt;0</formula>
    </cfRule>
  </conditionalFormatting>
  <conditionalFormatting sqref="D6">
    <cfRule type="expression" dxfId="116" priority="7">
      <formula>$D$4=4</formula>
    </cfRule>
    <cfRule type="expression" dxfId="115" priority="8">
      <formula>$D$4&lt;&gt;4</formula>
    </cfRule>
  </conditionalFormatting>
  <conditionalFormatting sqref="G4">
    <cfRule type="expression" dxfId="114" priority="6">
      <formula>$D$4=4</formula>
    </cfRule>
  </conditionalFormatting>
  <conditionalFormatting sqref="I17:I18">
    <cfRule type="expression" dxfId="113" priority="5">
      <formula>$F$4=$M$66</formula>
    </cfRule>
  </conditionalFormatting>
  <conditionalFormatting sqref="I19:I20">
    <cfRule type="expression" dxfId="112" priority="35">
      <formula>$F$4=$M$65</formula>
    </cfRule>
  </conditionalFormatting>
  <dataValidations count="7">
    <dataValidation type="list" allowBlank="1" showInputMessage="1" showErrorMessage="1" sqref="E5:E6" xr:uid="{00000000-0002-0000-16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$M$65:$M$66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9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"/>
  <cols>
    <col min="1" max="1" width="36.7109375" style="5" customWidth="1"/>
    <col min="2" max="2" width="15.7109375" style="5" customWidth="1"/>
    <col min="3" max="3" width="46.42578125" style="5" bestFit="1" customWidth="1"/>
    <col min="4" max="4" width="14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 x14ac:dyDescent="0.2">
      <c r="A2" s="523" t="s">
        <v>5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",5,".",67)</f>
        <v>katalóg kovania 2018 str. 5.67</v>
      </c>
      <c r="B3" s="420" t="str">
        <f>CONCATENATE(texty!A34," / max.         2 742 mm /")</f>
        <v>výška / max.         2 742 mm /</v>
      </c>
      <c r="C3" s="421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20" t="str">
        <f>texty!A38</f>
        <v>typ spodného vedenia</v>
      </c>
      <c r="G3" s="6"/>
      <c r="H3" s="6"/>
      <c r="L3" s="6"/>
    </row>
    <row r="4" spans="1:16" ht="18" customHeight="1" x14ac:dyDescent="0.2">
      <c r="A4" s="10" t="str">
        <f>+Faworyt!A4</f>
        <v>VNÚTORNÝ ROZMER SKRINE:</v>
      </c>
      <c r="B4" s="56"/>
      <c r="C4" s="56"/>
      <c r="D4" s="22"/>
      <c r="E4" s="22"/>
      <c r="F4" s="458"/>
      <c r="G4" s="647"/>
      <c r="H4" s="647"/>
      <c r="I4" s="647"/>
      <c r="K4" s="190"/>
      <c r="L4" s="8"/>
    </row>
    <row r="5" spans="1:16" ht="18" customHeight="1" x14ac:dyDescent="0.2">
      <c r="A5" s="10"/>
      <c r="B5" s="664" t="str">
        <f>+System10!B5</f>
        <v>vypíšte týchto 5 políčok !!! Údaje v mm</v>
      </c>
      <c r="C5" s="664"/>
      <c r="D5" s="664"/>
      <c r="E5" s="664"/>
      <c r="F5" s="471"/>
      <c r="G5" s="647"/>
      <c r="H5" s="647"/>
      <c r="I5" s="647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M6" s="23" t="str">
        <f>CONCATENATE(M5,"-",E4)</f>
        <v>1700-</v>
      </c>
      <c r="N6" s="21"/>
      <c r="O6" s="23" t="str">
        <f>CONCATENATE(O5,"-",E4,", ",F4)</f>
        <v xml:space="preserve">1700-, </v>
      </c>
    </row>
    <row r="7" spans="1:16" ht="12.75" customHeight="1" x14ac:dyDescent="0.2">
      <c r="A7" s="10" t="str">
        <f>+Faworyt!A7</f>
        <v>krídlo dverí:</v>
      </c>
      <c r="B7" s="57">
        <f>+B4-42</f>
        <v>-42</v>
      </c>
      <c r="C7" s="59" t="e">
        <f>+((C4+30*(D4-1))/D4+IF(AND(D4=4,D6=2),M1,0))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>
        <f>+E4</f>
        <v>0</v>
      </c>
    </row>
    <row r="8" spans="1:16" ht="12.75" customHeight="1" x14ac:dyDescent="0.2">
      <c r="A8" s="10" t="str">
        <f>+Faworyt!A8</f>
        <v>rozmer výplne 18mm:</v>
      </c>
      <c r="B8" s="57">
        <f>+B7-2</f>
        <v>-44</v>
      </c>
      <c r="C8" s="59" t="e">
        <f>+C7-8</f>
        <v>#DIV/0!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>1700-</v>
      </c>
      <c r="P8" s="21"/>
    </row>
    <row r="9" spans="1:16" ht="12.75" customHeight="1" x14ac:dyDescent="0.2">
      <c r="A9" s="10" t="str">
        <f>+Faworyt!A9</f>
        <v>rozmer výplne 12mm:</v>
      </c>
      <c r="B9" s="57">
        <f>+B8</f>
        <v>-44</v>
      </c>
      <c r="C9" s="59" t="e">
        <f>+C7-8</f>
        <v>#DIV/0!</v>
      </c>
      <c r="D9" s="8"/>
      <c r="E9" s="8"/>
      <c r="F9" s="8"/>
      <c r="G9" s="50"/>
      <c r="H9" s="6"/>
      <c r="L9" s="37"/>
      <c r="M9" s="36"/>
    </row>
    <row r="10" spans="1:16" ht="12.75" customHeight="1" x14ac:dyDescent="0.2">
      <c r="A10" s="10" t="str">
        <f>+Faworyt!A10</f>
        <v>rozmer zrkadla /na DTD 12mm/</v>
      </c>
      <c r="B10" s="57">
        <f>+B8-4</f>
        <v>-48</v>
      </c>
      <c r="C10" s="59" t="e">
        <f>+C9-6</f>
        <v>#DIV/0!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">
      <c r="A11" s="10" t="str">
        <f>texty!$A$51</f>
        <v>Dĺžka úchytkového profilu (+2 mm)</v>
      </c>
      <c r="B11" s="488">
        <f>B8+2</f>
        <v>-42</v>
      </c>
      <c r="C11" s="489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">
      <c r="A12" s="10"/>
      <c r="B12" s="170" t="e">
        <f>IF(B7&gt;2400,texty!A194,IF(C7&gt;700,texty!A194,""))</f>
        <v>#DIV/0!</v>
      </c>
      <c r="C12" s="493"/>
      <c r="D12" s="8"/>
      <c r="E12" s="8"/>
      <c r="F12" s="8"/>
      <c r="H12" s="40"/>
      <c r="L12" s="6"/>
    </row>
    <row r="13" spans="1:16" ht="25.5" x14ac:dyDescent="0.2">
      <c r="A13" s="635" t="str">
        <f>IF(SUM(D39:D40)&gt;0,texty!A246,"")</f>
        <v/>
      </c>
      <c r="B13" s="635"/>
      <c r="C13" s="492" t="str">
        <f>texty!A78</f>
        <v>dodatočné odpočty výšky vypočítaných výplní pri použití deliacich profilov výplne:</v>
      </c>
      <c r="D13" s="8"/>
      <c r="E13" s="8"/>
      <c r="F13" s="8"/>
      <c r="G13" s="6"/>
      <c r="H13" s="6"/>
      <c r="L13" s="6"/>
    </row>
    <row r="14" spans="1:16" x14ac:dyDescent="0.2">
      <c r="A14" s="635"/>
      <c r="B14" s="635"/>
      <c r="C14" s="492"/>
      <c r="D14" s="8"/>
      <c r="E14" s="8"/>
      <c r="F14" s="8"/>
      <c r="G14" s="6"/>
      <c r="H14" s="6"/>
      <c r="L14" s="6"/>
    </row>
    <row r="15" spans="1:16" x14ac:dyDescent="0.2">
      <c r="A15" s="188"/>
      <c r="B15" s="64"/>
      <c r="C15" s="492"/>
      <c r="D15" s="8"/>
      <c r="E15" s="8"/>
      <c r="F15" s="8"/>
      <c r="G15" s="6"/>
      <c r="H15" s="6"/>
      <c r="L15" s="6"/>
    </row>
    <row r="16" spans="1:16" ht="12.75" customHeight="1" x14ac:dyDescent="0.2">
      <c r="A16" s="10"/>
      <c r="B16" s="8"/>
      <c r="C16" s="12"/>
      <c r="D16" s="8"/>
      <c r="E16" s="8"/>
      <c r="F16" s="8"/>
      <c r="G16" s="6"/>
      <c r="I16" s="638" t="s">
        <v>993</v>
      </c>
      <c r="L16" s="6"/>
    </row>
    <row r="17" spans="1:12" ht="12.75" customHeight="1" x14ac:dyDescent="0.2">
      <c r="A17" s="10"/>
      <c r="B17" s="8"/>
      <c r="C17" s="12"/>
      <c r="D17" s="8"/>
      <c r="E17" s="8"/>
      <c r="F17" s="8"/>
      <c r="G17" s="6"/>
      <c r="I17" s="638"/>
      <c r="L17" s="6"/>
    </row>
    <row r="18" spans="1:12" ht="12.75" customHeight="1" x14ac:dyDescent="0.2">
      <c r="A18" s="10"/>
      <c r="B18" s="8"/>
      <c r="C18" s="12"/>
      <c r="D18" s="8"/>
      <c r="E18" s="8"/>
      <c r="F18" s="8"/>
      <c r="G18" s="6"/>
      <c r="I18" s="639" t="s">
        <v>994</v>
      </c>
      <c r="L18" s="6"/>
    </row>
    <row r="19" spans="1:12" ht="14.25" customHeight="1" x14ac:dyDescent="0.2">
      <c r="A19" s="10"/>
      <c r="B19" s="8"/>
      <c r="C19" s="27"/>
      <c r="D19" s="8"/>
      <c r="E19" s="8"/>
      <c r="F19" s="8"/>
      <c r="G19" s="6"/>
      <c r="I19" s="639"/>
      <c r="L19" s="6"/>
    </row>
    <row r="20" spans="1:12" ht="16.5" customHeight="1" x14ac:dyDescent="0.2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">
      <c r="A21" s="485" t="s">
        <v>1013</v>
      </c>
      <c r="B21" s="506" t="s">
        <v>1020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">
      <c r="A22" s="7"/>
      <c r="B22" s="8"/>
      <c r="C22" s="8"/>
      <c r="D22" s="8"/>
      <c r="E22" s="8"/>
      <c r="F22" s="6"/>
      <c r="G22" s="134" t="str">
        <f>+Faworyt!G23</f>
        <v>partnerská zľava:</v>
      </c>
      <c r="H22" s="6"/>
      <c r="L22" s="6"/>
    </row>
    <row r="23" spans="1:12" s="129" customFormat="1" ht="12.75" customHeight="1" x14ac:dyDescent="0.2">
      <c r="A23" s="131" t="str">
        <f>+Faworyt!A24</f>
        <v>Objednávacie kódy, ceny:</v>
      </c>
      <c r="B23" s="27"/>
      <c r="C23" s="27"/>
      <c r="D23" s="27"/>
      <c r="E23" s="27"/>
      <c r="F23" s="39"/>
      <c r="G23" s="120">
        <f>profil!C15</f>
        <v>0</v>
      </c>
      <c r="H23" s="39" t="s">
        <v>57</v>
      </c>
      <c r="I23" s="39"/>
      <c r="K23" s="39"/>
      <c r="L23" s="39"/>
    </row>
    <row r="24" spans="1:12" s="82" customFormat="1" ht="12.75" customHeight="1" x14ac:dyDescent="0.2">
      <c r="A24" s="80"/>
      <c r="B24" s="81" t="s">
        <v>20</v>
      </c>
      <c r="C24" s="81"/>
      <c r="D24" s="81" t="str">
        <f>Faworyt!D25</f>
        <v>ks</v>
      </c>
      <c r="E24" s="81" t="str">
        <f>Faworyt!E25</f>
        <v>cena/ks</v>
      </c>
      <c r="F24" s="18" t="str">
        <f>Faworyt!F25</f>
        <v>cena celkom</v>
      </c>
      <c r="G24" s="18" t="str">
        <f>Faworyt!G25</f>
        <v>celkom netto:</v>
      </c>
      <c r="H24" s="18"/>
      <c r="I24" s="18" t="str">
        <f>texty!A29</f>
        <v>Poznámka:</v>
      </c>
      <c r="K24" s="18"/>
      <c r="L24" s="18"/>
    </row>
    <row r="25" spans="1:12" ht="12.75" customHeight="1" x14ac:dyDescent="0.2">
      <c r="A25" s="7" t="str">
        <f>+Faworyt!A26</f>
        <v>Horný profil:</v>
      </c>
      <c r="B25" s="8" t="e">
        <f>+VLOOKUP(M6,data!$C$196:$D$235,2,0)</f>
        <v>#N/A</v>
      </c>
      <c r="C25" s="25" t="e">
        <f>+VLOOKUP(B25,cennik!$A$3:$G$701,2,FALSE)</f>
        <v>#N/A</v>
      </c>
      <c r="D25" s="17" t="e">
        <f>IF(B25="N/A",0,1)</f>
        <v>#N/A</v>
      </c>
      <c r="E25" s="91" t="e">
        <f>+VLOOKUP(B25,cennik!$A:$G,3,FALSE)</f>
        <v>#N/A</v>
      </c>
      <c r="F25" s="91" t="e">
        <f t="shared" ref="F25:F31" si="0">+E25*D25</f>
        <v>#N/A</v>
      </c>
      <c r="G25" s="92" t="e">
        <f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K25" s="191" t="e">
        <f>IF(D25&gt;0,IF(VLOOKUP(B25,cennik!A:L,12,FALSE)="O",1,""),"")</f>
        <v>#N/A</v>
      </c>
      <c r="L25" s="6"/>
    </row>
    <row r="26" spans="1:12" ht="12.75" customHeight="1" x14ac:dyDescent="0.2">
      <c r="A26" s="72" t="str">
        <f>+Faworyt!A27</f>
        <v>spodný profil:</v>
      </c>
      <c r="B26" s="16" t="e">
        <f>+VLOOKUP(O6,data!$C$4:$D$83,2,0)</f>
        <v>#N/A</v>
      </c>
      <c r="C26" s="25" t="e">
        <f>IF($B$26=data!$D$64,texty!$A$239,+VLOOKUP($B$26,cennik!$A$3:$G$907,2,FALSE))</f>
        <v>#N/A</v>
      </c>
      <c r="D26" s="17">
        <v>1</v>
      </c>
      <c r="E26" s="91" t="e">
        <f>IF(B26=data!$D$73,0,+VLOOKUP(B26,cennik!$A$3:$G$907,3,FALSE))</f>
        <v>#N/A</v>
      </c>
      <c r="F26" s="91" t="e">
        <f t="shared" si="0"/>
        <v>#N/A</v>
      </c>
      <c r="G26" s="92" t="e">
        <f t="shared" ref="G26:G31" si="1">+F26*(100-$G$23)/100</f>
        <v>#N/A</v>
      </c>
      <c r="H26" s="6" t="str">
        <f>cennik!$B$2</f>
        <v>EUR</v>
      </c>
      <c r="I26" s="469" t="str">
        <f>IFERROR(IF((VLOOKUP(B26,cennik!A:L,12,0))="O",texty!$A$250,""),"")</f>
        <v/>
      </c>
      <c r="K26" s="191" t="e">
        <f>IF(D26&gt;0,IF(VLOOKUP(B26,cennik!A:L,12,FALSE)="O",1,""),"")</f>
        <v>#N/A</v>
      </c>
      <c r="L26" s="6"/>
    </row>
    <row r="27" spans="1:12" ht="12.75" customHeight="1" x14ac:dyDescent="0.2">
      <c r="A27" s="422" t="str">
        <f>texty!A83</f>
        <v>krycí profil (maska):</v>
      </c>
      <c r="B27" s="16" t="e">
        <f>+VLOOKUP(O6,data!$C$105:$D$195,2,0)</f>
        <v>#N/A</v>
      </c>
      <c r="C27" s="25" t="e">
        <f>IF($B$27=data!$D$64,texty!$A$239,+VLOOKUP($B$27,cennik!$A$3:$G$907,2,FALSE))</f>
        <v>#N/A</v>
      </c>
      <c r="D27" s="17">
        <v>1</v>
      </c>
      <c r="E27" s="91" t="e">
        <f>IF(B27=data!$D$73,0,+VLOOKUP(B27,cennik!$A$3:$G$907,3,FALSE))</f>
        <v>#N/A</v>
      </c>
      <c r="F27" s="91" t="e">
        <f t="shared" si="0"/>
        <v>#N/A</v>
      </c>
      <c r="G27" s="92" t="e">
        <f t="shared" si="1"/>
        <v>#N/A</v>
      </c>
      <c r="H27" s="6" t="str">
        <f>cennik!$B$2</f>
        <v>EUR</v>
      </c>
      <c r="I27" s="469" t="str">
        <f>IFERROR(IF((VLOOKUP(B27,cennik!A:L,12,0))="O",texty!$A$250,""),"")</f>
        <v/>
      </c>
      <c r="K27" s="191" t="e">
        <f>IF(D27&gt;0,IF(VLOOKUP(B27,cennik!A:L,12,FALSE)="O",1,""),"")</f>
        <v>#N/A</v>
      </c>
      <c r="L27" s="6"/>
    </row>
    <row r="28" spans="1:12" ht="12.75" customHeight="1" x14ac:dyDescent="0.2">
      <c r="A28" s="7" t="str">
        <f>+Faworyt!A29</f>
        <v>horný vozík</v>
      </c>
      <c r="B28" s="16">
        <v>228023</v>
      </c>
      <c r="C28" s="38" t="str">
        <f>+VLOOKUP(B28,cennik!$A:$G,2,FALSE)</f>
        <v>SEVROLL 10196 Focus horný vozík 18mm 2ks</v>
      </c>
      <c r="D28" s="17">
        <f>IF((D41+D42)&gt;D4,0,D4-(D41+D42))</f>
        <v>0</v>
      </c>
      <c r="E28" s="207">
        <f>+VLOOKUP(B28,cennik!$A:$G,3,FALSE)</f>
        <v>3.9014199999999999</v>
      </c>
      <c r="F28" s="105">
        <f t="shared" si="0"/>
        <v>0</v>
      </c>
      <c r="G28" s="92">
        <f t="shared" si="1"/>
        <v>0</v>
      </c>
      <c r="H28" s="6" t="str">
        <f>cennik!$B$2</f>
        <v>EUR</v>
      </c>
      <c r="I28" s="469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">
      <c r="A29" s="7" t="str">
        <f>+Faworyt!A30</f>
        <v>spodný vozík</v>
      </c>
      <c r="B29" s="16">
        <f>IF(F4=M63,362316,229440)</f>
        <v>229440</v>
      </c>
      <c r="C29" s="25" t="str">
        <f>+VLOOKUP(B29,cennik!$A:$G,2,FALSE)</f>
        <v>SEVROLL 10198 spodný vozík WD 18C HI-TEC - 2ks</v>
      </c>
      <c r="D29" s="17">
        <f>+D4</f>
        <v>0</v>
      </c>
      <c r="E29" s="207">
        <f>+VLOOKUP(B29,cennik!$A:$G,3,FALSE)</f>
        <v>5.1863999999999999</v>
      </c>
      <c r="F29" s="105">
        <f t="shared" si="0"/>
        <v>0</v>
      </c>
      <c r="G29" s="92">
        <f t="shared" si="1"/>
        <v>0</v>
      </c>
      <c r="H29" s="6" t="str">
        <f>cennik!$B$2</f>
        <v>EUR</v>
      </c>
      <c r="I29" s="469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">
      <c r="A30" s="7" t="str">
        <f>texty!A89</f>
        <v>dorazový kartáč</v>
      </c>
      <c r="B30" s="16">
        <v>229433</v>
      </c>
      <c r="C30" s="38" t="str">
        <f>+VLOOKUP(B30,cennik!$A:$G,2,FALSE)</f>
        <v>SEVROLL dorazová kefa zásuvná 4,8x4mm sivá</v>
      </c>
      <c r="D30" s="17">
        <f>CEILING((B4*D4*2/1000),1)</f>
        <v>0</v>
      </c>
      <c r="E30" s="207">
        <f>+VLOOKUP(B30,cennik!$A:$G,3,FALSE)</f>
        <v>0.13</v>
      </c>
      <c r="F30" s="105">
        <f t="shared" si="0"/>
        <v>0</v>
      </c>
      <c r="G30" s="92">
        <f t="shared" si="1"/>
        <v>0</v>
      </c>
      <c r="H30" s="6" t="str">
        <f>cennik!$B$2</f>
        <v>EUR</v>
      </c>
      <c r="I30" s="469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">
      <c r="A31" s="7" t="str">
        <f>+Faworyt!A32</f>
        <v>úchytková lišta</v>
      </c>
      <c r="B31" s="16" t="e">
        <f>+VLOOKUP(P7,data!$C$657:$D$658,2,0)</f>
        <v>#N/A</v>
      </c>
      <c r="C31" s="38" t="e">
        <f>+VLOOKUP(B31,cennik!$A:$G,2,FALSE)</f>
        <v>#N/A</v>
      </c>
      <c r="D31" s="17">
        <f>IF(B11&lt;=1347,D4*2/2,D4*2)</f>
        <v>0</v>
      </c>
      <c r="E31" s="207" t="e">
        <f>+VLOOKUP(B31,cennik!$A:$G,3,FALSE)</f>
        <v>#N/A</v>
      </c>
      <c r="F31" s="105" t="e">
        <f t="shared" si="0"/>
        <v>#N/A</v>
      </c>
      <c r="G31" s="92" t="e">
        <f t="shared" si="1"/>
        <v>#N/A</v>
      </c>
      <c r="H31" s="6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">
      <c r="A32" s="7"/>
      <c r="B32" s="16"/>
      <c r="C32" s="25"/>
      <c r="D32" s="17"/>
      <c r="E32" s="91"/>
      <c r="F32" s="105"/>
      <c r="G32" s="104"/>
      <c r="H32" s="6"/>
      <c r="I32" s="469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s="128" customFormat="1" ht="12.75" customHeight="1" x14ac:dyDescent="0.2">
      <c r="A33" s="14" t="str">
        <f>texty!$A$66</f>
        <v>Voliteľné príslušenstvo:</v>
      </c>
      <c r="B33" s="123"/>
      <c r="C33" s="124"/>
      <c r="D33" s="477" t="str">
        <f>+Faworyt!D34</f>
        <v>zadajte počet:</v>
      </c>
      <c r="E33" s="132"/>
      <c r="F33" s="125"/>
      <c r="G33" s="126"/>
      <c r="H33" s="127"/>
      <c r="I33" s="469" t="str">
        <f>IFERROR(IF((VLOOKUP(B33,cennik!A:L,12,0))="O",texty!$A$250,""),"")</f>
        <v/>
      </c>
      <c r="K33" s="191"/>
      <c r="L33" s="127"/>
    </row>
    <row r="34" spans="1:12" s="128" customFormat="1" ht="12.75" customHeight="1" x14ac:dyDescent="0.2">
      <c r="A34" s="7" t="str">
        <f>texty!$A$88</f>
        <v>pozicionér do horného vedenia</v>
      </c>
      <c r="B34" s="187">
        <v>298035</v>
      </c>
      <c r="C34" s="38" t="str">
        <f>+VLOOKUP(B34,cennik!$A:$G,2,FALSE)</f>
        <v>SEVROLL 20326 Fix pozicionér pre horný vozík transparentný</v>
      </c>
      <c r="D34" s="29"/>
      <c r="E34" s="207">
        <f>+VLOOKUP(B34,cennik!$A:$G,3,FALSE)</f>
        <v>1.0837300000000001</v>
      </c>
      <c r="F34" s="105">
        <f>+E34*D34</f>
        <v>0</v>
      </c>
      <c r="G34" s="104">
        <f>+F34*(100-$G$23)/100</f>
        <v>0</v>
      </c>
      <c r="H34" s="6" t="str">
        <f>cennik!$B$2</f>
        <v>EUR</v>
      </c>
      <c r="I34" s="469" t="str">
        <f>IFERROR(IF((VLOOKUP(B34,cennik!A:L,12,0))="O",texty!$A$250,""),"")</f>
        <v/>
      </c>
      <c r="K34" s="191" t="str">
        <f>IF(D34&gt;0,IF(VLOOKUP(B34,cennik!A:L,12,FALSE)="O",1,""),"")</f>
        <v/>
      </c>
      <c r="L34" s="127"/>
    </row>
    <row r="35" spans="1:12" ht="12.75" customHeight="1" x14ac:dyDescent="0.2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SEVROLL 20080 pozicionér spodného vozíka HI-TEC</v>
      </c>
      <c r="D35" s="29"/>
      <c r="E35" s="207">
        <f>+VLOOKUP(B35,cennik!$A:$G,3,FALSE)</f>
        <v>0.30964000000000003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EUR</v>
      </c>
      <c r="I35" s="469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">
      <c r="A36" s="422" t="str">
        <f>texty!$A$228</f>
        <v> Tlmič dorazu MINI do 25 kg (pár)</v>
      </c>
      <c r="B36" s="16">
        <v>318662</v>
      </c>
      <c r="C36" s="25" t="str">
        <f>+VLOOKUP(B36,cennik!$A:$G,2,FALSE)</f>
        <v>SEVROLL 20368-SV tlmič dorazu Mini SV25 (14-25kg)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3"/>
        <v>0</v>
      </c>
      <c r="H36" s="24" t="str">
        <f>cennik!$B$2</f>
        <v>EUR</v>
      </c>
      <c r="I36" s="469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">
      <c r="A37" s="422" t="str">
        <f>texty!$A$229</f>
        <v> Tlmič dorazu MINI do 40 kg (pár)</v>
      </c>
      <c r="B37" s="24">
        <v>283956</v>
      </c>
      <c r="C37" s="25" t="str">
        <f>+VLOOKUP(B37,cennik!$A:$G,2,FALSE)</f>
        <v>SEVROLL 20258-SV tlmič dorazu Mini SV40 (25 - 40kg)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3"/>
        <v>0</v>
      </c>
      <c r="H37" s="24" t="str">
        <f>cennik!$B$2</f>
        <v>EUR</v>
      </c>
      <c r="I37" s="469" t="str">
        <f>IFERROR(IF((VLOOKUP(B37,cennik!A:L,12,0))="O",texty!$A$250,""),"")</f>
        <v/>
      </c>
      <c r="K37" s="191" t="str">
        <f>IF(D37&gt;0,IF(VLOOKUP(B37,cennik!A:L,12,FALSE)="O",1,""),"")</f>
        <v/>
      </c>
      <c r="L37" s="3"/>
    </row>
    <row r="38" spans="1:12" ht="12.75" customHeight="1" x14ac:dyDescent="0.2">
      <c r="A38" s="422" t="str">
        <f>texty!$A$230</f>
        <v> Tlmič dorazu MINI do 60 kg (pár)</v>
      </c>
      <c r="B38" s="24">
        <v>351743</v>
      </c>
      <c r="C38" s="25" t="str">
        <f>+VLOOKUP(B38,cennik!$A:$G,2,FALSE)</f>
        <v>SEVROLL 20339-SV tlmič dorazu Mini SV60 (40 - 60kg)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3"/>
        <v>0</v>
      </c>
      <c r="H38" s="24" t="str">
        <f>cennik!$B$2</f>
        <v>EUR</v>
      </c>
      <c r="I38" s="469" t="str">
        <f>IFERROR(IF((VLOOKUP(B38,cennik!A:L,12,0))="O",texty!$A$250,""),"")</f>
        <v/>
      </c>
      <c r="K38" s="191" t="str">
        <f>IF(D38&gt;0,IF(VLOOKUP(B38,cennik!A:L,12,FALSE)="O",1,""),"")</f>
        <v/>
      </c>
      <c r="L38" s="3"/>
    </row>
    <row r="39" spans="1:12" ht="12.75" customHeight="1" x14ac:dyDescent="0.2">
      <c r="A39" s="422" t="str">
        <f>texty!$A$231</f>
        <v> Tlmič pre stredné krídlo do 25 kg</v>
      </c>
      <c r="B39" s="24">
        <v>318663</v>
      </c>
      <c r="C39" s="25" t="str">
        <f>+VLOOKUP(B39,cennik!$A:$G,2,FALSE)</f>
        <v>SEVROLL 20363-SV tlmič Central 10/18mm obojstranný 25kg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3"/>
        <v>0</v>
      </c>
      <c r="H39" s="24" t="str">
        <f>cennik!$B$2</f>
        <v>EUR</v>
      </c>
      <c r="I39" s="469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">
      <c r="A40" s="422" t="str">
        <f>texty!$A$232</f>
        <v> Tlmič pre stredné krídlo do 40 kg</v>
      </c>
      <c r="B40" s="24">
        <v>283955</v>
      </c>
      <c r="C40" s="25" t="str">
        <f>+VLOOKUP(B40,cennik!$A:$G,2,FALSE)</f>
        <v>SEVROLL 20319-SV tlmič Central 10/18mm obojstranný 25-40kg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3"/>
        <v>0</v>
      </c>
      <c r="H40" s="24" t="str">
        <f>cennik!$B$2</f>
        <v>EUR</v>
      </c>
      <c r="I40" s="469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 L+P</v>
      </c>
      <c r="D41" s="29"/>
      <c r="E41" s="207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EUR</v>
      </c>
      <c r="I41" s="469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EUR</v>
      </c>
      <c r="I42" s="469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">
      <c r="A43" s="7" t="str">
        <f>texty!$A$196</f>
        <v>Spona dorazovej kefky</v>
      </c>
      <c r="B43" s="16">
        <v>223569</v>
      </c>
      <c r="C43" s="38" t="str">
        <f>+VLOOKUP(B43,cennik!$A:$G,2,FALSE)</f>
        <v>SEVROLL 20223 spona dorazovej kefky</v>
      </c>
      <c r="D43" s="29"/>
      <c r="E43" s="207">
        <f>+VLOOKUP(B43,cennik!$A:$G,3,FALSE)</f>
        <v>7.1209999999999996E-2</v>
      </c>
      <c r="F43" s="105">
        <f t="shared" si="2"/>
        <v>0</v>
      </c>
      <c r="G43" s="104">
        <f t="shared" si="3"/>
        <v>0</v>
      </c>
      <c r="H43" s="6" t="str">
        <f>cennik!$B$2</f>
        <v>EUR</v>
      </c>
      <c r="I43" s="469" t="str">
        <f>IFERROR(IF((VLOOKUP(B43,cennik!A:L,12,0))="O",texty!$A$250,""),"")</f>
        <v/>
      </c>
      <c r="K43" s="191" t="str">
        <f>IF(D43&gt;0,IF(VLOOKUP(B43,cennik!A:L,12,FALSE)="O",1,""),"")</f>
        <v/>
      </c>
      <c r="L43" s="3"/>
    </row>
    <row r="44" spans="1:12" ht="12.75" customHeight="1" x14ac:dyDescent="0.2">
      <c r="A44" s="145" t="str">
        <f>texty!$A$114</f>
        <v>spojovací profil H18-3metre</v>
      </c>
      <c r="B44" s="16" t="e">
        <f>+VLOOKUP($P$7,data!$C$537:$D$547,2,0)</f>
        <v>#N/A</v>
      </c>
      <c r="C44" s="38" t="e">
        <f>+VLOOKUP(B44,cennik!$A:$G,2,FALSE)</f>
        <v>#N/A</v>
      </c>
      <c r="D44" s="29"/>
      <c r="E44" s="207" t="e">
        <f>+VLOOKUP(B44,cennik!$A:$G,3,FALSE)</f>
        <v>#N/A</v>
      </c>
      <c r="F44" s="105" t="e">
        <f t="shared" si="2"/>
        <v>#N/A</v>
      </c>
      <c r="G44" s="104" t="e">
        <f t="shared" si="3"/>
        <v>#N/A</v>
      </c>
      <c r="H44" s="6" t="str">
        <f>cennik!$B$2</f>
        <v>EUR</v>
      </c>
      <c r="I44" s="469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">
      <c r="A45" s="145" t="str">
        <f>texty!$A$115</f>
        <v>spojovací T profil - 3metre /s drážkou/</v>
      </c>
      <c r="B45" s="16" t="e">
        <f>+VLOOKUP($P$7,data!$C$548:$D$557,2,0)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 t="shared" si="2"/>
        <v>#N/A</v>
      </c>
      <c r="G45" s="104" t="e">
        <f t="shared" si="3"/>
        <v>#N/A</v>
      </c>
      <c r="H45" s="24" t="str">
        <f>cennik!$B$2</f>
        <v>EUR</v>
      </c>
      <c r="I45" s="469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">
      <c r="A46" s="145" t="str">
        <f>texty!$A$116</f>
        <v>spojovací T profil - 3metre /s lemom/</v>
      </c>
      <c r="B46" s="16" t="e">
        <f>+VLOOKUP($P$7,data!$C$558:$D$567,2,0)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2"/>
        <v>#N/A</v>
      </c>
      <c r="G46" s="104" t="e">
        <f t="shared" si="3"/>
        <v>#N/A</v>
      </c>
      <c r="H46" s="24" t="str">
        <f>cennik!$B$2</f>
        <v>EUR</v>
      </c>
      <c r="I46" s="469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">
      <c r="A47" s="145" t="str">
        <f>texty!$A$117</f>
        <v>"U" profil na DTD 18mm - 3 metre /hladký/</v>
      </c>
      <c r="B47" s="6" t="e">
        <f>+VLOOKUP($P$7,data!$C$568:$D$578,2,0)</f>
        <v>#N/A</v>
      </c>
      <c r="C47" s="38" t="e">
        <f>+VLOOKUP(B47,cennik!$A:$G,2,FALSE)</f>
        <v>#N/A</v>
      </c>
      <c r="D47" s="29"/>
      <c r="E47" s="207" t="e">
        <f>+VLOOKUP(B47,cennik!$A:$G,3,FALSE)</f>
        <v>#N/A</v>
      </c>
      <c r="F47" s="105" t="e">
        <f t="shared" si="2"/>
        <v>#N/A</v>
      </c>
      <c r="G47" s="104" t="e">
        <f t="shared" si="3"/>
        <v>#N/A</v>
      </c>
      <c r="H47" s="6" t="str">
        <f>cennik!$B$2</f>
        <v>EUR</v>
      </c>
      <c r="I47" s="469" t="str">
        <f>IFERROR(IF((VLOOKUP(B47,cennik!A:L,12,0))="O",texty!$A$250,""),"")</f>
        <v/>
      </c>
      <c r="K47" s="191" t="str">
        <f>IF(D47&gt;0,IF(VLOOKUP(B47,cennik!A:L,12,FALSE)="O",1,""),"")</f>
        <v/>
      </c>
    </row>
    <row r="48" spans="1:12" ht="12.75" customHeight="1" x14ac:dyDescent="0.2">
      <c r="A48" s="145" t="str">
        <f>texty!$A$118</f>
        <v>"U" profil na DTD 18mm - 3 metre /lem/</v>
      </c>
      <c r="B48" s="16" t="e">
        <f>+VLOOKUP($P$7,data!$C$578:$D$588,2,0)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 t="shared" si="2"/>
        <v>#N/A</v>
      </c>
      <c r="G48" s="104" t="e">
        <f t="shared" si="3"/>
        <v>#N/A</v>
      </c>
      <c r="H48" s="6" t="str">
        <f>cennik!$B$2</f>
        <v>EUR</v>
      </c>
      <c r="I48" s="469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4" ht="12.75" customHeight="1" x14ac:dyDescent="0.2">
      <c r="A49" s="145" t="str">
        <f>texty!$A$119</f>
        <v>uholník mini 11x17mm - 1,7m</v>
      </c>
      <c r="B49" s="6" t="e">
        <f>+VLOOKUP($P$7,data!$C$589:$D$599,2,0)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>+E49*D49</f>
        <v>#N/A</v>
      </c>
      <c r="G49" s="104" t="e">
        <f t="shared" si="3"/>
        <v>#N/A</v>
      </c>
      <c r="H49" s="6" t="str">
        <f>cennik!$B$2</f>
        <v>EUR</v>
      </c>
      <c r="I49" s="469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4" ht="12.75" customHeight="1" x14ac:dyDescent="0.2">
      <c r="A50" s="145" t="str">
        <f>texty!$A$120</f>
        <v>uholník mini 11x17mm - 2,35m</v>
      </c>
      <c r="B50" s="6" t="e">
        <f>+VLOOKUP($P$7,data!$C$600:$D$610,2,0)</f>
        <v>#N/A</v>
      </c>
      <c r="C50" s="38" t="e">
        <f>IF(B50=data!$D$64,texty!$A$239,+VLOOKUP(B50,cennik!$A$3:$G$907,2,FALSE))</f>
        <v>#N/A</v>
      </c>
      <c r="D50" s="29"/>
      <c r="E50" s="91" t="e">
        <f>IF(B50=data!$D$73,0,+VLOOKUP(B50,cennik!$A$3:$G$907,3,FALSE))</f>
        <v>#N/A</v>
      </c>
      <c r="F50" s="91" t="e">
        <f>+E50*D50</f>
        <v>#N/A</v>
      </c>
      <c r="G50" s="104" t="e">
        <f t="shared" si="3"/>
        <v>#N/A</v>
      </c>
      <c r="H50" s="6" t="str">
        <f>cennik!$B$2</f>
        <v>EUR</v>
      </c>
      <c r="I50" s="469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4" ht="12.75" customHeight="1" x14ac:dyDescent="0.2">
      <c r="A51" s="145" t="str">
        <f>texty!$A$121</f>
        <v>uholník mini 11x17mm - 3m</v>
      </c>
      <c r="B51" s="15" t="e">
        <f>+VLOOKUP($P$7,data!$C$611:$D$621,2,0)</f>
        <v>#N/A</v>
      </c>
      <c r="C51" s="38" t="e">
        <f>IF(B51=data!$D$64,texty!$A$239,+VLOOKUP(B51,cennik!$A$3:$G$907,2,FALSE))</f>
        <v>#N/A</v>
      </c>
      <c r="D51" s="29"/>
      <c r="E51" s="91" t="e">
        <f>IF(B51=data!$D$73,0,+VLOOKUP(B51,cennik!$A$3:$G$907,3,FALSE))</f>
        <v>#N/A</v>
      </c>
      <c r="F51" s="91" t="e">
        <f>+E51*D51</f>
        <v>#N/A</v>
      </c>
      <c r="G51" s="104" t="e">
        <f t="shared" si="3"/>
        <v>#N/A</v>
      </c>
      <c r="H51" s="6" t="str">
        <f>cennik!$B$2</f>
        <v>EUR</v>
      </c>
      <c r="I51" s="469" t="str">
        <f>IFERROR(IF((VLOOKUP(B51,cennik!A:L,12,0))="O",texty!$A$250,""),"")</f>
        <v/>
      </c>
      <c r="K51" s="191" t="str">
        <f>IF(D51&gt;0,IF(VLOOKUP(B51,cennik!A:L,12,FALSE)="O",1,""),"")</f>
        <v/>
      </c>
      <c r="L51" s="6"/>
    </row>
    <row r="52" spans="1:14" ht="12.75" customHeight="1" x14ac:dyDescent="0.2">
      <c r="A52" s="145" t="str">
        <f>texty!$A$122</f>
        <v>uholník K2 19x18mm - 1,7m</v>
      </c>
      <c r="B52" s="24" t="e">
        <f>+VLOOKUP($P$7,data!$C$622:$D$631,2,0)</f>
        <v>#N/A</v>
      </c>
      <c r="C52" s="38" t="e">
        <f>IF(B52=data!$D$64,texty!$A$239,+VLOOKUP(B52,cennik!$A$3:$G$907,2,FALSE))</f>
        <v>#N/A</v>
      </c>
      <c r="D52" s="29"/>
      <c r="E52" s="91" t="e">
        <f>IF(B52=data!$D$73,0,+VLOOKUP(B52,cennik!$A$3:$G$907,3,FALSE))</f>
        <v>#N/A</v>
      </c>
      <c r="F52" s="91" t="e">
        <f>+E52*D52</f>
        <v>#N/A</v>
      </c>
      <c r="G52" s="104" t="e">
        <f t="shared" si="3"/>
        <v>#N/A</v>
      </c>
      <c r="H52" s="6" t="str">
        <f>cennik!$B$2</f>
        <v>EUR</v>
      </c>
      <c r="I52" s="469" t="str">
        <f>IFERROR(IF((VLOOKUP(B52,cennik!A:L,12,0))="O",texty!$A$250,""),"")</f>
        <v/>
      </c>
      <c r="K52" s="191" t="str">
        <f>IF(D52&gt;0,IF(VLOOKUP(B52,cennik!A:L,12,FALSE)="O",1,""),"")</f>
        <v/>
      </c>
      <c r="L52" s="6"/>
    </row>
    <row r="53" spans="1:14" ht="12.75" customHeight="1" x14ac:dyDescent="0.2">
      <c r="A53" s="145" t="str">
        <f>texty!$A$123</f>
        <v>uholník K2 19x18mm - 2,35m</v>
      </c>
      <c r="B53" s="16" t="e">
        <f>+VLOOKUP($P$7,data!$C$632:$D$641,2,0)</f>
        <v>#N/A</v>
      </c>
      <c r="C53" s="38" t="e">
        <f>IF(B53=data!$D$64,texty!$A$239,+VLOOKUP(B53,cennik!$A$3:$G$907,2,FALSE))</f>
        <v>#N/A</v>
      </c>
      <c r="D53" s="30"/>
      <c r="E53" s="91" t="e">
        <f>IF(B53=data!$D$73,0,+VLOOKUP(B53,cennik!$A$3:$G$907,3,FALSE))</f>
        <v>#N/A</v>
      </c>
      <c r="F53" s="91" t="e">
        <f t="shared" si="2"/>
        <v>#N/A</v>
      </c>
      <c r="G53" s="104" t="e">
        <f t="shared" si="3"/>
        <v>#N/A</v>
      </c>
      <c r="H53" s="6" t="str">
        <f>cennik!$B$2</f>
        <v>EUR</v>
      </c>
      <c r="I53" s="469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">
      <c r="A54" s="145" t="str">
        <f>texty!$A$124</f>
        <v>uholník K2 19x18mm - 3,00m</v>
      </c>
      <c r="B54" s="16" t="e">
        <f>+VLOOKUP($P$7,data!$C$642:$D$651,2,0)</f>
        <v>#N/A</v>
      </c>
      <c r="C54" s="38" t="e">
        <f>IF(B54=data!$D$64,texty!$A$239,+VLOOKUP(B54,cennik!$A$3:$G$907,2,FALSE))</f>
        <v>#N/A</v>
      </c>
      <c r="D54" s="30"/>
      <c r="E54" s="91" t="e">
        <f>IF(B54=data!$D$73,0,+VLOOKUP(B54,cennik!$A$3:$G$907,3,FALSE))</f>
        <v>#N/A</v>
      </c>
      <c r="F54" s="91" t="e">
        <f t="shared" si="2"/>
        <v>#N/A</v>
      </c>
      <c r="G54" s="104" t="e">
        <f t="shared" si="3"/>
        <v>#N/A</v>
      </c>
      <c r="H54" s="6" t="str">
        <f>cennik!$B$2</f>
        <v>EUR</v>
      </c>
      <c r="I54" s="469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">
      <c r="A55" s="145" t="str">
        <f>texty!$A$241</f>
        <v>klínok pre dilatáciu výplne 16mm</v>
      </c>
      <c r="B55" s="16">
        <v>308631</v>
      </c>
      <c r="C55" s="38" t="str">
        <f>+VLOOKUP(B55,cennik!$A:$G,2,FALSE)</f>
        <v>SEVROLL 20252 klin pre lamino hrúbka 2mm (100 ks)</v>
      </c>
      <c r="D55" s="29"/>
      <c r="E55" s="207">
        <f>+VLOOKUP(B55,cennik!$A:$G,3,FALSE)</f>
        <v>8.7214100000000006</v>
      </c>
      <c r="F55" s="105">
        <f t="shared" si="2"/>
        <v>0</v>
      </c>
      <c r="G55" s="104">
        <f t="shared" si="3"/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">
      <c r="A56" s="422" t="str">
        <f>texty!$A$240</f>
        <v>zámok posuvných dverí</v>
      </c>
      <c r="B56" s="24">
        <v>216363</v>
      </c>
      <c r="C56" s="38" t="str">
        <f>+VLOOKUP(B56,cennik!$A:$G,2,FALSE)</f>
        <v>SEVROLL 20356 zámok na posuvné dvere 10/18mm</v>
      </c>
      <c r="D56" s="29"/>
      <c r="E56" s="207">
        <f>+VLOOKUP(B56,cennik!$A:$G,3,FALSE)</f>
        <v>15.72176</v>
      </c>
      <c r="F56" s="105">
        <f t="shared" si="2"/>
        <v>0</v>
      </c>
      <c r="G56" s="104">
        <f t="shared" si="3"/>
        <v>0</v>
      </c>
      <c r="H56" s="6" t="str">
        <f>cennik!$B$2</f>
        <v>EUR</v>
      </c>
      <c r="I56" s="469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">
      <c r="A57" s="7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07">
        <f>+VLOOKUP(B57,cennik!$A:$G,3,FALSE)</f>
        <v>0.29721999999999998</v>
      </c>
      <c r="F57" s="105">
        <f t="shared" si="2"/>
        <v>0</v>
      </c>
      <c r="G57" s="104">
        <f t="shared" si="3"/>
        <v>0</v>
      </c>
      <c r="H57" s="6" t="str">
        <f>cennik!$B$2</f>
        <v>EUR</v>
      </c>
      <c r="I57" s="469" t="str">
        <f>IFERROR(IF((VLOOKUP(B57,cennik!A:L,12,0))="O",texty!$A$250,""),"")</f>
        <v/>
      </c>
      <c r="K57" s="191" t="str">
        <f>IF(D57&gt;0,IF(VLOOKUP(B57,cennik!A:L,12,FALSE)="O",1,""),"")</f>
        <v/>
      </c>
      <c r="L57" s="6"/>
    </row>
    <row r="58" spans="1:14" ht="12.75" customHeight="1" x14ac:dyDescent="0.2">
      <c r="A58" s="145"/>
      <c r="B58" s="24"/>
      <c r="C58" s="25"/>
      <c r="D58" s="25"/>
      <c r="E58" s="91"/>
      <c r="F58" s="96"/>
      <c r="G58" s="104"/>
      <c r="H58" s="6"/>
      <c r="I58" s="181"/>
      <c r="K58" s="191"/>
      <c r="L58" s="6"/>
    </row>
    <row r="59" spans="1:14" ht="15" x14ac:dyDescent="0.2">
      <c r="A59" s="271" t="str">
        <f>texty!$A$190</f>
        <v>Ďalšie príslušenstvo</v>
      </c>
      <c r="B59" s="272"/>
      <c r="C59" s="272"/>
      <c r="D59" s="272"/>
      <c r="E59" s="272"/>
      <c r="F59" s="272"/>
      <c r="G59" s="272"/>
      <c r="H59" s="272"/>
      <c r="I59" s="272"/>
      <c r="J59" s="272"/>
      <c r="K59" s="134"/>
      <c r="L59" s="6"/>
    </row>
    <row r="60" spans="1:14" ht="12.75" customHeight="1" x14ac:dyDescent="0.2">
      <c r="A60" s="271" t="str">
        <f>texty!$A$244</f>
        <v>Technický nákres tohoto systému</v>
      </c>
      <c r="B60" s="17"/>
      <c r="C60" s="25"/>
      <c r="D60" s="77" t="str">
        <f>+Faworyt!D61</f>
        <v>CELKOM  (bez DPH)</v>
      </c>
      <c r="E60" s="108"/>
      <c r="F60" s="109" t="e">
        <f>SUM(F25:F57)</f>
        <v>#N/A</v>
      </c>
      <c r="G60" s="110" t="e">
        <f>SUM(G25:G57)</f>
        <v>#N/A</v>
      </c>
      <c r="H60" s="6" t="str">
        <f>cennik!$B$2</f>
        <v>EUR</v>
      </c>
      <c r="J60" s="181"/>
      <c r="K60" s="181"/>
      <c r="L60" s="6"/>
    </row>
    <row r="61" spans="1:14" ht="12.75" customHeight="1" x14ac:dyDescent="0.2">
      <c r="A61" s="75" t="str">
        <f>System10!$A$67</f>
        <v>Vaša poznámka:</v>
      </c>
      <c r="B61" s="661"/>
      <c r="C61" s="662"/>
      <c r="D61" s="662"/>
      <c r="E61" s="662"/>
      <c r="F61" s="662"/>
      <c r="G61" s="662"/>
      <c r="H61" s="6"/>
      <c r="L61" s="6"/>
    </row>
    <row r="62" spans="1:14" ht="12.75" customHeight="1" x14ac:dyDescent="0.2">
      <c r="A62" s="659">
        <f>profil!$U$15</f>
        <v>0</v>
      </c>
      <c r="B62" s="649"/>
      <c r="C62" s="649"/>
      <c r="D62" s="649"/>
      <c r="E62" s="649"/>
      <c r="F62" s="649"/>
      <c r="G62" s="649"/>
      <c r="H62" s="649"/>
    </row>
    <row r="63" spans="1:14" ht="12.75" customHeight="1" x14ac:dyDescent="0.2">
      <c r="A63" s="650">
        <f>IF(N63=1,texty!$A$215,IF(K63&gt;0,texty!$A$214,""))</f>
        <v>0</v>
      </c>
      <c r="B63" s="650"/>
      <c r="C63" s="650"/>
      <c r="D63" s="650"/>
      <c r="E63" s="650"/>
      <c r="F63" s="650"/>
      <c r="G63" s="650"/>
      <c r="H63" s="650"/>
      <c r="K63" s="6" t="e">
        <f>SUM(K25:K57)</f>
        <v>#N/A</v>
      </c>
      <c r="L63" s="5" t="str">
        <f>texty!$A$128</f>
        <v xml:space="preserve">strieborná </v>
      </c>
      <c r="M63" s="21" t="s">
        <v>987</v>
      </c>
      <c r="N63" s="5">
        <f>IF(ISERROR(K63),1,0)</f>
        <v>1</v>
      </c>
    </row>
    <row r="64" spans="1:14" ht="12.75" customHeight="1" x14ac:dyDescent="0.2">
      <c r="A64" s="63"/>
      <c r="L64" s="5" t="str">
        <f>texty!$A$130</f>
        <v>oliva</v>
      </c>
      <c r="M64" s="21" t="s">
        <v>43</v>
      </c>
    </row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</sheetData>
  <sheetProtection algorithmName="SHA-512" hashValue="1BbmCW2H3n49KJlU6WwlRxKxLgeCIn8o7zXx3x/lmVSGes+U26tXl4os8N3CePWbZ+SmSQ6V0d/izCUN2YkZHA==" saltValue="JeUBNJtPap96vwgLSpOQRQ==" spinCount="100000" sheet="1" objects="1" scenarios="1" selectLockedCell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11" priority="3">
      <formula>SUM($D$39:$D$40)&gt;0</formula>
    </cfRule>
  </conditionalFormatting>
  <conditionalFormatting sqref="D6">
    <cfRule type="expression" dxfId="109" priority="9">
      <formula>$D$4=4</formula>
    </cfRule>
    <cfRule type="expression" dxfId="108" priority="10">
      <formula>$D$4&lt;&gt;4</formula>
    </cfRule>
  </conditionalFormatting>
  <conditionalFormatting sqref="G4">
    <cfRule type="expression" dxfId="107" priority="8">
      <formula>$D$4=4</formula>
    </cfRule>
  </conditionalFormatting>
  <conditionalFormatting sqref="I16:I17">
    <cfRule type="expression" dxfId="106" priority="4">
      <formula>$F$4=$M$64</formula>
    </cfRule>
  </conditionalFormatting>
  <conditionalFormatting sqref="I18:I19">
    <cfRule type="expression" dxfId="105" priority="5">
      <formula>$F$4=$M$63</formula>
    </cfRule>
  </conditionalFormatting>
  <dataValidations count="7">
    <dataValidation type="list" allowBlank="1" showInputMessage="1" showErrorMessage="1" sqref="E5:F6" xr:uid="{00000000-0002-0000-17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8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5" customWidth="1"/>
    <col min="2" max="2" width="15.7109375" style="5" customWidth="1"/>
    <col min="3" max="3" width="46.42578125" style="5" bestFit="1" customWidth="1"/>
    <col min="4" max="4" width="13.7109375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 x14ac:dyDescent="0.2">
      <c r="A2" s="523" t="s">
        <v>839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",5,".",67)</f>
        <v>katalóg kovania 2018 str. 5.67</v>
      </c>
      <c r="B3" s="420" t="str">
        <f>CONCATENATE(texty!A34," / max.          2 742 mm /")</f>
        <v>výška / max.          2 742 mm /</v>
      </c>
      <c r="C3" s="421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20" t="str">
        <f>texty!A38</f>
        <v>typ spodného vedenia</v>
      </c>
      <c r="G3" s="6"/>
      <c r="H3" s="6"/>
      <c r="L3" s="6"/>
    </row>
    <row r="4" spans="1:16" ht="18" customHeight="1" x14ac:dyDescent="0.2">
      <c r="A4" s="10" t="str">
        <f>+Faworyt!A4</f>
        <v>VNÚTORNÝ ROZMER SKRINE:</v>
      </c>
      <c r="B4" s="56"/>
      <c r="C4" s="56"/>
      <c r="D4" s="22"/>
      <c r="E4" s="22"/>
      <c r="F4" s="458"/>
      <c r="G4" s="472"/>
      <c r="H4" s="472"/>
      <c r="I4" s="472"/>
      <c r="K4" s="190"/>
      <c r="L4" s="8"/>
    </row>
    <row r="5" spans="1:16" ht="18" customHeight="1" x14ac:dyDescent="0.2">
      <c r="A5" s="10"/>
      <c r="B5" s="664" t="str">
        <f>+Faworyt!B5</f>
        <v>vypíšte týchto 5 políčok !!! Údaje v mm</v>
      </c>
      <c r="C5" s="664"/>
      <c r="D5" s="664"/>
      <c r="E5" s="664"/>
      <c r="F5" s="471"/>
      <c r="G5" s="472"/>
      <c r="H5" s="472"/>
      <c r="I5" s="472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472"/>
      <c r="H6" s="472"/>
      <c r="I6" s="472"/>
      <c r="K6" s="190"/>
      <c r="L6" s="6"/>
      <c r="M6" s="23" t="str">
        <f>CONCATENATE(M5,"-",E4)</f>
        <v>1700-</v>
      </c>
      <c r="N6" s="21"/>
      <c r="O6" s="23" t="str">
        <f>CONCATENATE(O5,"-",E4,", ",F4)</f>
        <v xml:space="preserve">1700-, </v>
      </c>
    </row>
    <row r="7" spans="1:16" ht="12.75" customHeight="1" x14ac:dyDescent="0.2">
      <c r="A7" s="10" t="str">
        <f>+Faworyt!A7</f>
        <v>krídlo dverí:</v>
      </c>
      <c r="B7" s="57">
        <f>+B4-42</f>
        <v>-42</v>
      </c>
      <c r="C7" s="59" t="e">
        <f>+((C4+30*(D4-1))/D4+IF(AND(D4=4,D6=2),M1,0))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>
        <f>+E4</f>
        <v>0</v>
      </c>
    </row>
    <row r="8" spans="1:16" ht="12.75" customHeight="1" x14ac:dyDescent="0.2">
      <c r="A8" s="10" t="str">
        <f>+Faworyt!A8</f>
        <v>rozmer výplne 18mm:</v>
      </c>
      <c r="B8" s="57">
        <f>+B7-2</f>
        <v>-44</v>
      </c>
      <c r="C8" s="59" t="e">
        <f>+C7-7</f>
        <v>#DIV/0!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>1700-</v>
      </c>
      <c r="P8" s="21"/>
    </row>
    <row r="9" spans="1:16" ht="12.75" customHeight="1" x14ac:dyDescent="0.2">
      <c r="A9" s="10" t="str">
        <f>+Faworyt!A9</f>
        <v>rozmer výplne 12mm:</v>
      </c>
      <c r="B9" s="57">
        <f>+B8</f>
        <v>-44</v>
      </c>
      <c r="C9" s="59" t="e">
        <f>+C7-7</f>
        <v>#DIV/0!</v>
      </c>
      <c r="D9" s="8"/>
      <c r="E9" s="8"/>
      <c r="F9" s="8"/>
      <c r="G9" s="50"/>
      <c r="H9" s="6"/>
      <c r="L9" s="37"/>
      <c r="M9" s="36"/>
    </row>
    <row r="10" spans="1:16" ht="12.75" customHeight="1" x14ac:dyDescent="0.2">
      <c r="A10" s="10" t="str">
        <f>+Faworyt!A10</f>
        <v>rozmer zrkadla /na DTD 12mm/</v>
      </c>
      <c r="B10" s="61">
        <f>+B8-4</f>
        <v>-48</v>
      </c>
      <c r="C10" s="65" t="e">
        <f>+C9-6</f>
        <v>#DIV/0!</v>
      </c>
      <c r="D10" s="8"/>
      <c r="E10" s="8"/>
      <c r="F10" s="8"/>
      <c r="G10" s="50"/>
      <c r="H10" s="6"/>
      <c r="O10" s="17"/>
      <c r="P10" s="21"/>
    </row>
    <row r="11" spans="1:16" ht="12.75" customHeight="1" x14ac:dyDescent="0.2">
      <c r="A11" s="10" t="str">
        <f>texty!$A$51</f>
        <v>Dĺžka úchytkového profilu (+2 mm)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">
      <c r="A12" s="10"/>
      <c r="B12" s="170" t="e">
        <f>IF(B7&gt;2400,texty!A194,IF(C7&gt;700,texty!A194,""))</f>
        <v>#DIV/0!</v>
      </c>
      <c r="C12" s="85"/>
      <c r="D12" s="8"/>
      <c r="E12" s="8"/>
      <c r="F12" s="8"/>
      <c r="G12" s="6"/>
      <c r="H12" s="6"/>
      <c r="L12" s="6"/>
    </row>
    <row r="13" spans="1:16" ht="25.5" x14ac:dyDescent="0.2">
      <c r="A13" s="635" t="str">
        <f>IF(SUM(D39:D40)&gt;0,texty!A246,"")</f>
        <v/>
      </c>
      <c r="B13" s="635"/>
      <c r="C13" s="492" t="str">
        <f>texty!A78</f>
        <v>dodatočné odpočty výšky vypočítaných výplní pri použití deliacich profilov výplne:</v>
      </c>
      <c r="D13" s="8"/>
      <c r="E13" s="8"/>
      <c r="F13" s="8"/>
      <c r="G13" s="6"/>
      <c r="H13" s="6"/>
      <c r="L13" s="6"/>
    </row>
    <row r="14" spans="1:16" x14ac:dyDescent="0.2">
      <c r="A14" s="635"/>
      <c r="B14" s="635"/>
      <c r="C14" s="492"/>
      <c r="D14" s="8"/>
      <c r="E14" s="8"/>
      <c r="F14" s="8"/>
      <c r="G14" s="6"/>
      <c r="H14" s="6"/>
      <c r="L14" s="6"/>
    </row>
    <row r="15" spans="1:16" x14ac:dyDescent="0.2">
      <c r="A15" s="188"/>
      <c r="B15" s="64"/>
      <c r="C15" s="492"/>
      <c r="D15" s="8"/>
      <c r="E15" s="8"/>
      <c r="F15" s="8"/>
      <c r="G15" s="6"/>
      <c r="H15" s="6"/>
      <c r="L15" s="6"/>
    </row>
    <row r="16" spans="1:16" ht="12.75" customHeight="1" x14ac:dyDescent="0.2">
      <c r="A16" s="10"/>
      <c r="B16" s="8"/>
      <c r="C16" s="12"/>
      <c r="D16" s="8"/>
      <c r="E16" s="8"/>
      <c r="F16" s="8"/>
      <c r="H16" s="40"/>
      <c r="I16" s="638" t="s">
        <v>993</v>
      </c>
      <c r="L16" s="6"/>
    </row>
    <row r="17" spans="1:12" ht="12.75" customHeight="1" x14ac:dyDescent="0.2">
      <c r="A17" s="10"/>
      <c r="B17" s="8"/>
      <c r="C17" s="12"/>
      <c r="D17" s="8"/>
      <c r="E17" s="8"/>
      <c r="F17" s="8"/>
      <c r="G17" s="6"/>
      <c r="H17" s="6"/>
      <c r="I17" s="638"/>
      <c r="L17" s="6"/>
    </row>
    <row r="18" spans="1:12" ht="12.75" customHeight="1" x14ac:dyDescent="0.2">
      <c r="A18" s="10"/>
      <c r="B18" s="8"/>
      <c r="C18" s="12"/>
      <c r="D18" s="8"/>
      <c r="E18" s="8"/>
      <c r="F18" s="8"/>
      <c r="G18" s="6"/>
      <c r="H18" s="6"/>
      <c r="I18" s="639" t="s">
        <v>994</v>
      </c>
      <c r="L18" s="6"/>
    </row>
    <row r="19" spans="1:12" ht="14.25" customHeight="1" x14ac:dyDescent="0.2">
      <c r="A19" s="10"/>
      <c r="B19" s="8"/>
      <c r="C19" s="27"/>
      <c r="D19" s="8"/>
      <c r="E19" s="8"/>
      <c r="F19" s="8"/>
      <c r="G19" s="6"/>
      <c r="H19" s="6"/>
      <c r="I19" s="639"/>
      <c r="L19" s="6"/>
    </row>
    <row r="20" spans="1:12" ht="16.5" customHeight="1" x14ac:dyDescent="0.2">
      <c r="A20" s="485"/>
      <c r="B20" s="506"/>
      <c r="C20" s="8"/>
      <c r="E20" s="8"/>
      <c r="F20" s="8"/>
      <c r="G20" s="6"/>
      <c r="H20" s="6"/>
      <c r="L20" s="6"/>
    </row>
    <row r="21" spans="1:12" ht="12.75" customHeight="1" x14ac:dyDescent="0.2">
      <c r="A21" s="485" t="s">
        <v>1013</v>
      </c>
      <c r="B21" s="506" t="s">
        <v>1020</v>
      </c>
      <c r="C21" s="8"/>
      <c r="D21" s="8"/>
      <c r="E21" s="8"/>
      <c r="F21" s="8"/>
      <c r="G21" s="6"/>
      <c r="H21" s="6"/>
      <c r="L21" s="6"/>
    </row>
    <row r="22" spans="1:12" ht="12.75" customHeight="1" x14ac:dyDescent="0.2">
      <c r="A22" s="7"/>
      <c r="B22" s="8"/>
      <c r="C22" s="8"/>
      <c r="D22" s="8"/>
      <c r="E22" s="8"/>
      <c r="F22" s="6"/>
      <c r="G22" s="134" t="str">
        <f>+Faworyt!$G$23</f>
        <v>partnerská zľava:</v>
      </c>
      <c r="H22" s="6"/>
      <c r="L22" s="6"/>
    </row>
    <row r="23" spans="1:12" ht="12.75" customHeight="1" x14ac:dyDescent="0.2">
      <c r="A23" s="131" t="str">
        <f>+Faworyt!A24</f>
        <v>Objednávacie kódy, ceny:</v>
      </c>
      <c r="B23" s="8"/>
      <c r="D23" s="8"/>
      <c r="E23" s="8"/>
      <c r="F23" s="8"/>
      <c r="G23" s="143">
        <f>profil!C15</f>
        <v>0</v>
      </c>
      <c r="H23" s="6" t="s">
        <v>57</v>
      </c>
      <c r="L23" s="6"/>
    </row>
    <row r="24" spans="1:12" s="82" customFormat="1" ht="12.75" customHeight="1" x14ac:dyDescent="0.2">
      <c r="A24" s="80"/>
      <c r="B24" s="81" t="str">
        <f>+Faworyt!B25</f>
        <v>kód</v>
      </c>
      <c r="C24" s="82" t="str">
        <f>+Faworyt!C25</f>
        <v>názov</v>
      </c>
      <c r="D24" s="81" t="str">
        <f>+Faworyt!D25</f>
        <v>ks</v>
      </c>
      <c r="E24" s="81" t="str">
        <f>+Faworyt!E25</f>
        <v>cena/ks</v>
      </c>
      <c r="F24" s="81" t="str">
        <f>+Faworyt!F25</f>
        <v>cena celkom</v>
      </c>
      <c r="G24" s="83" t="str">
        <f>+Faworyt!G25</f>
        <v>celkom netto:</v>
      </c>
      <c r="H24" s="84"/>
      <c r="I24" s="18" t="str">
        <f>texty!A29</f>
        <v>Poznámka:</v>
      </c>
      <c r="K24" s="18"/>
      <c r="L24" s="18"/>
    </row>
    <row r="25" spans="1:12" ht="12.75" customHeight="1" x14ac:dyDescent="0.2">
      <c r="A25" s="7" t="str">
        <f>+Faworyt!A26</f>
        <v>Horný profil:</v>
      </c>
      <c r="B25" s="8" t="e">
        <f>+VLOOKUP(M6,data!$C$196:$D$235,2,0)</f>
        <v>#N/A</v>
      </c>
      <c r="C25" s="25" t="e">
        <f>+VLOOKUP(B25,cennik!$A$3:$G$701,2,FALSE)</f>
        <v>#N/A</v>
      </c>
      <c r="D25" s="17" t="e">
        <f>IF(B25="N/A",0,1)</f>
        <v>#N/A</v>
      </c>
      <c r="E25" s="91" t="e">
        <f>+VLOOKUP(B25,cennik!$A:$G,3,FALSE)</f>
        <v>#N/A</v>
      </c>
      <c r="F25" s="91" t="e">
        <f t="shared" ref="F25:F31" si="0">+E25*D25</f>
        <v>#N/A</v>
      </c>
      <c r="G25" s="92" t="e">
        <f t="shared" ref="G25:G31" si="1"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K25" s="191" t="e">
        <f>IF(D25&gt;0,IF(VLOOKUP(B25,cennik!A:L,12,FALSE)="O",1,""),"")</f>
        <v>#N/A</v>
      </c>
      <c r="L25" s="6"/>
    </row>
    <row r="26" spans="1:12" ht="12.75" customHeight="1" x14ac:dyDescent="0.2">
      <c r="A26" s="7" t="str">
        <f>+Faworyt!A27</f>
        <v>spodný profil:</v>
      </c>
      <c r="B26" s="16" t="e">
        <f>+VLOOKUP(O6,data!$C$4:$D$83,2,0)</f>
        <v>#N/A</v>
      </c>
      <c r="C26" s="25" t="e">
        <f>IF($B$26=data!$D$64,texty!$A$239,+VLOOKUP($B$26,cennik!$A$3:$G$907,2,FALSE))</f>
        <v>#N/A</v>
      </c>
      <c r="D26" s="17">
        <v>1</v>
      </c>
      <c r="E26" s="91" t="e">
        <f>IF(B26=data!$D$73,0,+VLOOKUP(B26,cennik!$A$3:$G$907,3,FALSE))</f>
        <v>#N/A</v>
      </c>
      <c r="F26" s="91" t="e">
        <f t="shared" si="0"/>
        <v>#N/A</v>
      </c>
      <c r="G26" s="92" t="e">
        <f t="shared" si="1"/>
        <v>#N/A</v>
      </c>
      <c r="H26" s="6" t="str">
        <f>cennik!$B$2</f>
        <v>EUR</v>
      </c>
      <c r="I26" s="469" t="str">
        <f>IFERROR(IF((VLOOKUP(B26,cennik!A:L,12,0))="O",texty!$A$250,""),"")</f>
        <v/>
      </c>
      <c r="K26" s="191" t="e">
        <f>IF(D26&gt;0,IF(VLOOKUP(B26,cennik!A:L,12,FALSE)="O",1,""),"")</f>
        <v>#N/A</v>
      </c>
      <c r="L26" s="6"/>
    </row>
    <row r="27" spans="1:12" ht="12.75" customHeight="1" x14ac:dyDescent="0.2">
      <c r="A27" s="7" t="str">
        <f>+Faworyt!A28</f>
        <v>krycí profil (maska):</v>
      </c>
      <c r="B27" s="16" t="e">
        <f>+VLOOKUP(O6,data!$C$105:$D$195,2,0)</f>
        <v>#N/A</v>
      </c>
      <c r="C27" s="25" t="e">
        <f>IF($B$27=data!$D$64,texty!$A$239,+VLOOKUP($B$27,cennik!$A$3:$G$907,2,FALSE))</f>
        <v>#N/A</v>
      </c>
      <c r="D27" s="17">
        <v>1</v>
      </c>
      <c r="E27" s="91" t="e">
        <f>IF(B27=data!$D$73,0,+VLOOKUP(B27,cennik!$A$3:$G$907,3,FALSE))</f>
        <v>#N/A</v>
      </c>
      <c r="F27" s="91" t="e">
        <f t="shared" si="0"/>
        <v>#N/A</v>
      </c>
      <c r="G27" s="92" t="e">
        <f t="shared" si="1"/>
        <v>#N/A</v>
      </c>
      <c r="H27" s="6" t="str">
        <f>cennik!$B$2</f>
        <v>EUR</v>
      </c>
      <c r="I27" s="469" t="str">
        <f>IFERROR(IF((VLOOKUP(B27,cennik!A:L,12,0))="O",texty!$A$250,""),"")</f>
        <v/>
      </c>
      <c r="K27" s="191" t="e">
        <f>IF(D27&gt;0,IF(VLOOKUP(B27,cennik!A:L,12,FALSE)="O",1,""),"")</f>
        <v>#N/A</v>
      </c>
      <c r="L27" s="6"/>
    </row>
    <row r="28" spans="1:12" ht="12.75" customHeight="1" x14ac:dyDescent="0.2">
      <c r="A28" s="7" t="str">
        <f>+Faworyt!A29</f>
        <v>horný vozík</v>
      </c>
      <c r="B28" s="16">
        <v>228023</v>
      </c>
      <c r="C28" s="38" t="str">
        <f>+VLOOKUP(B28,cennik!$A:$G,2,FALSE)</f>
        <v>SEVROLL 10196 Focus horný vozík 18mm 2ks</v>
      </c>
      <c r="D28" s="17">
        <f>IF((D41+D42)&gt;D4,0,D4-(D41+D42))</f>
        <v>0</v>
      </c>
      <c r="E28" s="207">
        <f>+VLOOKUP(B28,cennik!$A:$G,3,FALSE)</f>
        <v>3.9014199999999999</v>
      </c>
      <c r="F28" s="91">
        <f t="shared" si="0"/>
        <v>0</v>
      </c>
      <c r="G28" s="92">
        <f t="shared" si="1"/>
        <v>0</v>
      </c>
      <c r="H28" s="6" t="str">
        <f>cennik!$B$2</f>
        <v>EUR</v>
      </c>
      <c r="I28" s="469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">
      <c r="A29" s="7" t="str">
        <f>+Faworyt!A30</f>
        <v>spodný vozík</v>
      </c>
      <c r="B29" s="16">
        <f>IF(F4=M61,362316,229440)</f>
        <v>229440</v>
      </c>
      <c r="C29" s="25" t="str">
        <f>+VLOOKUP(B29,cennik!$A:$G,2,FALSE)</f>
        <v>SEVROLL 10198 spodný vozík WD 18C HI-TEC - 2ks</v>
      </c>
      <c r="D29" s="17">
        <f>+D4</f>
        <v>0</v>
      </c>
      <c r="E29" s="207">
        <f>+VLOOKUP(B29,cennik!$A:$G,3,FALSE)</f>
        <v>5.1863999999999999</v>
      </c>
      <c r="F29" s="91">
        <f t="shared" si="0"/>
        <v>0</v>
      </c>
      <c r="G29" s="92">
        <f t="shared" si="1"/>
        <v>0</v>
      </c>
      <c r="H29" s="6" t="str">
        <f>cennik!$B$2</f>
        <v>EUR</v>
      </c>
      <c r="I29" s="469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">
      <c r="A30" s="7" t="str">
        <f>+Faworyt!A31</f>
        <v>dorazový kartáč</v>
      </c>
      <c r="B30" s="16">
        <v>229433</v>
      </c>
      <c r="C30" s="38" t="str">
        <f>+VLOOKUP(B30,cennik!$A:$G,2,FALSE)</f>
        <v>SEVROLL dorazová kefa zásuvná 4,8x4mm sivá</v>
      </c>
      <c r="D30" s="17">
        <f>CEILING((B4*D4*2/1000),1)</f>
        <v>0</v>
      </c>
      <c r="E30" s="207">
        <f>+VLOOKUP(B30,cennik!$A:$G,3,FALSE)</f>
        <v>0.13</v>
      </c>
      <c r="F30" s="91">
        <f t="shared" si="0"/>
        <v>0</v>
      </c>
      <c r="G30" s="92">
        <f t="shared" si="1"/>
        <v>0</v>
      </c>
      <c r="H30" s="6" t="str">
        <f>cennik!$B$2</f>
        <v>EUR</v>
      </c>
      <c r="I30" s="469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">
      <c r="A31" s="7" t="str">
        <f>+Faworyt!A32</f>
        <v>úchytková lišta</v>
      </c>
      <c r="B31" s="16" t="e">
        <f>+VLOOKUP(P7,data!$C$661:$D$662,2,0)</f>
        <v>#N/A</v>
      </c>
      <c r="C31" s="38" t="e">
        <f>+VLOOKUP(B31,cennik!$A:$G,2,FALSE)</f>
        <v>#N/A</v>
      </c>
      <c r="D31" s="17">
        <f>IF(B11&lt;=1347,D4*2/2,D4*2)</f>
        <v>0</v>
      </c>
      <c r="E31" s="207" t="e">
        <f>+VLOOKUP(B31,cennik!$A:$G,3,FALSE)</f>
        <v>#N/A</v>
      </c>
      <c r="F31" s="91" t="e">
        <f t="shared" si="0"/>
        <v>#N/A</v>
      </c>
      <c r="G31" s="92" t="e">
        <f t="shared" si="1"/>
        <v>#N/A</v>
      </c>
      <c r="H31" s="6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">
      <c r="A32" s="7"/>
      <c r="B32" s="16"/>
      <c r="C32" s="25"/>
      <c r="D32" s="17"/>
      <c r="E32" s="91"/>
      <c r="F32" s="91"/>
      <c r="G32" s="92"/>
      <c r="H32" s="6"/>
      <c r="I32" s="469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ht="12.75" customHeight="1" x14ac:dyDescent="0.2">
      <c r="A33" s="14" t="str">
        <f>texty!$A$66</f>
        <v>Voliteľné príslušenstvo:</v>
      </c>
      <c r="B33" s="121"/>
      <c r="C33" s="122"/>
      <c r="D33" s="478" t="str">
        <f>+Faworyt!D34</f>
        <v>zadajte počet:</v>
      </c>
      <c r="E33" s="91"/>
      <c r="F33" s="91"/>
      <c r="G33" s="92"/>
      <c r="H33" s="6"/>
      <c r="I33" s="469" t="str">
        <f>IFERROR(IF((VLOOKUP(B33,cennik!A:L,12,0))="O",texty!$A$250,""),"")</f>
        <v/>
      </c>
      <c r="K33" s="191"/>
      <c r="L33" s="3"/>
    </row>
    <row r="34" spans="1:12" ht="12.75" customHeight="1" x14ac:dyDescent="0.2">
      <c r="A34" s="7" t="str">
        <f>texty!$A$88</f>
        <v>pozicionér do horného vedenia</v>
      </c>
      <c r="B34" s="187">
        <v>298035</v>
      </c>
      <c r="C34" s="38" t="str">
        <f>+VLOOKUP(B34,cennik!$A:$G,2,FALSE)</f>
        <v>SEVROLL 20326 Fix pozicionér pre horný vozík transparentný</v>
      </c>
      <c r="D34" s="29"/>
      <c r="E34" s="207">
        <f>+VLOOKUP(B34,cennik!$A:$G,3,FALSE)</f>
        <v>1.0837300000000001</v>
      </c>
      <c r="F34" s="105">
        <f>+E34*D34</f>
        <v>0</v>
      </c>
      <c r="G34" s="104">
        <f>+F34*(100-$G$23)/100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28"/>
      <c r="K34" s="191" t="str">
        <f>IF(D34&gt;0,IF(VLOOKUP(B34,cennik!A:L,12,FALSE)="O",1,""),"")</f>
        <v/>
      </c>
      <c r="L34" s="3"/>
    </row>
    <row r="35" spans="1:12" ht="12.75" customHeight="1" x14ac:dyDescent="0.2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SEVROLL 20080 pozicionér spodného vozíka HI-TEC</v>
      </c>
      <c r="D35" s="29"/>
      <c r="E35" s="207">
        <f>+VLOOKUP(B35,cennik!$A:$G,3,FALSE)</f>
        <v>0.30964000000000003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EUR</v>
      </c>
      <c r="I35" s="469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">
      <c r="A36" s="422" t="str">
        <f>texty!$A$228</f>
        <v> Tlmič dorazu MINI do 25 kg (pár)</v>
      </c>
      <c r="B36" s="16">
        <v>318662</v>
      </c>
      <c r="C36" s="25" t="str">
        <f>+VLOOKUP(B36,cennik!$A:$G,2,FALSE)</f>
        <v>SEVROLL 20368-SV tlmič dorazu Mini SV25 (14-25kg)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3"/>
        <v>0</v>
      </c>
      <c r="H36" s="24" t="str">
        <f>cennik!$B$2</f>
        <v>EUR</v>
      </c>
      <c r="I36" s="469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">
      <c r="A37" s="422" t="str">
        <f>texty!$A$229</f>
        <v> Tlmič dorazu MINI do 40 kg (pár)</v>
      </c>
      <c r="B37" s="24">
        <v>283956</v>
      </c>
      <c r="C37" s="25" t="str">
        <f>+VLOOKUP(B37,cennik!$A:$G,2,FALSE)</f>
        <v>SEVROLL 20258-SV tlmič dorazu Mini SV40 (25 - 40kg)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3"/>
        <v>0</v>
      </c>
      <c r="H37" s="24" t="str">
        <f>cennik!$B$2</f>
        <v>EUR</v>
      </c>
      <c r="I37" s="469" t="str">
        <f>IFERROR(IF((VLOOKUP(B37,cennik!A:L,12,0))="O",texty!$A$250,""),"")</f>
        <v/>
      </c>
      <c r="K37" s="191" t="str">
        <f>IF(D37&gt;0,IF(VLOOKUP(B37,cennik!A:L,12,FALSE)="O",1,""),"")</f>
        <v/>
      </c>
      <c r="L37" s="3"/>
    </row>
    <row r="38" spans="1:12" ht="12.75" customHeight="1" x14ac:dyDescent="0.2">
      <c r="A38" s="422" t="str">
        <f>texty!$A$230</f>
        <v> Tlmič dorazu MINI do 60 kg (pár)</v>
      </c>
      <c r="B38" s="24">
        <v>351743</v>
      </c>
      <c r="C38" s="25" t="str">
        <f>+VLOOKUP(B38,cennik!$A:$G,2,FALSE)</f>
        <v>SEVROLL 20339-SV tlmič dorazu Mini SV60 (40 - 60kg)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3"/>
        <v>0</v>
      </c>
      <c r="H38" s="24" t="str">
        <f>cennik!$B$2</f>
        <v>EUR</v>
      </c>
      <c r="I38" s="469" t="str">
        <f>IFERROR(IF((VLOOKUP(B38,cennik!A:L,12,0))="O",texty!$A$250,""),"")</f>
        <v/>
      </c>
      <c r="K38" s="191" t="str">
        <f>IF(D38&gt;0,IF(VLOOKUP(B38,cennik!A:L,12,FALSE)="O",1,""),"")</f>
        <v/>
      </c>
      <c r="L38" s="3"/>
    </row>
    <row r="39" spans="1:12" ht="12.75" customHeight="1" x14ac:dyDescent="0.2">
      <c r="A39" s="422" t="str">
        <f>texty!$A$231</f>
        <v> Tlmič pre stredné krídlo do 25 kg</v>
      </c>
      <c r="B39" s="24">
        <v>318663</v>
      </c>
      <c r="C39" s="25" t="str">
        <f>+VLOOKUP(B39,cennik!$A:$G,2,FALSE)</f>
        <v>SEVROLL 20363-SV tlmič Central 10/18mm obojstranný 25kg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3"/>
        <v>0</v>
      </c>
      <c r="H39" s="24" t="str">
        <f>cennik!$B$2</f>
        <v>EUR</v>
      </c>
      <c r="I39" s="469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">
      <c r="A40" s="422" t="str">
        <f>texty!$A$232</f>
        <v> Tlmič pre stredné krídlo do 40 kg</v>
      </c>
      <c r="B40" s="24">
        <v>283955</v>
      </c>
      <c r="C40" s="25" t="str">
        <f>+VLOOKUP(B40,cennik!$A:$G,2,FALSE)</f>
        <v>SEVROLL 20319-SV tlmič Central 10/18mm obojstranný 25-40kg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3"/>
        <v>0</v>
      </c>
      <c r="H40" s="24" t="str">
        <f>cennik!$B$2</f>
        <v>EUR</v>
      </c>
      <c r="I40" s="469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 L+P</v>
      </c>
      <c r="D41" s="29"/>
      <c r="E41" s="207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EUR</v>
      </c>
      <c r="I41" s="469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EUR</v>
      </c>
      <c r="I42" s="469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">
      <c r="A43" s="7" t="str">
        <f>texty!$A$196</f>
        <v>Spona dorazovej kefky</v>
      </c>
      <c r="B43" s="16">
        <v>223569</v>
      </c>
      <c r="C43" s="38" t="str">
        <f>+VLOOKUP(B43,cennik!$A:$G,2,FALSE)</f>
        <v>SEVROLL 20223 spona dorazovej kefky</v>
      </c>
      <c r="D43" s="29"/>
      <c r="E43" s="207">
        <f>+VLOOKUP(B43,cennik!$A:$G,3,FALSE)</f>
        <v>7.1209999999999996E-2</v>
      </c>
      <c r="F43" s="105">
        <f t="shared" si="2"/>
        <v>0</v>
      </c>
      <c r="G43" s="104">
        <f t="shared" si="3"/>
        <v>0</v>
      </c>
      <c r="H43" s="6" t="str">
        <f>cennik!$B$2</f>
        <v>EUR</v>
      </c>
      <c r="I43" s="469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">
      <c r="A44" s="145" t="str">
        <f>texty!$A$114</f>
        <v>spojovací profil H18-3metre</v>
      </c>
      <c r="B44" s="16" t="e">
        <f>+VLOOKUP($P$7,data!$C$537:$D$547,2,0)</f>
        <v>#N/A</v>
      </c>
      <c r="C44" s="38" t="e">
        <f>+VLOOKUP(B44,cennik!$A:$G,2,FALSE)</f>
        <v>#N/A</v>
      </c>
      <c r="D44" s="29"/>
      <c r="E44" s="207" t="e">
        <f>+VLOOKUP(B44,cennik!$A:$G,3,FALSE)</f>
        <v>#N/A</v>
      </c>
      <c r="F44" s="105" t="e">
        <f t="shared" si="2"/>
        <v>#N/A</v>
      </c>
      <c r="G44" s="104" t="e">
        <f t="shared" si="3"/>
        <v>#N/A</v>
      </c>
      <c r="H44" s="6" t="str">
        <f>cennik!$B$2</f>
        <v>EUR</v>
      </c>
      <c r="I44" s="469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">
      <c r="A45" s="145" t="str">
        <f>texty!$A$115</f>
        <v>spojovací T profil - 3metre /s drážkou/</v>
      </c>
      <c r="B45" s="16" t="e">
        <f>+VLOOKUP($P$7,data!$C$548:$D$557,2,0)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 t="shared" si="2"/>
        <v>#N/A</v>
      </c>
      <c r="G45" s="104" t="e">
        <f t="shared" si="3"/>
        <v>#N/A</v>
      </c>
      <c r="H45" s="24" t="str">
        <f>cennik!$B$2</f>
        <v>EUR</v>
      </c>
      <c r="I45" s="469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">
      <c r="A46" s="145" t="str">
        <f>texty!$A$116</f>
        <v>spojovací T profil - 3metre /s lemom/</v>
      </c>
      <c r="B46" s="16" t="e">
        <f>+VLOOKUP($P$7,data!$C$558:$D$567,2,0)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2"/>
        <v>#N/A</v>
      </c>
      <c r="G46" s="104" t="e">
        <f t="shared" si="3"/>
        <v>#N/A</v>
      </c>
      <c r="H46" s="24" t="str">
        <f>cennik!$B$2</f>
        <v>EUR</v>
      </c>
      <c r="I46" s="469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">
      <c r="A47" s="145" t="str">
        <f>texty!$A$117</f>
        <v>"U" profil na DTD 18mm - 3 metre /hladký/</v>
      </c>
      <c r="B47" s="6" t="e">
        <f>+VLOOKUP($P$7,data!$C$568:$D$578,2,0)</f>
        <v>#N/A</v>
      </c>
      <c r="C47" s="38" t="e">
        <f>+VLOOKUP(B47,cennik!$A:$G,2,FALSE)</f>
        <v>#N/A</v>
      </c>
      <c r="D47" s="29"/>
      <c r="E47" s="207" t="e">
        <f>+VLOOKUP(B47,cennik!$A:$G,3,FALSE)</f>
        <v>#N/A</v>
      </c>
      <c r="F47" s="105" t="e">
        <f t="shared" si="2"/>
        <v>#N/A</v>
      </c>
      <c r="G47" s="104" t="e">
        <f t="shared" si="3"/>
        <v>#N/A</v>
      </c>
      <c r="H47" s="6" t="str">
        <f>cennik!$B$2</f>
        <v>EUR</v>
      </c>
      <c r="I47" s="469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">
      <c r="A48" s="145" t="str">
        <f>texty!$A$118</f>
        <v>"U" profil na DTD 18mm - 3 metre /lem/</v>
      </c>
      <c r="B48" s="16" t="e">
        <f>+VLOOKUP($P$7,data!$C$578:$D$588,2,0)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 t="shared" si="2"/>
        <v>#N/A</v>
      </c>
      <c r="G48" s="104" t="e">
        <f t="shared" si="3"/>
        <v>#N/A</v>
      </c>
      <c r="H48" s="6" t="str">
        <f>cennik!$B$2</f>
        <v>EUR</v>
      </c>
      <c r="I48" s="469" t="str">
        <f>IFERROR(IF((VLOOKUP(B48,cennik!A:L,12,0))="O",texty!$A$250,""),"")</f>
        <v/>
      </c>
      <c r="K48" s="191" t="str">
        <f>IF(D48&gt;0,IF(VLOOKUP(B48,cennik!A:L,12,FALSE)="O",1,""),"")</f>
        <v/>
      </c>
    </row>
    <row r="49" spans="1:14" ht="12.75" customHeight="1" x14ac:dyDescent="0.2">
      <c r="A49" s="145" t="str">
        <f>texty!$A$119</f>
        <v>uholník mini 11x17mm - 1,7m</v>
      </c>
      <c r="B49" s="6" t="e">
        <f>+VLOOKUP($P$7,data!$C$589:$D$599,2,0)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>+E49*D49</f>
        <v>#N/A</v>
      </c>
      <c r="G49" s="104" t="e">
        <f t="shared" si="3"/>
        <v>#N/A</v>
      </c>
      <c r="H49" s="6" t="str">
        <f>cennik!$B$2</f>
        <v>EUR</v>
      </c>
      <c r="I49" s="469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4" ht="12.75" customHeight="1" x14ac:dyDescent="0.2">
      <c r="A50" s="145" t="str">
        <f>texty!$A$120</f>
        <v>uholník mini 11x17mm - 2,35m</v>
      </c>
      <c r="B50" s="6" t="e">
        <f>+VLOOKUP($P$7,data!$C$600:$D$610,2,0)</f>
        <v>#N/A</v>
      </c>
      <c r="C50" s="38" t="e">
        <f>IF(B50=data!$D$64,texty!$A$239,+VLOOKUP(B50,cennik!$A$3:$G$907,2,FALSE))</f>
        <v>#N/A</v>
      </c>
      <c r="D50" s="29"/>
      <c r="E50" s="91" t="e">
        <f>IF(B50=data!$D$73,0,+VLOOKUP(B50,cennik!$A$3:$G$907,3,FALSE))</f>
        <v>#N/A</v>
      </c>
      <c r="F50" s="91" t="e">
        <f>+E50*D50</f>
        <v>#N/A</v>
      </c>
      <c r="G50" s="104" t="e">
        <f t="shared" si="3"/>
        <v>#N/A</v>
      </c>
      <c r="H50" s="6" t="str">
        <f>cennik!$B$2</f>
        <v>EUR</v>
      </c>
      <c r="I50" s="469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4" ht="12.75" customHeight="1" x14ac:dyDescent="0.2">
      <c r="A51" s="145" t="str">
        <f>texty!$A$121</f>
        <v>uholník mini 11x17mm - 3m</v>
      </c>
      <c r="B51" s="15" t="e">
        <f>+VLOOKUP($P$7,data!$C$611:$D$621,2,0)</f>
        <v>#N/A</v>
      </c>
      <c r="C51" s="38" t="e">
        <f>IF(B51=data!$D$64,texty!$A$239,+VLOOKUP(B51,cennik!$A$3:$G$907,2,FALSE))</f>
        <v>#N/A</v>
      </c>
      <c r="D51" s="29"/>
      <c r="E51" s="91" t="e">
        <f>IF(B51=data!$D$73,0,+VLOOKUP(B51,cennik!$A$3:$G$907,3,FALSE))</f>
        <v>#N/A</v>
      </c>
      <c r="F51" s="91" t="e">
        <f>+E51*D51</f>
        <v>#N/A</v>
      </c>
      <c r="G51" s="104" t="e">
        <f t="shared" si="3"/>
        <v>#N/A</v>
      </c>
      <c r="H51" s="6" t="str">
        <f>cennik!$B$2</f>
        <v>EUR</v>
      </c>
      <c r="I51" s="469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4" ht="12.75" customHeight="1" x14ac:dyDescent="0.2">
      <c r="A52" s="145" t="str">
        <f>texty!$A$122</f>
        <v>uholník K2 19x18mm - 1,7m</v>
      </c>
      <c r="B52" s="24" t="e">
        <f>+VLOOKUP($P$7,data!$C$622:$D$631,2,0)</f>
        <v>#N/A</v>
      </c>
      <c r="C52" s="38" t="e">
        <f>IF(B52=data!$D$64,texty!$A$239,+VLOOKUP(B52,cennik!$A$3:$G$907,2,FALSE))</f>
        <v>#N/A</v>
      </c>
      <c r="D52" s="29"/>
      <c r="E52" s="91" t="e">
        <f>IF(B52=data!$D$73,0,+VLOOKUP(B52,cennik!$A$3:$G$907,3,FALSE))</f>
        <v>#N/A</v>
      </c>
      <c r="F52" s="91" t="e">
        <f>+E52*D52</f>
        <v>#N/A</v>
      </c>
      <c r="G52" s="104" t="e">
        <f t="shared" si="3"/>
        <v>#N/A</v>
      </c>
      <c r="H52" s="6" t="str">
        <f>cennik!$B$2</f>
        <v>EUR</v>
      </c>
      <c r="I52" s="469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4" ht="12.75" customHeight="1" x14ac:dyDescent="0.2">
      <c r="A53" s="145" t="str">
        <f>texty!$A$123</f>
        <v>uholník K2 19x18mm - 2,35m</v>
      </c>
      <c r="B53" s="16" t="e">
        <f>+VLOOKUP($P$7,data!$C$632:$D$641,2,0)</f>
        <v>#N/A</v>
      </c>
      <c r="C53" s="38" t="e">
        <f>IF(B53=data!$D$64,texty!$A$239,+VLOOKUP(B53,cennik!$A$3:$G$907,2,FALSE))</f>
        <v>#N/A</v>
      </c>
      <c r="D53" s="30"/>
      <c r="E53" s="91" t="e">
        <f>IF(B53=data!$D$73,0,+VLOOKUP(B53,cennik!$A$3:$G$907,3,FALSE))</f>
        <v>#N/A</v>
      </c>
      <c r="F53" s="91" t="e">
        <f t="shared" si="2"/>
        <v>#N/A</v>
      </c>
      <c r="G53" s="104" t="e">
        <f t="shared" si="3"/>
        <v>#N/A</v>
      </c>
      <c r="H53" s="6" t="str">
        <f>cennik!$B$2</f>
        <v>EUR</v>
      </c>
      <c r="I53" s="469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">
      <c r="A54" s="145" t="str">
        <f>texty!$A$124</f>
        <v>uholník K2 19x18mm - 3,00m</v>
      </c>
      <c r="B54" s="16" t="e">
        <f>+VLOOKUP($P$7,data!$C$642:$D$651,2,0)</f>
        <v>#N/A</v>
      </c>
      <c r="C54" s="38" t="e">
        <f>IF(B54=data!$D$64,texty!$A$239,+VLOOKUP(B54,cennik!$A$3:$G$907,2,FALSE))</f>
        <v>#N/A</v>
      </c>
      <c r="D54" s="30"/>
      <c r="E54" s="91" t="e">
        <f>IF(B54=data!$D$73,0,+VLOOKUP(B54,cennik!$A$3:$G$907,3,FALSE))</f>
        <v>#N/A</v>
      </c>
      <c r="F54" s="91" t="e">
        <f t="shared" si="2"/>
        <v>#N/A</v>
      </c>
      <c r="G54" s="104" t="e">
        <f t="shared" si="3"/>
        <v>#N/A</v>
      </c>
      <c r="H54" s="6" t="str">
        <f>cennik!$B$2</f>
        <v>EUR</v>
      </c>
      <c r="I54" s="469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">
      <c r="A55" s="145" t="str">
        <f>texty!$A$241</f>
        <v>klínok pre dilatáciu výplne 16mm</v>
      </c>
      <c r="B55" s="16">
        <v>308631</v>
      </c>
      <c r="C55" s="38" t="str">
        <f>+VLOOKUP(B55,cennik!$A:$G,2,FALSE)</f>
        <v>SEVROLL 20252 klin pre lamino hrúbka 2mm (100 ks)</v>
      </c>
      <c r="D55" s="29"/>
      <c r="E55" s="207">
        <f>+VLOOKUP(B55,cennik!$A:$G,3,FALSE)</f>
        <v>8.7214100000000006</v>
      </c>
      <c r="F55" s="105">
        <f t="shared" si="2"/>
        <v>0</v>
      </c>
      <c r="G55" s="104">
        <f t="shared" si="3"/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">
      <c r="A56" s="422" t="str">
        <f>texty!$A$240</f>
        <v>zámok posuvných dverí</v>
      </c>
      <c r="B56" s="24">
        <v>216363</v>
      </c>
      <c r="C56" s="38" t="str">
        <f>+VLOOKUP(B56,cennik!$A:$G,2,FALSE)</f>
        <v>SEVROLL 20356 zámok na posuvné dvere 10/18mm</v>
      </c>
      <c r="D56" s="29"/>
      <c r="E56" s="207">
        <f>+VLOOKUP(B56,cennik!$A:$G,3,FALSE)</f>
        <v>15.72176</v>
      </c>
      <c r="F56" s="105">
        <f t="shared" si="2"/>
        <v>0</v>
      </c>
      <c r="G56" s="104">
        <f t="shared" si="3"/>
        <v>0</v>
      </c>
      <c r="H56" s="6" t="str">
        <f>cennik!$B$2</f>
        <v>EUR</v>
      </c>
      <c r="I56" s="469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">
      <c r="A57" s="7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07">
        <f>+VLOOKUP(B57,cennik!$A:$G,3,FALSE)</f>
        <v>0.29721999999999998</v>
      </c>
      <c r="F57" s="105">
        <f t="shared" si="2"/>
        <v>0</v>
      </c>
      <c r="G57" s="104">
        <f t="shared" si="3"/>
        <v>0</v>
      </c>
      <c r="H57" s="6" t="str">
        <f>cennik!$B$2</f>
        <v>EUR</v>
      </c>
      <c r="I57" s="469" t="str">
        <f>IFERROR(IF((VLOOKUP(B57,cennik!A:L,12,0))="O",texty!$A$250,""),"")</f>
        <v/>
      </c>
      <c r="K57" s="191" t="str">
        <f>IF(D57&gt;0,IF(VLOOKUP(B57,cennik!A:L,12,FALSE)="O",1,""),"")</f>
        <v/>
      </c>
      <c r="L57" s="6"/>
    </row>
    <row r="58" spans="1:14" ht="12.75" customHeight="1" x14ac:dyDescent="0.2">
      <c r="A58" s="7"/>
      <c r="B58" s="24"/>
      <c r="C58" s="25"/>
      <c r="D58" s="207"/>
      <c r="E58" s="207"/>
      <c r="F58" s="105"/>
      <c r="G58" s="92"/>
      <c r="H58" s="6"/>
      <c r="I58" s="181"/>
      <c r="K58" s="191"/>
      <c r="L58" s="6"/>
    </row>
    <row r="59" spans="1:14" ht="15" x14ac:dyDescent="0.2">
      <c r="A59" s="271" t="str">
        <f>texty!$A$190</f>
        <v>Ďalšie príslušenstvo</v>
      </c>
      <c r="B59" s="272"/>
      <c r="C59" s="272"/>
      <c r="D59" s="272"/>
      <c r="E59" s="272"/>
      <c r="F59" s="272"/>
      <c r="G59" s="272"/>
      <c r="H59" s="272"/>
      <c r="I59" s="272"/>
      <c r="K59" s="134"/>
      <c r="L59" s="6"/>
    </row>
    <row r="60" spans="1:14" ht="12.75" customHeight="1" x14ac:dyDescent="0.2">
      <c r="A60" s="271" t="str">
        <f>texty!$A$244</f>
        <v>Technický nákres tohoto systému</v>
      </c>
      <c r="D60" s="78" t="str">
        <f>+Faworyt!D61</f>
        <v>CELKOM  (bez DPH)</v>
      </c>
      <c r="E60" s="99"/>
      <c r="F60" s="111" t="e">
        <f>SUM(F25:F57)</f>
        <v>#N/A</v>
      </c>
      <c r="G60" s="111" t="e">
        <f>SUM(G25:G57)</f>
        <v>#N/A</v>
      </c>
      <c r="H60" s="6" t="str">
        <f>cennik!$B$2</f>
        <v>EUR</v>
      </c>
      <c r="I60" s="181"/>
      <c r="K60" s="181"/>
    </row>
    <row r="61" spans="1:14" ht="12.75" customHeight="1" x14ac:dyDescent="0.2">
      <c r="A61" s="75" t="str">
        <f>System10!$A$67</f>
        <v>Vaša poznámka:</v>
      </c>
      <c r="B61" s="661"/>
      <c r="C61" s="662"/>
      <c r="D61" s="662"/>
      <c r="E61" s="662"/>
      <c r="F61" s="662"/>
      <c r="G61" s="663"/>
      <c r="H61" s="6"/>
      <c r="L61" s="5" t="str">
        <f>texty!$A$128</f>
        <v xml:space="preserve">strieborná </v>
      </c>
      <c r="M61" s="21" t="s">
        <v>987</v>
      </c>
    </row>
    <row r="62" spans="1:14" ht="12.75" customHeight="1" x14ac:dyDescent="0.2">
      <c r="A62" s="659">
        <f>profil!$U$15</f>
        <v>0</v>
      </c>
      <c r="B62" s="649"/>
      <c r="C62" s="649"/>
      <c r="D62" s="649"/>
      <c r="E62" s="649"/>
      <c r="F62" s="649"/>
      <c r="G62" s="649"/>
      <c r="H62" s="649"/>
      <c r="L62" s="5" t="str">
        <f>texty!$A$130</f>
        <v>oliva</v>
      </c>
      <c r="M62" s="21" t="s">
        <v>43</v>
      </c>
    </row>
    <row r="63" spans="1:14" ht="12.75" customHeight="1" x14ac:dyDescent="0.2">
      <c r="A63" s="650">
        <f>IF(N63=1,texty!$A$215,IF(K63&gt;0,texty!$A$214,""))</f>
        <v>0</v>
      </c>
      <c r="B63" s="650"/>
      <c r="C63" s="650"/>
      <c r="D63" s="650"/>
      <c r="E63" s="650"/>
      <c r="F63" s="650"/>
      <c r="G63" s="650"/>
      <c r="H63" s="650"/>
      <c r="K63" s="6" t="e">
        <f>SUM(K25:K57)</f>
        <v>#N/A</v>
      </c>
      <c r="N63" s="5">
        <f>IF(ISERROR(K63),1,0)</f>
        <v>1</v>
      </c>
    </row>
    <row r="64" spans="1:1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</sheetData>
  <sheetProtection algorithmName="SHA-512" hashValue="CyW721HZVGVUs0qXIzmuEfD1hVZoXEwVVkDdUgHxNyyGaL7e1t+eif5iUhw3eGQrFqvyxeMYLAzbGJHETAWJGw==" saltValue="VkI9eMRNpNavUjR+2n5ddg==" spinCount="100000" sheet="1" objects="1" scenarios="1" selectLockedCell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104" priority="3">
      <formula>SUM($D$39:$D$40)&gt;0</formula>
    </cfRule>
  </conditionalFormatting>
  <conditionalFormatting sqref="D6">
    <cfRule type="expression" dxfId="102" priority="7">
      <formula>$D$4=4</formula>
    </cfRule>
    <cfRule type="expression" dxfId="101" priority="8">
      <formula>$D$4&lt;&gt;4</formula>
    </cfRule>
  </conditionalFormatting>
  <conditionalFormatting sqref="G4:I6">
    <cfRule type="expression" dxfId="100" priority="6">
      <formula>$D$4=4</formula>
    </cfRule>
  </conditionalFormatting>
  <conditionalFormatting sqref="I16:I17">
    <cfRule type="expression" dxfId="99" priority="4">
      <formula>$F$4=$M$62</formula>
    </cfRule>
  </conditionalFormatting>
  <conditionalFormatting sqref="I18:I19">
    <cfRule type="expression" dxfId="98" priority="5">
      <formula>$F$4=$M$61</formula>
    </cfRule>
  </conditionalFormatting>
  <dataValidations count="7">
    <dataValidation type="list" allowBlank="1" showInputMessage="1" showErrorMessage="1" sqref="E5:F6" xr:uid="{00000000-0002-0000-18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71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6.7109375" style="5" customWidth="1"/>
    <col min="2" max="2" width="15.7109375" style="5" customWidth="1"/>
    <col min="3" max="3" width="46.42578125" style="5" bestFit="1" customWidth="1"/>
    <col min="4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-9.8000000000000007</v>
      </c>
    </row>
    <row r="2" spans="1:16" ht="18.75" customHeight="1" x14ac:dyDescent="0.2">
      <c r="A2" s="523" t="s">
        <v>600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",5,".",67)</f>
        <v>katalóg kovania 2018 str. 5.67</v>
      </c>
      <c r="B3" s="420" t="str">
        <f>CONCATENATE(texty!A34," / max.          2 742 mm /")</f>
        <v>výška / max.          2 742 mm /</v>
      </c>
      <c r="C3" s="421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20" t="str">
        <f>texty!A38</f>
        <v>typ spodného vedenia</v>
      </c>
      <c r="G3" s="6"/>
      <c r="H3" s="6"/>
      <c r="L3" s="6"/>
    </row>
    <row r="4" spans="1:16" ht="27" customHeight="1" x14ac:dyDescent="0.2">
      <c r="A4" s="10" t="str">
        <f>+Faworyt!A4</f>
        <v>VNÚTORNÝ ROZMER SKRINE:</v>
      </c>
      <c r="B4" s="56"/>
      <c r="C4" s="56"/>
      <c r="D4" s="22"/>
      <c r="E4" s="209"/>
      <c r="F4" s="458"/>
      <c r="G4" s="647"/>
      <c r="H4" s="647"/>
      <c r="I4" s="647"/>
      <c r="K4" s="190"/>
      <c r="L4" s="8"/>
    </row>
    <row r="5" spans="1:16" ht="18" customHeight="1" x14ac:dyDescent="0.2">
      <c r="A5" s="10"/>
      <c r="B5" s="664" t="str">
        <f>+System10!B5</f>
        <v>vypíšte týchto 5 políčok !!! Údaje v mm</v>
      </c>
      <c r="C5" s="664"/>
      <c r="D5" s="664"/>
      <c r="E5" s="664"/>
      <c r="F5" s="471"/>
      <c r="G5" s="647"/>
      <c r="H5" s="647"/>
      <c r="I5" s="647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M6" s="23" t="str">
        <f>CONCATENATE(M5,"-",E4)</f>
        <v>1700-</v>
      </c>
      <c r="N6" s="21"/>
      <c r="O6" s="23" t="str">
        <f>CONCATENATE(O5,"-",E4,", ",F4)</f>
        <v xml:space="preserve">1700-, </v>
      </c>
    </row>
    <row r="7" spans="1:16" ht="12.75" customHeight="1" x14ac:dyDescent="0.2">
      <c r="A7" s="10" t="str">
        <f>+Faworyt!A7</f>
        <v>krídlo dverí:</v>
      </c>
      <c r="B7" s="57">
        <f>+B4-42</f>
        <v>-42</v>
      </c>
      <c r="C7" s="59" t="e">
        <f>+((C4-3+36*(D4-1))/D4+IF(AND(D4=4,D6=2),M1,0))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>
        <f>+E4</f>
        <v>0</v>
      </c>
    </row>
    <row r="8" spans="1:16" ht="12.75" customHeight="1" x14ac:dyDescent="0.2">
      <c r="A8" s="10" t="str">
        <f>+Faworyt!A8</f>
        <v>rozmer výplne 18mm:</v>
      </c>
      <c r="B8" s="57">
        <f>+B7-2</f>
        <v>-44</v>
      </c>
      <c r="C8" s="59" t="e">
        <f>+C7-22</f>
        <v>#DIV/0!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>1700-</v>
      </c>
      <c r="P8" s="21"/>
    </row>
    <row r="9" spans="1:16" ht="12.75" customHeight="1" x14ac:dyDescent="0.2">
      <c r="A9" s="10" t="str">
        <f>+Faworyt!A9</f>
        <v>rozmer výplne 12mm:</v>
      </c>
      <c r="B9" s="57">
        <f>+B8</f>
        <v>-44</v>
      </c>
      <c r="C9" s="59" t="e">
        <f>+C7-7</f>
        <v>#DIV/0!</v>
      </c>
      <c r="D9" s="8"/>
      <c r="E9" s="8"/>
      <c r="F9" s="8"/>
      <c r="G9" s="51"/>
      <c r="H9" s="6"/>
      <c r="L9" s="37"/>
      <c r="M9" s="36"/>
    </row>
    <row r="10" spans="1:16" ht="12.75" customHeight="1" x14ac:dyDescent="0.2">
      <c r="A10" s="10" t="str">
        <f>+Faworyt!A10</f>
        <v>rozmer zrkadla /na DTD 12mm/</v>
      </c>
      <c r="B10" s="57">
        <f>+B8-4</f>
        <v>-48</v>
      </c>
      <c r="C10" s="494" t="e">
        <f>+C9-20</f>
        <v>#DIV/0!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">
      <c r="A11" s="10" t="str">
        <f>texty!$A$51</f>
        <v>Dĺžka úchytkového profilu (+2 mm)</v>
      </c>
      <c r="B11" s="488">
        <f>B8+2</f>
        <v>-42</v>
      </c>
      <c r="C11" s="489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">
      <c r="A12" s="10"/>
      <c r="B12" s="170" t="e">
        <f>IF(B7&gt;2400,texty!A194,IF(C7&gt;700,texty!A194,""))</f>
        <v>#DIV/0!</v>
      </c>
      <c r="C12" s="495"/>
      <c r="D12" s="8"/>
      <c r="E12" s="8"/>
      <c r="G12" s="6"/>
      <c r="L12" s="6"/>
    </row>
    <row r="13" spans="1:16" ht="19.899999999999999" customHeight="1" x14ac:dyDescent="0.2">
      <c r="A13" s="635" t="str">
        <f>IF(SUM(D39:D40)&gt;0,texty!A246,"")</f>
        <v/>
      </c>
      <c r="B13" s="635"/>
      <c r="C13" s="665" t="str">
        <f>texty!A78</f>
        <v>dodatočné odpočty výšky vypočítaných výplní pri použití deliacich profilov výplne:</v>
      </c>
      <c r="D13" s="8"/>
      <c r="E13" s="8"/>
      <c r="F13" s="8"/>
      <c r="G13" s="6"/>
      <c r="H13" s="6"/>
      <c r="L13" s="35"/>
    </row>
    <row r="14" spans="1:16" ht="19.899999999999999" customHeight="1" x14ac:dyDescent="0.2">
      <c r="A14" s="635"/>
      <c r="B14" s="635"/>
      <c r="C14" s="665"/>
      <c r="D14" s="8"/>
      <c r="E14" s="8"/>
      <c r="F14" s="8"/>
      <c r="G14" s="6"/>
      <c r="H14" s="6"/>
      <c r="L14" s="35"/>
    </row>
    <row r="15" spans="1:16" ht="12.75" customHeight="1" x14ac:dyDescent="0.2">
      <c r="A15" s="7"/>
      <c r="B15" s="58"/>
      <c r="C15" s="86"/>
      <c r="D15" s="8"/>
      <c r="E15" s="8"/>
      <c r="F15" s="8"/>
      <c r="G15" s="6"/>
      <c r="H15" s="6"/>
      <c r="L15" s="35"/>
    </row>
    <row r="16" spans="1:16" ht="12.75" customHeight="1" x14ac:dyDescent="0.2">
      <c r="A16" s="188"/>
      <c r="B16" s="64"/>
      <c r="C16" s="164"/>
      <c r="D16" s="8"/>
      <c r="E16" s="8"/>
      <c r="F16" s="8"/>
      <c r="G16" s="6"/>
      <c r="H16" s="6"/>
      <c r="I16" s="638" t="s">
        <v>993</v>
      </c>
      <c r="L16" s="6"/>
    </row>
    <row r="17" spans="1:12" ht="12.75" customHeight="1" x14ac:dyDescent="0.2">
      <c r="A17" s="10"/>
      <c r="B17" s="8"/>
      <c r="C17" s="12"/>
      <c r="D17" s="8"/>
      <c r="E17" s="8"/>
      <c r="F17" s="8"/>
      <c r="G17" s="6"/>
      <c r="H17" s="6"/>
      <c r="I17" s="638"/>
      <c r="L17" s="6"/>
    </row>
    <row r="18" spans="1:12" ht="12.75" customHeight="1" x14ac:dyDescent="0.2">
      <c r="A18" s="10"/>
      <c r="B18" s="8"/>
      <c r="C18" s="12"/>
      <c r="D18" s="8"/>
      <c r="E18" s="8"/>
      <c r="F18" s="8"/>
      <c r="G18" s="6"/>
      <c r="H18" s="6"/>
      <c r="I18" s="639" t="s">
        <v>994</v>
      </c>
      <c r="L18" s="6"/>
    </row>
    <row r="19" spans="1:12" ht="14.25" customHeight="1" x14ac:dyDescent="0.2">
      <c r="A19" s="10"/>
      <c r="B19" s="8"/>
      <c r="C19" s="27"/>
      <c r="D19" s="8"/>
      <c r="E19" s="8"/>
      <c r="F19" s="8"/>
      <c r="G19" s="6"/>
      <c r="H19" s="6"/>
      <c r="I19" s="639"/>
      <c r="L19" s="6"/>
    </row>
    <row r="20" spans="1:12" ht="16.5" customHeight="1" x14ac:dyDescent="0.2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">
      <c r="A21" s="485" t="s">
        <v>1013</v>
      </c>
      <c r="B21" s="506" t="s">
        <v>1020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">
      <c r="A22" s="7"/>
      <c r="B22" s="8"/>
      <c r="C22" s="8"/>
      <c r="D22" s="8"/>
      <c r="E22" s="8"/>
      <c r="F22" s="6"/>
      <c r="G22" s="134" t="str">
        <f>+Faworyt!$G$23</f>
        <v>partnerská zľava:</v>
      </c>
      <c r="H22" s="6"/>
      <c r="L22" s="6"/>
    </row>
    <row r="23" spans="1:12" ht="12.75" customHeight="1" x14ac:dyDescent="0.2">
      <c r="A23" s="131" t="str">
        <f>+Faworyt!A24</f>
        <v>Objednávacie kódy, ceny:</v>
      </c>
      <c r="B23" s="8"/>
      <c r="C23" s="8"/>
      <c r="D23" s="8"/>
      <c r="E23" s="8"/>
      <c r="F23" s="6"/>
      <c r="G23" s="120">
        <f>profil!C15</f>
        <v>0</v>
      </c>
      <c r="H23" s="6" t="s">
        <v>57</v>
      </c>
      <c r="L23" s="6"/>
    </row>
    <row r="24" spans="1:12" s="82" customFormat="1" ht="12.75" customHeight="1" x14ac:dyDescent="0.2">
      <c r="A24" s="80"/>
      <c r="B24" s="81" t="str">
        <f>+Faworyt!B25</f>
        <v>kód</v>
      </c>
      <c r="C24" s="81" t="str">
        <f>+Faworyt!C25</f>
        <v>názov</v>
      </c>
      <c r="D24" s="81" t="str">
        <f>+Faworyt!D25</f>
        <v>ks</v>
      </c>
      <c r="E24" s="81" t="str">
        <f>+Faworyt!E25</f>
        <v>cena/ks</v>
      </c>
      <c r="F24" s="18" t="str">
        <f>+Faworyt!F25</f>
        <v>cena celkom</v>
      </c>
      <c r="G24" s="18" t="str">
        <f>+Faworyt!G25</f>
        <v>celkom netto:</v>
      </c>
      <c r="H24" s="18"/>
      <c r="I24" s="18" t="str">
        <f>texty!A29</f>
        <v>Poznámka:</v>
      </c>
      <c r="J24" s="18"/>
      <c r="L24" s="18"/>
    </row>
    <row r="25" spans="1:12" ht="12.75" customHeight="1" x14ac:dyDescent="0.2">
      <c r="A25" s="7" t="str">
        <f>+Faworyt!A26</f>
        <v>Horný profil:</v>
      </c>
      <c r="B25" s="8" t="e">
        <f>+VLOOKUP(M6,data!$C$196:$D$235,2,0)</f>
        <v>#N/A</v>
      </c>
      <c r="C25" s="25" t="e">
        <f>+VLOOKUP(B25,cennik!$A$3:$G$984,2,FALSE)</f>
        <v>#N/A</v>
      </c>
      <c r="D25" s="17" t="e">
        <f>IF(B25="N/A",0,1)</f>
        <v>#N/A</v>
      </c>
      <c r="E25" s="91" t="e">
        <f>+VLOOKUP(B25,cennik!$A:$G,3,FALSE)</f>
        <v>#N/A</v>
      </c>
      <c r="F25" s="91" t="e">
        <f t="shared" ref="F25:F31" si="0">+E25*D25</f>
        <v>#N/A</v>
      </c>
      <c r="G25" s="92" t="e">
        <f t="shared" ref="G25:G31" si="1"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J25" s="191" t="e">
        <f>IF(D25&gt;0,IF(VLOOKUP(B25,cennik!A:L,12,FALSE)="O",1,""),"")</f>
        <v>#N/A</v>
      </c>
      <c r="L25" s="6"/>
    </row>
    <row r="26" spans="1:12" ht="12.75" customHeight="1" x14ac:dyDescent="0.2">
      <c r="A26" s="72" t="str">
        <f>+Faworyt!A27</f>
        <v>spodný profil:</v>
      </c>
      <c r="B26" s="16" t="e">
        <f>+VLOOKUP(O6,data!$C$4:$D$83,2,0)</f>
        <v>#N/A</v>
      </c>
      <c r="C26" s="25" t="e">
        <f>IF($B$26=data!$D$64,texty!$A$239,+VLOOKUP($B$26,cennik!$A$3:$G$907,2,FALSE))</f>
        <v>#N/A</v>
      </c>
      <c r="D26" s="17">
        <v>1</v>
      </c>
      <c r="E26" s="91" t="e">
        <f>IF(B26=data!$D$73,0,+VLOOKUP(B26,cennik!$A$3:$G$907,3,FALSE))</f>
        <v>#N/A</v>
      </c>
      <c r="F26" s="91" t="e">
        <f t="shared" si="0"/>
        <v>#N/A</v>
      </c>
      <c r="G26" s="92" t="e">
        <f t="shared" si="1"/>
        <v>#N/A</v>
      </c>
      <c r="H26" s="6" t="str">
        <f>cennik!$B$2</f>
        <v>EUR</v>
      </c>
      <c r="I26" s="469" t="str">
        <f>IFERROR(IF((VLOOKUP(B26,cennik!A:L,12,0))="O",texty!$A$250,""),"")</f>
        <v/>
      </c>
      <c r="J26" s="191" t="e">
        <f>IF(D26&gt;0,IF(VLOOKUP(B26,cennik!A:L,12,FALSE)="O",1,""),"")</f>
        <v>#N/A</v>
      </c>
      <c r="L26" s="6"/>
    </row>
    <row r="27" spans="1:12" ht="12.75" customHeight="1" x14ac:dyDescent="0.2">
      <c r="A27" s="7" t="str">
        <f>+Faworyt!A28</f>
        <v>krycí profil (maska):</v>
      </c>
      <c r="B27" s="16" t="e">
        <f>+VLOOKUP(O6,data!$C$105:$D$195,2,0)</f>
        <v>#N/A</v>
      </c>
      <c r="C27" s="25" t="e">
        <f>IF($B$27=data!$D$64,texty!$A$239,+VLOOKUP($B$27,cennik!$A$3:$G$907,2,FALSE))</f>
        <v>#N/A</v>
      </c>
      <c r="D27" s="17">
        <v>1</v>
      </c>
      <c r="E27" s="91" t="e">
        <f>IF(B27=data!$D$73,0,+VLOOKUP(B27,cennik!$A$3:$G$907,3,FALSE))</f>
        <v>#N/A</v>
      </c>
      <c r="F27" s="91" t="e">
        <f t="shared" si="0"/>
        <v>#N/A</v>
      </c>
      <c r="G27" s="92" t="e">
        <f t="shared" si="1"/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  <c r="L27" s="6"/>
    </row>
    <row r="28" spans="1:12" ht="12.75" customHeight="1" x14ac:dyDescent="0.2">
      <c r="A28" s="7" t="str">
        <f>+Faworyt!A29</f>
        <v>horný vozík</v>
      </c>
      <c r="B28" s="16">
        <v>228023</v>
      </c>
      <c r="C28" s="38" t="str">
        <f>+VLOOKUP(B28,cennik!$A:$G,2,FALSE)</f>
        <v>SEVROLL 10196 Focus horný vozík 18mm 2ks</v>
      </c>
      <c r="D28" s="17">
        <f>IF((D41+D42)&gt;D4,0,D4-(D41+D42))</f>
        <v>0</v>
      </c>
      <c r="E28" s="207">
        <f>+VLOOKUP(B28,cennik!$A:$G,3,FALSE)</f>
        <v>3.9014199999999999</v>
      </c>
      <c r="F28" s="91">
        <f t="shared" si="0"/>
        <v>0</v>
      </c>
      <c r="G28" s="92">
        <f t="shared" si="1"/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">
      <c r="A29" s="7" t="str">
        <f>+Faworyt!A30</f>
        <v>spodný vozík</v>
      </c>
      <c r="B29" s="16">
        <f>IF(F4=M64,362316,229440)</f>
        <v>229440</v>
      </c>
      <c r="C29" s="25" t="str">
        <f>+VLOOKUP(B29,cennik!$A:$G,2,FALSE)</f>
        <v>SEVROLL 10198 spodný vozík WD 18C HI-TEC - 2ks</v>
      </c>
      <c r="D29" s="17">
        <f>+D4</f>
        <v>0</v>
      </c>
      <c r="E29" s="207">
        <f>+VLOOKUP(B29,cennik!$A:$G,3,FALSE)</f>
        <v>5.1863999999999999</v>
      </c>
      <c r="F29" s="91">
        <f t="shared" si="0"/>
        <v>0</v>
      </c>
      <c r="G29" s="92">
        <f t="shared" si="1"/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">
      <c r="A30" s="7" t="str">
        <f>texty!A89</f>
        <v>dorazový kartáč</v>
      </c>
      <c r="B30" s="16">
        <v>229433</v>
      </c>
      <c r="C30" s="38" t="str">
        <f>+VLOOKUP(B30,cennik!$A:$G,2,FALSE)</f>
        <v>SEVROLL dorazová kefa zásuvná 4,8x4mm sivá</v>
      </c>
      <c r="D30" s="17">
        <f>CEILING((B4*D4*2/1000),1)</f>
        <v>0</v>
      </c>
      <c r="E30" s="207">
        <f>+VLOOKUP(B30,cennik!$A:$G,3,FALSE)</f>
        <v>0.13</v>
      </c>
      <c r="F30" s="91">
        <f t="shared" si="0"/>
        <v>0</v>
      </c>
      <c r="G30" s="92">
        <f t="shared" si="1"/>
        <v>0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">
      <c r="A31" s="7" t="str">
        <f>+Faworyt!A32</f>
        <v>úchytková lišta</v>
      </c>
      <c r="B31" s="16" t="e">
        <f>+VLOOKUP(P7,data!$C$652:$D$656,2,0)</f>
        <v>#N/A</v>
      </c>
      <c r="C31" s="38" t="e">
        <f>+VLOOKUP(B31,cennik!$A:$G,2,FALSE)</f>
        <v>#N/A</v>
      </c>
      <c r="D31" s="17">
        <f>IF(B11&lt;=1347,D4*2/2,D4*2)</f>
        <v>0</v>
      </c>
      <c r="E31" s="207" t="e">
        <f>+VLOOKUP(B31,cennik!$A:$G,3,FALSE)</f>
        <v>#N/A</v>
      </c>
      <c r="F31" s="91" t="e">
        <f t="shared" si="0"/>
        <v>#N/A</v>
      </c>
      <c r="G31" s="92" t="e">
        <f t="shared" si="1"/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">
      <c r="A32" s="7"/>
      <c r="B32" s="16"/>
      <c r="C32" s="25"/>
      <c r="D32" s="17"/>
      <c r="E32" s="91"/>
      <c r="F32" s="91"/>
      <c r="G32" s="92"/>
      <c r="H32" s="6"/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">
      <c r="A33" s="14" t="str">
        <f>+System10!$A$41</f>
        <v>Voliteľné príslušenstvo:</v>
      </c>
      <c r="B33" s="16"/>
      <c r="C33" s="25"/>
      <c r="D33" s="478" t="str">
        <f>+Faworyt!D34</f>
        <v>zadajte počet:</v>
      </c>
      <c r="E33" s="91"/>
      <c r="F33" s="91"/>
      <c r="G33" s="92"/>
      <c r="H33" s="6"/>
      <c r="I33" s="469" t="str">
        <f>IFERROR(IF((VLOOKUP(B33,cennik!A:L,12,0))="O",texty!$A$250,""),"")</f>
        <v/>
      </c>
      <c r="L33" s="6"/>
    </row>
    <row r="34" spans="1:12" ht="12.75" customHeight="1" x14ac:dyDescent="0.2">
      <c r="A34" s="7" t="str">
        <f>texty!$A$88</f>
        <v>pozicionér do horného vedenia</v>
      </c>
      <c r="B34" s="187">
        <v>298035</v>
      </c>
      <c r="C34" s="38" t="str">
        <f>+VLOOKUP(B34,cennik!$A:$G,2,FALSE)</f>
        <v>SEVROLL 20326 Fix pozicionér pre horný vozík transparentný</v>
      </c>
      <c r="D34" s="29"/>
      <c r="E34" s="207">
        <f>+VLOOKUP(B34,cennik!$A:$G,3,FALSE)</f>
        <v>1.0837300000000001</v>
      </c>
      <c r="F34" s="105">
        <f>+E34*D34</f>
        <v>0</v>
      </c>
      <c r="G34" s="104">
        <f>+F34*(100-$G$23)/100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SEVROLL 20080 pozicionér spodného vozíka HI-TEC</v>
      </c>
      <c r="D35" s="29"/>
      <c r="E35" s="207">
        <f>+VLOOKUP(B35,cennik!$A:$G,3,FALSE)</f>
        <v>0.30964000000000003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">
      <c r="A36" s="422" t="str">
        <f>texty!$A$228</f>
        <v> Tlmič dorazu MINI do 25 kg (pár)</v>
      </c>
      <c r="B36" s="16">
        <v>318662</v>
      </c>
      <c r="C36" s="25" t="str">
        <f>+VLOOKUP(B36,cennik!$A:$G,2,FALSE)</f>
        <v>SEVROLL 20368-SV tlmič dorazu Mini SV25 (14-25kg)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3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">
      <c r="A37" s="422" t="str">
        <f>texty!$A$229</f>
        <v> Tlmič dorazu MINI do 40 kg (pár)</v>
      </c>
      <c r="B37" s="24">
        <v>283956</v>
      </c>
      <c r="C37" s="25" t="str">
        <f>+VLOOKUP(B37,cennik!$A:$G,2,FALSE)</f>
        <v>SEVROLL 20258-SV tlmič dorazu Mini SV40 (25 - 40kg)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3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">
      <c r="A38" s="422" t="str">
        <f>texty!$A$230</f>
        <v> Tlmič dorazu MINI do 60 kg (pár)</v>
      </c>
      <c r="B38" s="24">
        <v>351743</v>
      </c>
      <c r="C38" s="25" t="str">
        <f>+VLOOKUP(B38,cennik!$A:$G,2,FALSE)</f>
        <v>SEVROLL 20339-SV tlmič dorazu Mini SV60 (40 - 60kg)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3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">
      <c r="A39" s="422" t="str">
        <f>texty!$A$231</f>
        <v> Tlmič pre stredné krídlo do 25 kg</v>
      </c>
      <c r="B39" s="24">
        <v>318663</v>
      </c>
      <c r="C39" s="25" t="str">
        <f>+VLOOKUP(B39,cennik!$A:$G,2,FALSE)</f>
        <v>SEVROLL 20363-SV tlmič Central 10/18mm obojstranný 25kg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3"/>
        <v>0</v>
      </c>
      <c r="H39" s="24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">
      <c r="A40" s="422" t="str">
        <f>texty!$A$232</f>
        <v> Tlmič pre stredné krídlo do 40 kg</v>
      </c>
      <c r="B40" s="24">
        <v>283955</v>
      </c>
      <c r="C40" s="25" t="str">
        <f>+VLOOKUP(B40,cennik!$A:$G,2,FALSE)</f>
        <v>SEVROLL 20319-SV tlmič Central 10/18mm obojstranný 25-40kg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3"/>
        <v>0</v>
      </c>
      <c r="H40" s="24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 L+P</v>
      </c>
      <c r="D41" s="29"/>
      <c r="E41" s="207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6"/>
    </row>
    <row r="42" spans="1:12" ht="12.75" customHeight="1" x14ac:dyDescent="0.2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">
      <c r="A43" s="7" t="str">
        <f>texty!$A$196</f>
        <v>Spona dorazovej kefky</v>
      </c>
      <c r="B43" s="16">
        <v>223569</v>
      </c>
      <c r="C43" s="38" t="str">
        <f>+VLOOKUP(B43,cennik!$A:$G,2,FALSE)</f>
        <v>SEVROLL 20223 spona dorazovej kefky</v>
      </c>
      <c r="D43" s="29"/>
      <c r="E43" s="207">
        <f>+VLOOKUP(B43,cennik!$A:$G,3,FALSE)</f>
        <v>7.1209999999999996E-2</v>
      </c>
      <c r="F43" s="105">
        <f t="shared" si="2"/>
        <v>0</v>
      </c>
      <c r="G43" s="104">
        <f t="shared" si="3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">
      <c r="A44" s="145" t="str">
        <f>texty!$A$114</f>
        <v>spojovací profil H18-3metre</v>
      </c>
      <c r="B44" s="16" t="e">
        <f>+VLOOKUP($P$7,data!$C$537:$D$547,2,0)</f>
        <v>#N/A</v>
      </c>
      <c r="C44" s="38" t="e">
        <f>+VLOOKUP(B44,cennik!$A:$G,2,FALSE)</f>
        <v>#N/A</v>
      </c>
      <c r="D44" s="29"/>
      <c r="E44" s="207" t="e">
        <f>+VLOOKUP(B44,cennik!$A:$G,3,FALSE)</f>
        <v>#N/A</v>
      </c>
      <c r="F44" s="105" t="e">
        <f t="shared" si="2"/>
        <v>#N/A</v>
      </c>
      <c r="G44" s="104" t="e">
        <f t="shared" si="3"/>
        <v>#N/A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">
      <c r="A45" s="145" t="str">
        <f>texty!$A$115</f>
        <v>spojovací T profil - 3metre /s drážkou/</v>
      </c>
      <c r="B45" s="16" t="e">
        <f>+VLOOKUP($P$7,data!$C$548:$D$557,2,0)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 t="shared" si="2"/>
        <v>#N/A</v>
      </c>
      <c r="G45" s="104" t="e">
        <f t="shared" si="3"/>
        <v>#N/A</v>
      </c>
      <c r="H45" s="24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">
      <c r="A46" s="145" t="str">
        <f>texty!$A$116</f>
        <v>spojovací T profil - 3metre /s lemom/</v>
      </c>
      <c r="B46" s="16" t="e">
        <f>+VLOOKUP($P$7,data!$C$558:$D$567,2,0)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2"/>
        <v>#N/A</v>
      </c>
      <c r="G46" s="104" t="e">
        <f t="shared" si="3"/>
        <v>#N/A</v>
      </c>
      <c r="H46" s="24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">
      <c r="A47" s="145" t="str">
        <f>texty!$A$117</f>
        <v>"U" profil na DTD 18mm - 3 metre /hladký/</v>
      </c>
      <c r="B47" s="6" t="e">
        <f>+VLOOKUP($P$7,data!$C$568:$D$578,2,0)</f>
        <v>#N/A</v>
      </c>
      <c r="C47" s="38" t="e">
        <f>+VLOOKUP(B47,cennik!$A:$G,2,FALSE)</f>
        <v>#N/A</v>
      </c>
      <c r="D47" s="29"/>
      <c r="E47" s="207" t="e">
        <f>+VLOOKUP(B47,cennik!$A:$G,3,FALSE)</f>
        <v>#N/A</v>
      </c>
      <c r="F47" s="105" t="e">
        <f t="shared" si="2"/>
        <v>#N/A</v>
      </c>
      <c r="G47" s="104" t="e">
        <f t="shared" si="3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">
      <c r="A48" s="145" t="str">
        <f>texty!$A$118</f>
        <v>"U" profil na DTD 18mm - 3 metre /lem/</v>
      </c>
      <c r="B48" s="16" t="e">
        <f>+VLOOKUP($P$7,data!$C$578:$D$588,2,0)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 t="shared" si="2"/>
        <v>#N/A</v>
      </c>
      <c r="G48" s="104" t="e">
        <f t="shared" si="3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3"/>
    </row>
    <row r="49" spans="1:13" ht="12.75" customHeight="1" x14ac:dyDescent="0.2">
      <c r="A49" s="145" t="str">
        <f>texty!$A$119</f>
        <v>uholník mini 11x17mm - 1,7m</v>
      </c>
      <c r="B49" s="6" t="e">
        <f>+VLOOKUP($P$7,data!$C$589:$D$599,2,0)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>+E49*D49</f>
        <v>#N/A</v>
      </c>
      <c r="G49" s="92" t="e">
        <f t="shared" si="3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3" ht="12.75" customHeight="1" x14ac:dyDescent="0.2">
      <c r="A50" s="145" t="str">
        <f>texty!$A$120</f>
        <v>uholník mini 11x17mm - 2,35m</v>
      </c>
      <c r="B50" s="6" t="e">
        <f>+VLOOKUP($P$7,data!$C$600:$D$610,2,0)</f>
        <v>#N/A</v>
      </c>
      <c r="C50" s="38" t="e">
        <f>IF(B50=data!$D$64,texty!$A$239,+VLOOKUP(B50,cennik!$A$3:$G$907,2,FALSE))</f>
        <v>#N/A</v>
      </c>
      <c r="D50" s="29"/>
      <c r="E50" s="91" t="e">
        <f>IF(B50=data!$D$73,0,+VLOOKUP(B50,cennik!$A$3:$G$907,3,FALSE))</f>
        <v>#N/A</v>
      </c>
      <c r="F50" s="91" t="e">
        <f>+E50*D50</f>
        <v>#N/A</v>
      </c>
      <c r="G50" s="92" t="e">
        <f t="shared" si="3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3" ht="12.75" customHeight="1" x14ac:dyDescent="0.2">
      <c r="A51" s="145" t="str">
        <f>texty!$A$121</f>
        <v>uholník mini 11x17mm - 3m</v>
      </c>
      <c r="B51" s="15" t="e">
        <f>+VLOOKUP($P$7,data!$C$611:$D$621,2,0)</f>
        <v>#N/A</v>
      </c>
      <c r="C51" s="38" t="e">
        <f>IF(B51=data!$D$64,texty!$A$239,+VLOOKUP(B51,cennik!$A$3:$G$907,2,FALSE))</f>
        <v>#N/A</v>
      </c>
      <c r="D51" s="29"/>
      <c r="E51" s="91" t="e">
        <f>IF(B51=data!$D$73,0,+VLOOKUP(B51,cennik!$A$3:$G$907,3,FALSE))</f>
        <v>#N/A</v>
      </c>
      <c r="F51" s="91" t="e">
        <f>+E51*D51</f>
        <v>#N/A</v>
      </c>
      <c r="G51" s="92" t="e">
        <f t="shared" si="3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  <c r="L51" s="6"/>
    </row>
    <row r="52" spans="1:13" ht="12.75" customHeight="1" x14ac:dyDescent="0.2">
      <c r="A52" s="145" t="str">
        <f>texty!$A$122</f>
        <v>uholník K2 19x18mm - 1,7m</v>
      </c>
      <c r="B52" s="24" t="e">
        <f>+VLOOKUP($P$7,data!$C$622:$D$631,2,0)</f>
        <v>#N/A</v>
      </c>
      <c r="C52" s="38" t="e">
        <f>IF(B52=data!$D$64,texty!$A$239,+VLOOKUP(B52,cennik!$A$3:$G$907,2,FALSE))</f>
        <v>#N/A</v>
      </c>
      <c r="D52" s="29"/>
      <c r="E52" s="91" t="e">
        <f>IF(B52=data!$D$73,0,+VLOOKUP(B52,cennik!$A$3:$G$907,3,FALSE))</f>
        <v>#N/A</v>
      </c>
      <c r="F52" s="91" t="e">
        <f>+E52*D52</f>
        <v>#N/A</v>
      </c>
      <c r="G52" s="92" t="e">
        <f t="shared" si="3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</row>
    <row r="53" spans="1:13" ht="12.75" customHeight="1" x14ac:dyDescent="0.2">
      <c r="A53" s="145" t="str">
        <f>texty!$A$123</f>
        <v>uholník K2 19x18mm - 2,35m</v>
      </c>
      <c r="B53" s="16" t="e">
        <f>+VLOOKUP($P$7,data!$C$632:$D$641,2,0)</f>
        <v>#N/A</v>
      </c>
      <c r="C53" s="38" t="e">
        <f>IF(B53=data!$D$64,texty!$A$239,+VLOOKUP(B53,cennik!$A$3:$G$907,2,FALSE))</f>
        <v>#N/A</v>
      </c>
      <c r="D53" s="30"/>
      <c r="E53" s="91" t="e">
        <f>IF(B53=data!$D$73,0,+VLOOKUP(B53,cennik!$A$3:$G$907,3,FALSE))</f>
        <v>#N/A</v>
      </c>
      <c r="F53" s="91" t="e">
        <f t="shared" si="2"/>
        <v>#N/A</v>
      </c>
      <c r="G53" s="104" t="e">
        <f t="shared" si="3"/>
        <v>#N/A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3" ht="12.75" customHeight="1" x14ac:dyDescent="0.2">
      <c r="A54" s="145" t="str">
        <f>texty!$A$124</f>
        <v>uholník K2 19x18mm - 3,00m</v>
      </c>
      <c r="B54" s="16" t="e">
        <f>+VLOOKUP($P$7,data!$C$642:$D$651,2,0)</f>
        <v>#N/A</v>
      </c>
      <c r="C54" s="38" t="e">
        <f>IF(B54=data!$D$64,texty!$A$239,+VLOOKUP(B54,cennik!$A$3:$G$907,2,FALSE))</f>
        <v>#N/A</v>
      </c>
      <c r="D54" s="30"/>
      <c r="E54" s="91" t="e">
        <f>IF(B54=data!$D$73,0,+VLOOKUP(B54,cennik!$A$3:$G$907,3,FALSE))</f>
        <v>#N/A</v>
      </c>
      <c r="F54" s="91" t="e">
        <f t="shared" si="2"/>
        <v>#N/A</v>
      </c>
      <c r="G54" s="104" t="e">
        <f t="shared" si="3"/>
        <v>#N/A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3" ht="12.75" customHeight="1" x14ac:dyDescent="0.2">
      <c r="A55" s="145" t="str">
        <f>texty!$A$241</f>
        <v>klínok pre dilatáciu výplne 16mm</v>
      </c>
      <c r="B55" s="16">
        <v>308631</v>
      </c>
      <c r="C55" s="38" t="str">
        <f>+VLOOKUP(B55,cennik!$A:$G,2,FALSE)</f>
        <v>SEVROLL 20252 klin pre lamino hrúbka 2mm (100 ks)</v>
      </c>
      <c r="D55" s="29"/>
      <c r="E55" s="207">
        <f>+VLOOKUP(B55,cennik!$A:$G,3,FALSE)</f>
        <v>8.7214100000000006</v>
      </c>
      <c r="F55" s="105">
        <f t="shared" si="2"/>
        <v>0</v>
      </c>
      <c r="G55" s="104">
        <f t="shared" si="3"/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3" ht="12.75" customHeight="1" x14ac:dyDescent="0.2">
      <c r="A56" s="422" t="str">
        <f>texty!$A$240</f>
        <v>zámok posuvných dverí</v>
      </c>
      <c r="B56" s="24">
        <v>216363</v>
      </c>
      <c r="C56" s="38" t="str">
        <f>+VLOOKUP(B56,cennik!$A:$G,2,FALSE)</f>
        <v>SEVROLL 20356 zámok na posuvné dvere 10/18mm</v>
      </c>
      <c r="D56" s="29"/>
      <c r="E56" s="207">
        <f>+VLOOKUP(B56,cennik!$A:$G,3,FALSE)</f>
        <v>15.72176</v>
      </c>
      <c r="F56" s="105">
        <f t="shared" si="2"/>
        <v>0</v>
      </c>
      <c r="G56" s="104">
        <f t="shared" si="3"/>
        <v>0</v>
      </c>
      <c r="H56" s="6" t="str">
        <f>cennik!$B$2</f>
        <v>EUR</v>
      </c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K56" s="5"/>
      <c r="L56" s="6"/>
    </row>
    <row r="57" spans="1:13" ht="12.75" customHeight="1" x14ac:dyDescent="0.2">
      <c r="A57" s="7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07">
        <f>+VLOOKUP(B57,cennik!$A:$G,3,FALSE)</f>
        <v>0.29721999999999998</v>
      </c>
      <c r="F57" s="105">
        <f t="shared" si="2"/>
        <v>0</v>
      </c>
      <c r="G57" s="104">
        <f t="shared" si="3"/>
        <v>0</v>
      </c>
      <c r="H57" s="6" t="str">
        <f>cennik!$B$2</f>
        <v>EUR</v>
      </c>
      <c r="I57" s="469" t="str">
        <f>IFERROR(IF((VLOOKUP(B57,cennik!A:L,12,0))="O",texty!$A$250,""),"")</f>
        <v/>
      </c>
      <c r="J57" s="191" t="str">
        <f>IF(D57&gt;0,IF(VLOOKUP(B57,cennik!A:L,12,FALSE)="O",1,""),"")</f>
        <v/>
      </c>
      <c r="K57" s="5"/>
      <c r="L57" s="6"/>
    </row>
    <row r="58" spans="1:13" ht="12.75" hidden="1" customHeight="1" x14ac:dyDescent="0.2">
      <c r="A58" s="7"/>
      <c r="B58" s="24"/>
      <c r="C58" s="25"/>
      <c r="D58" s="92"/>
      <c r="E58" s="91"/>
      <c r="F58" s="96"/>
      <c r="G58" s="104"/>
      <c r="H58" s="6"/>
      <c r="I58" s="181"/>
      <c r="J58" s="191" t="str">
        <f>IF(D58&gt;0,IF(VLOOKUP(B58,cennik!A:L,12,FALSE)="O",1,""),"")</f>
        <v/>
      </c>
      <c r="K58" s="5"/>
      <c r="L58" s="6"/>
    </row>
    <row r="59" spans="1:13" ht="12.75" hidden="1" customHeight="1" x14ac:dyDescent="0.2">
      <c r="A59" s="7"/>
      <c r="B59" s="24"/>
      <c r="C59" s="25"/>
      <c r="D59" s="92"/>
      <c r="E59" s="91"/>
      <c r="F59" s="96"/>
      <c r="G59" s="92"/>
      <c r="H59" s="6"/>
      <c r="I59" s="181"/>
      <c r="J59" s="191" t="str">
        <f>IF(D59&gt;0,IF(VLOOKUP(B59,cennik!A:L,12,FALSE)="O",1,""),"")</f>
        <v/>
      </c>
      <c r="K59" s="5"/>
      <c r="L59" s="6"/>
    </row>
    <row r="60" spans="1:13" ht="12.75" customHeight="1" x14ac:dyDescent="0.2">
      <c r="A60" s="74"/>
      <c r="C60" s="40"/>
      <c r="D60" s="92"/>
      <c r="E60" s="91"/>
      <c r="F60" s="103"/>
      <c r="G60" s="92"/>
      <c r="H60" s="6"/>
      <c r="I60" s="181"/>
      <c r="K60" s="5"/>
      <c r="L60" s="6"/>
    </row>
    <row r="61" spans="1:13" ht="15" x14ac:dyDescent="0.2">
      <c r="A61" s="271" t="str">
        <f>texty!$A$190</f>
        <v>Ďalšie príslušenstvo</v>
      </c>
      <c r="B61" s="272"/>
      <c r="C61" s="272"/>
      <c r="D61" s="272"/>
      <c r="E61" s="272"/>
      <c r="F61" s="272"/>
      <c r="G61" s="272"/>
      <c r="H61" s="272"/>
      <c r="I61" s="272"/>
      <c r="K61" s="5"/>
      <c r="L61" s="6"/>
    </row>
    <row r="62" spans="1:13" ht="12.75" customHeight="1" x14ac:dyDescent="0.2">
      <c r="A62" s="271" t="str">
        <f>texty!$A$244</f>
        <v>Technický nákres tohoto systému</v>
      </c>
      <c r="B62" s="17"/>
      <c r="C62" s="25"/>
      <c r="D62" s="77" t="str">
        <f>+Faworyt!D61</f>
        <v>CELKOM  (bez DPH)</v>
      </c>
      <c r="E62" s="97"/>
      <c r="F62" s="101" t="e">
        <f>SUM(F25:F59)</f>
        <v>#N/A</v>
      </c>
      <c r="G62" s="112" t="e">
        <f>SUM(G25:G59)</f>
        <v>#N/A</v>
      </c>
      <c r="H62" s="6" t="str">
        <f>cennik!$B$2</f>
        <v>EUR</v>
      </c>
      <c r="I62" s="181"/>
      <c r="J62" s="181"/>
      <c r="L62" s="6"/>
    </row>
    <row r="63" spans="1:13" ht="12.75" customHeight="1" x14ac:dyDescent="0.2">
      <c r="A63" s="75" t="str">
        <f>System10!$A$67</f>
        <v>Vaša poznámka:</v>
      </c>
      <c r="B63" s="661"/>
      <c r="C63" s="662"/>
      <c r="D63" s="662"/>
      <c r="E63" s="662"/>
      <c r="F63" s="662"/>
      <c r="G63" s="663"/>
      <c r="H63" s="6"/>
      <c r="L63" s="6"/>
    </row>
    <row r="64" spans="1:13" ht="12.75" customHeight="1" x14ac:dyDescent="0.2">
      <c r="A64" s="659">
        <f>profil!$U$15</f>
        <v>0</v>
      </c>
      <c r="B64" s="649"/>
      <c r="C64" s="649"/>
      <c r="D64" s="649"/>
      <c r="E64" s="649"/>
      <c r="F64" s="649"/>
      <c r="G64" s="649"/>
      <c r="H64" s="649"/>
      <c r="L64" s="5" t="str">
        <f>data!J4</f>
        <v xml:space="preserve">strieborná </v>
      </c>
      <c r="M64" s="21" t="s">
        <v>987</v>
      </c>
    </row>
    <row r="65" spans="1:14" ht="12.75" customHeight="1" x14ac:dyDescent="0.2">
      <c r="A65" s="650">
        <f>IF(N65=1,texty!$A$215,IF(J65&gt;0,texty!$A$214,""))</f>
        <v>0</v>
      </c>
      <c r="B65" s="650"/>
      <c r="C65" s="650"/>
      <c r="D65" s="650"/>
      <c r="E65" s="650"/>
      <c r="F65" s="650"/>
      <c r="G65" s="650"/>
      <c r="H65" s="650"/>
      <c r="J65" s="6" t="e">
        <f>SUM(J25:J57)</f>
        <v>#N/A</v>
      </c>
      <c r="L65" s="5" t="str">
        <f>data!J6</f>
        <v>oliva</v>
      </c>
      <c r="M65" s="21" t="s">
        <v>43</v>
      </c>
      <c r="N65" s="5">
        <f>IF(ISERROR(J65),1,0)</f>
        <v>1</v>
      </c>
    </row>
    <row r="66" spans="1:14" ht="12.75" customHeight="1" x14ac:dyDescent="0.2">
      <c r="L66" s="5" t="str">
        <f>data!J7</f>
        <v>oliva kartáčovaná</v>
      </c>
    </row>
    <row r="67" spans="1:14" ht="12.75" customHeight="1" x14ac:dyDescent="0.2">
      <c r="L67" s="5" t="str">
        <f>data!J8</f>
        <v>kart. tm. oliva</v>
      </c>
    </row>
    <row r="68" spans="1:14" ht="12.75" customHeight="1" x14ac:dyDescent="0.2">
      <c r="L68" s="5" t="str">
        <f>data!J9</f>
        <v>kart. čierna</v>
      </c>
    </row>
    <row r="69" spans="1:14" ht="12.75" customHeight="1" x14ac:dyDescent="0.2"/>
    <row r="70" spans="1:14" ht="12.75" customHeight="1" x14ac:dyDescent="0.2"/>
    <row r="71" spans="1:14" ht="12.75" customHeight="1" x14ac:dyDescent="0.2"/>
  </sheetData>
  <sheetProtection algorithmName="SHA-512" hashValue="RrqkTQdKM0+L6W9Iiiq/fUVzNVTyvy0/Y8ARK7r3TwI+Ac7LU6nHlQyyEnV8i72OIC46ereoDZqvki9KvOPufA==" saltValue="JB+iknhv7wVLWxAxX1dHTg==" spinCount="100000" sheet="1" objects="1" scenarios="1" selectLockedCell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97" priority="3">
      <formula>SUM($D$39:$D$40)&gt;0</formula>
    </cfRule>
  </conditionalFormatting>
  <conditionalFormatting sqref="D6">
    <cfRule type="expression" dxfId="95" priority="7">
      <formula>$D$4=4</formula>
    </cfRule>
    <cfRule type="expression" dxfId="94" priority="8">
      <formula>$D$4&lt;&gt;4</formula>
    </cfRule>
  </conditionalFormatting>
  <conditionalFormatting sqref="G4">
    <cfRule type="expression" dxfId="93" priority="6">
      <formula>$D$4=4</formula>
    </cfRule>
  </conditionalFormatting>
  <conditionalFormatting sqref="I16:I17">
    <cfRule type="expression" dxfId="92" priority="4">
      <formula>$F$4=$M$65</formula>
    </cfRule>
  </conditionalFormatting>
  <conditionalFormatting sqref="I18:I19">
    <cfRule type="expression" dxfId="91" priority="5">
      <formula>$F$4=$M$64</formula>
    </cfRule>
  </conditionalFormatting>
  <dataValidations count="7">
    <dataValidation type="list" allowBlank="1" showInputMessage="1" showErrorMessage="1" sqref="E5:F6" xr:uid="{00000000-0002-0000-19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$M$64:$M$65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="85" zoomScaleNormal="85" workbookViewId="0">
      <selection activeCell="B4" sqref="B4"/>
    </sheetView>
  </sheetViews>
  <sheetFormatPr defaultColWidth="0" defaultRowHeight="0" customHeight="1" zeroHeight="1" x14ac:dyDescent="0.2"/>
  <cols>
    <col min="1" max="1" width="35.7109375" style="5" customWidth="1"/>
    <col min="2" max="2" width="15.7109375" style="5" customWidth="1"/>
    <col min="3" max="3" width="46.42578125" style="5" bestFit="1" customWidth="1"/>
    <col min="4" max="4" width="14.28515625" style="5" customWidth="1"/>
    <col min="5" max="7" width="14.7109375" style="5" customWidth="1"/>
    <col min="8" max="8" width="4.7109375" style="5" customWidth="1"/>
    <col min="9" max="9" width="24.7109375" style="6" customWidth="1"/>
    <col min="10" max="10" width="11.28515625" style="6" hidden="1" customWidth="1"/>
    <col min="11" max="11" width="9.140625" style="5" hidden="1" customWidth="1"/>
    <col min="12" max="12" width="8.140625" style="5" hidden="1" customWidth="1"/>
    <col min="13" max="13" width="11.42578125" style="5" hidden="1" customWidth="1"/>
    <col min="14" max="14" width="7.140625" style="5" hidden="1" customWidth="1"/>
    <col min="15" max="15" width="8.7109375" style="5" hidden="1" customWidth="1"/>
    <col min="16" max="16" width="7.140625" style="5" hidden="1" customWidth="1"/>
    <col min="17" max="16384" width="9.140625" style="5" hidden="1"/>
  </cols>
  <sheetData>
    <row r="1" spans="1:15" ht="13.5" customHeight="1" thickBot="1" x14ac:dyDescent="0.25">
      <c r="A1" s="7"/>
      <c r="B1" s="8"/>
      <c r="C1" s="8"/>
      <c r="D1" s="8"/>
      <c r="E1" s="8"/>
      <c r="F1" s="8"/>
      <c r="G1" s="6"/>
      <c r="H1" s="6"/>
      <c r="K1" s="6"/>
      <c r="L1" s="6">
        <v>2</v>
      </c>
      <c r="M1" s="5">
        <v>-8.3000000000000007</v>
      </c>
    </row>
    <row r="2" spans="1:15" ht="18.75" customHeight="1" x14ac:dyDescent="0.2">
      <c r="A2" s="523" t="s">
        <v>868</v>
      </c>
      <c r="B2" s="54" t="str">
        <f>profil!T7</f>
        <v>Zákazník:, , IČO:</v>
      </c>
      <c r="C2" s="8"/>
      <c r="D2" s="8"/>
      <c r="E2" s="8"/>
      <c r="F2" s="8"/>
      <c r="G2" s="6"/>
      <c r="H2" s="6"/>
      <c r="K2" s="6"/>
      <c r="L2" s="6">
        <v>3</v>
      </c>
    </row>
    <row r="3" spans="1:15" ht="26.25" thickBot="1" x14ac:dyDescent="0.25">
      <c r="A3" s="524" t="str">
        <f>CONCATENATE(texty!A243," ",5,".",68)</f>
        <v>katalóg kovania 2018 str. 5.68</v>
      </c>
      <c r="B3" s="420" t="str">
        <f>CONCATENATE(texty!A34," / max.         2 742 mm /")</f>
        <v>výška / max.         2 742 mm /</v>
      </c>
      <c r="C3" s="421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20" t="str">
        <f>texty!A38</f>
        <v>typ spodného vedenia</v>
      </c>
      <c r="G3" s="6"/>
      <c r="H3" s="6"/>
      <c r="K3" s="6"/>
    </row>
    <row r="4" spans="1:15" ht="18" customHeight="1" x14ac:dyDescent="0.2">
      <c r="A4" s="10" t="str">
        <f>+Faworyt!A4</f>
        <v>VNÚTORNÝ ROZMER SKRINE:</v>
      </c>
      <c r="B4" s="56"/>
      <c r="C4" s="56"/>
      <c r="D4" s="22"/>
      <c r="E4" s="22"/>
      <c r="F4" s="458"/>
      <c r="G4" s="647"/>
      <c r="H4" s="647"/>
      <c r="I4" s="647"/>
      <c r="K4" s="8"/>
    </row>
    <row r="5" spans="1:15" ht="18" customHeight="1" x14ac:dyDescent="0.2">
      <c r="A5" s="10"/>
      <c r="B5" s="664" t="str">
        <f>+Faworyt!B5</f>
        <v>vypíšte týchto 5 políčok !!! Údaje v mm</v>
      </c>
      <c r="C5" s="664"/>
      <c r="D5" s="664"/>
      <c r="E5" s="664"/>
      <c r="F5" s="471"/>
      <c r="G5" s="647"/>
      <c r="H5" s="647"/>
      <c r="I5" s="647"/>
      <c r="K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5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6"/>
      <c r="M6" s="23" t="str">
        <f>CONCATENATE(M5,"-",E4)</f>
        <v>1700-</v>
      </c>
      <c r="N6" s="21"/>
      <c r="O6" s="23" t="str">
        <f>CONCATENATE(O5,"-",E4,", ",F4)</f>
        <v xml:space="preserve">1700-, </v>
      </c>
    </row>
    <row r="7" spans="1:15" ht="12.75" customHeight="1" x14ac:dyDescent="0.2">
      <c r="A7" s="10" t="str">
        <f>+Faworyt!A7</f>
        <v>krídlo dverí:</v>
      </c>
      <c r="B7" s="57">
        <f>+B4-42</f>
        <v>-42</v>
      </c>
      <c r="C7" s="59" t="e">
        <f>(C4-3+30*(D4-1))/D4+IF(AND(D4=4,D6=2),M1,0)</f>
        <v>#DIV/0!</v>
      </c>
      <c r="D7" s="8"/>
      <c r="E7" s="8"/>
      <c r="F7" s="8"/>
      <c r="G7" s="50"/>
      <c r="H7" s="6"/>
      <c r="K7" s="6"/>
      <c r="N7" s="17">
        <f>IF(C4&lt;1701,1700,IF(C4&lt;2351,2350,IF(C4&lt;3001,3000,IF(C4&lt;4051,4050,6000))))</f>
        <v>1700</v>
      </c>
      <c r="O7" s="21">
        <f>+E4</f>
        <v>0</v>
      </c>
    </row>
    <row r="8" spans="1:15" ht="12.75" customHeight="1" x14ac:dyDescent="0.2">
      <c r="A8" s="10" t="str">
        <f>+Faworyt!A8</f>
        <v>rozmer výplne 18mm:</v>
      </c>
      <c r="B8" s="57">
        <f>+B7-2</f>
        <v>-44</v>
      </c>
      <c r="C8" s="59" t="e">
        <f>C7-7</f>
        <v>#DIV/0!</v>
      </c>
      <c r="D8" s="8"/>
      <c r="E8" s="8"/>
      <c r="F8" s="8"/>
      <c r="G8" s="3" t="str">
        <f>Faworyt!G8</f>
        <v>Maximálna hmotnosť krídla je 50 kg</v>
      </c>
      <c r="H8" s="6"/>
      <c r="K8" s="6"/>
      <c r="N8" s="23" t="str">
        <f>CONCATENATE(N7,"-",E4)</f>
        <v>1700-</v>
      </c>
      <c r="O8" s="21"/>
    </row>
    <row r="9" spans="1:15" ht="12.75" customHeight="1" x14ac:dyDescent="0.2">
      <c r="A9" s="10" t="str">
        <f>texty!$A$51</f>
        <v>Dĺžka úchytkového profilu (+2 mm)</v>
      </c>
      <c r="B9" s="57">
        <f>B8+2</f>
        <v>-42</v>
      </c>
      <c r="C9" s="136"/>
      <c r="D9" s="8"/>
      <c r="E9" s="8"/>
      <c r="F9" s="8"/>
      <c r="G9" s="51"/>
      <c r="H9" s="6"/>
      <c r="K9" s="37"/>
      <c r="L9" s="36"/>
    </row>
    <row r="10" spans="1:15" ht="12.75" customHeight="1" x14ac:dyDescent="0.2">
      <c r="A10" s="168" t="str">
        <f>texty!$A$64</f>
        <v>Pri tejto zostave nie je možné použiť kombináciu so sklom / zrkadlom</v>
      </c>
      <c r="B10" s="64"/>
      <c r="C10" s="85"/>
      <c r="D10" s="8"/>
      <c r="E10" s="8"/>
      <c r="F10" s="8"/>
      <c r="G10" s="49"/>
      <c r="H10" s="6"/>
      <c r="N10" s="17"/>
      <c r="O10" s="21"/>
    </row>
    <row r="11" spans="1:15" ht="25.5" x14ac:dyDescent="0.2">
      <c r="A11" s="635" t="str">
        <f>IF(SUM(D39:D40)&gt;0,texty!A246,"")</f>
        <v/>
      </c>
      <c r="B11" s="635"/>
      <c r="C11" s="492" t="str">
        <f>texty!A78</f>
        <v>dodatočné odpočty výšky vypočítaných výplní pri použití deliacich profilov výplne:</v>
      </c>
      <c r="D11" s="8"/>
      <c r="E11" s="8"/>
      <c r="F11" s="8"/>
      <c r="G11" s="3"/>
      <c r="H11" s="6"/>
      <c r="K11" s="36"/>
      <c r="N11" s="23"/>
      <c r="O11" s="21"/>
    </row>
    <row r="12" spans="1:15" ht="12.75" customHeight="1" x14ac:dyDescent="0.2">
      <c r="A12" s="635"/>
      <c r="B12" s="635"/>
      <c r="C12" s="164"/>
      <c r="D12" s="8"/>
      <c r="E12" s="8"/>
      <c r="F12" s="8"/>
      <c r="G12" s="6"/>
      <c r="H12" s="6"/>
      <c r="K12" s="6"/>
    </row>
    <row r="13" spans="1:15" ht="12.75" customHeight="1" x14ac:dyDescent="0.2">
      <c r="A13" s="188"/>
      <c r="B13" s="64"/>
      <c r="C13" s="164"/>
      <c r="D13" s="8"/>
      <c r="E13" s="8"/>
      <c r="F13" s="8"/>
      <c r="G13" s="6"/>
      <c r="H13" s="6"/>
      <c r="K13" s="6"/>
    </row>
    <row r="14" spans="1:15" ht="12.75" customHeight="1" x14ac:dyDescent="0.2">
      <c r="A14" s="188"/>
      <c r="B14" s="64"/>
      <c r="C14" s="164"/>
      <c r="D14" s="8"/>
      <c r="E14" s="8"/>
      <c r="F14" s="8"/>
      <c r="G14" s="6"/>
      <c r="H14" s="6"/>
      <c r="K14" s="6"/>
    </row>
    <row r="15" spans="1:15" ht="12.75" customHeight="1" x14ac:dyDescent="0.2">
      <c r="A15" s="10"/>
      <c r="B15" s="58"/>
      <c r="C15" s="86"/>
      <c r="D15" s="8"/>
      <c r="E15" s="8"/>
      <c r="F15" s="8"/>
      <c r="G15" s="6"/>
      <c r="H15" s="6"/>
      <c r="K15" s="35"/>
    </row>
    <row r="16" spans="1:15" ht="12.75" customHeight="1" x14ac:dyDescent="0.2">
      <c r="A16" s="7"/>
      <c r="B16" s="8"/>
      <c r="C16" s="12"/>
      <c r="D16" s="8"/>
      <c r="E16" s="8"/>
      <c r="F16" s="8"/>
      <c r="G16" s="6"/>
      <c r="H16" s="6"/>
      <c r="K16" s="6"/>
    </row>
    <row r="17" spans="1:11" ht="12.75" customHeight="1" x14ac:dyDescent="0.2">
      <c r="A17" s="7"/>
      <c r="B17" s="8"/>
      <c r="C17" s="154"/>
      <c r="D17" s="8"/>
      <c r="E17" s="8"/>
      <c r="F17" s="8"/>
      <c r="G17" s="6"/>
      <c r="H17" s="6"/>
      <c r="I17" s="638" t="s">
        <v>993</v>
      </c>
      <c r="K17" s="6"/>
    </row>
    <row r="18" spans="1:11" ht="12.75" customHeight="1" x14ac:dyDescent="0.2">
      <c r="A18" s="7"/>
      <c r="B18" s="8"/>
      <c r="C18" s="154"/>
      <c r="D18" s="8"/>
      <c r="E18" s="8"/>
      <c r="F18" s="8"/>
      <c r="G18" s="6"/>
      <c r="H18" s="6"/>
      <c r="I18" s="638"/>
      <c r="K18" s="6"/>
    </row>
    <row r="19" spans="1:11" ht="14.25" customHeight="1" x14ac:dyDescent="0.2">
      <c r="A19" s="7"/>
      <c r="B19" s="8"/>
      <c r="C19" s="27"/>
      <c r="D19" s="8"/>
      <c r="E19" s="8"/>
      <c r="F19" s="8"/>
      <c r="G19" s="6"/>
      <c r="H19" s="6"/>
      <c r="I19" s="639" t="s">
        <v>994</v>
      </c>
      <c r="K19" s="6"/>
    </row>
    <row r="20" spans="1:11" ht="14.25" customHeight="1" x14ac:dyDescent="0.2">
      <c r="A20" s="509" t="s">
        <v>1021</v>
      </c>
      <c r="B20" s="8"/>
      <c r="C20" s="27"/>
      <c r="D20" s="8"/>
      <c r="E20" s="8"/>
      <c r="F20" s="8"/>
      <c r="G20" s="6"/>
      <c r="H20" s="6"/>
      <c r="I20" s="639"/>
      <c r="K20" s="6"/>
    </row>
    <row r="21" spans="1:11" ht="16.5" customHeight="1" x14ac:dyDescent="0.2">
      <c r="A21" s="7"/>
      <c r="B21" s="8"/>
      <c r="C21" s="8"/>
      <c r="E21" s="8"/>
      <c r="F21" s="8"/>
      <c r="G21" s="6"/>
      <c r="H21" s="6"/>
      <c r="K21" s="6"/>
    </row>
    <row r="22" spans="1:11" ht="16.5" customHeight="1" x14ac:dyDescent="0.2">
      <c r="A22" s="7"/>
      <c r="B22" s="8"/>
      <c r="C22" s="8"/>
      <c r="D22" s="13"/>
      <c r="E22" s="8"/>
      <c r="F22" s="6"/>
      <c r="G22" s="134" t="str">
        <f>+Faworyt!G23</f>
        <v>partnerská zľava:</v>
      </c>
      <c r="H22" s="6"/>
      <c r="K22" s="6"/>
    </row>
    <row r="23" spans="1:11" ht="12.75" customHeight="1" x14ac:dyDescent="0.2">
      <c r="A23" s="131" t="str">
        <f>+Faworyt!A24</f>
        <v>Objednávacie kódy, ceny:</v>
      </c>
      <c r="B23" s="8"/>
      <c r="C23" s="8"/>
      <c r="D23" s="8"/>
      <c r="E23" s="8"/>
      <c r="F23" s="6"/>
      <c r="G23" s="120">
        <f>profil!C15</f>
        <v>0</v>
      </c>
      <c r="H23" s="6" t="s">
        <v>57</v>
      </c>
      <c r="K23" s="6"/>
    </row>
    <row r="24" spans="1:11" s="82" customFormat="1" ht="12.75" customHeight="1" x14ac:dyDescent="0.2">
      <c r="A24" s="80"/>
      <c r="B24" s="81" t="str">
        <f>+Faworyt!B25</f>
        <v>kód</v>
      </c>
      <c r="C24" s="81" t="str">
        <f>+Faworyt!C25</f>
        <v>názov</v>
      </c>
      <c r="D24" s="81" t="str">
        <f>+Faworyt!D25</f>
        <v>ks</v>
      </c>
      <c r="E24" s="81" t="str">
        <f>+Faworyt!E25</f>
        <v>cena/ks</v>
      </c>
      <c r="F24" s="18" t="str">
        <f>+Faworyt!F25</f>
        <v>cena celkom</v>
      </c>
      <c r="G24" s="18" t="str">
        <f>+Faworyt!G25</f>
        <v>celkom netto:</v>
      </c>
      <c r="H24" s="18"/>
      <c r="I24" s="18" t="str">
        <f>texty!A29</f>
        <v>Poznámka:</v>
      </c>
      <c r="K24" s="18"/>
    </row>
    <row r="25" spans="1:11" ht="12.75" customHeight="1" x14ac:dyDescent="0.2">
      <c r="A25" s="7" t="str">
        <f>+Faworyt!A26</f>
        <v>Horný profil:</v>
      </c>
      <c r="B25" s="8" t="e">
        <f>+VLOOKUP(N8,data!$C$196:$D$215,2,0)</f>
        <v>#N/A</v>
      </c>
      <c r="C25" s="38" t="e">
        <f>+VLOOKUP(B25,cennik!$A:$G,2,FALSE)</f>
        <v>#N/A</v>
      </c>
      <c r="D25" s="8">
        <v>1</v>
      </c>
      <c r="E25" s="207" t="e">
        <f>+VLOOKUP(B25,cennik!$A:$G,3,FALSE)</f>
        <v>#N/A</v>
      </c>
      <c r="F25" s="91" t="e">
        <f>+E25*D25</f>
        <v>#N/A</v>
      </c>
      <c r="G25" s="92" t="e">
        <f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J25" s="191" t="e">
        <f>IF(D25&gt;0,IF(VLOOKUP(B25,cennik!A:L,12,FALSE)="O",1,""),"")</f>
        <v>#N/A</v>
      </c>
    </row>
    <row r="26" spans="1:11" ht="12.75" customHeight="1" x14ac:dyDescent="0.2">
      <c r="A26" s="7" t="str">
        <f>+Faworyt!A27</f>
        <v>spodný profil:</v>
      </c>
      <c r="B26" s="8" t="e">
        <f>+VLOOKUP(O6,data!$C$4:$D$83,2,0)</f>
        <v>#N/A</v>
      </c>
      <c r="C26" s="38" t="e">
        <f>+VLOOKUP(B26,cennik!$A:$G,2,FALSE)</f>
        <v>#N/A</v>
      </c>
      <c r="D26" s="8">
        <v>1</v>
      </c>
      <c r="E26" s="207" t="e">
        <f>+VLOOKUP(B26,cennik!$A:$G,3,FALSE)</f>
        <v>#N/A</v>
      </c>
      <c r="F26" s="91" t="e">
        <f>+E26*D26</f>
        <v>#N/A</v>
      </c>
      <c r="G26" s="92" t="e">
        <f>+F26*(100-$G$23)/100</f>
        <v>#N/A</v>
      </c>
      <c r="H26" s="6" t="str">
        <f>cennik!$B$2</f>
        <v>EUR</v>
      </c>
      <c r="I26" s="469" t="str">
        <f>IFERROR(IF((VLOOKUP(B26,cennik!A:L,12,0))="O",texty!$A$250,""),"")</f>
        <v/>
      </c>
      <c r="J26" s="191" t="e">
        <f>IF(D26&gt;0,IF(VLOOKUP(B26,cennik!A:L,12,FALSE)="O",1,""),"")</f>
        <v>#N/A</v>
      </c>
    </row>
    <row r="27" spans="1:11" ht="12.75" customHeight="1" x14ac:dyDescent="0.2">
      <c r="A27" s="72" t="str">
        <f>+Faworyt!A28</f>
        <v>krycí profil (maska):</v>
      </c>
      <c r="B27" s="8" t="e">
        <f>+VLOOKUP(O6,data!$C$105:$D$195,2,0)</f>
        <v>#N/A</v>
      </c>
      <c r="C27" s="25" t="e">
        <f>IF($B$27=data!$D$64,texty!$A$239,+VLOOKUP($B$27,cennik!$A$3:$G$907,2,FALSE))</f>
        <v>#N/A</v>
      </c>
      <c r="D27" s="8">
        <v>1</v>
      </c>
      <c r="E27" s="91" t="e">
        <f>IF(B27=data!$D$73,0,+VLOOKUP(B27,cennik!$A$3:$G$907,3,FALSE))</f>
        <v>#N/A</v>
      </c>
      <c r="F27" s="91" t="e">
        <f t="shared" ref="F27" si="0">+E27*D27</f>
        <v>#N/A</v>
      </c>
      <c r="G27" s="92" t="e">
        <f t="shared" ref="G27" si="1">+F27*(100-$G$23)/100</f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</row>
    <row r="28" spans="1:11" ht="12.75" customHeight="1" x14ac:dyDescent="0.2">
      <c r="A28" s="7" t="str">
        <f>+Faworyt!A29</f>
        <v>horný vozík</v>
      </c>
      <c r="B28" s="71">
        <v>228023</v>
      </c>
      <c r="C28" s="38" t="str">
        <f>+VLOOKUP(B28,cennik!$A:$G,2,FALSE)</f>
        <v>SEVROLL 10196 Focus horný vozík 18mm 2ks</v>
      </c>
      <c r="D28" s="17">
        <f>IF((D41+D42)&gt;D4,0,D4-(D41+D42))</f>
        <v>0</v>
      </c>
      <c r="E28" s="207">
        <f>+VLOOKUP(B28,cennik!$A:$G,3,FALSE)</f>
        <v>3.9014199999999999</v>
      </c>
      <c r="F28" s="91">
        <f>+E28*D28</f>
        <v>0</v>
      </c>
      <c r="G28" s="92">
        <f>+F28*(100-$G$23)/100</f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</row>
    <row r="29" spans="1:11" ht="12.75" customHeight="1" x14ac:dyDescent="0.2">
      <c r="A29" s="7" t="str">
        <f>+Faworyt!A30</f>
        <v>spodný vozík</v>
      </c>
      <c r="B29" s="16">
        <f>IF(F4=M63,362316,229440)</f>
        <v>229440</v>
      </c>
      <c r="C29" s="25" t="str">
        <f>+VLOOKUP(B29,cennik!$A:$G,2,FALSE)</f>
        <v>SEVROLL 10198 spodný vozík WD 18C HI-TEC - 2ks</v>
      </c>
      <c r="D29" s="17">
        <f>+D4</f>
        <v>0</v>
      </c>
      <c r="E29" s="207">
        <f>+VLOOKUP(B29,cennik!$A:$G,3,FALSE)</f>
        <v>5.1863999999999999</v>
      </c>
      <c r="F29" s="91">
        <f>+E29*D29</f>
        <v>0</v>
      </c>
      <c r="G29" s="92">
        <f>+F29*(100-$G$23)/100</f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</row>
    <row r="30" spans="1:11" ht="12.75" customHeight="1" x14ac:dyDescent="0.2">
      <c r="A30" s="7" t="str">
        <f>texty!A89</f>
        <v>dorazový kartáč</v>
      </c>
      <c r="B30" s="16">
        <v>229433</v>
      </c>
      <c r="C30" s="38" t="str">
        <f>+VLOOKUP(B30,cennik!$A:$G,2,FALSE)</f>
        <v>SEVROLL dorazová kefa zásuvná 4,8x4mm sivá</v>
      </c>
      <c r="D30" s="17">
        <f>CEILING((B4*D4*2/1000),1)</f>
        <v>0</v>
      </c>
      <c r="E30" s="207">
        <f>+VLOOKUP(B30,cennik!$A:$G,3,FALSE)</f>
        <v>0.13</v>
      </c>
      <c r="F30" s="91">
        <f>+E30*D30</f>
        <v>0</v>
      </c>
      <c r="G30" s="92">
        <f>+F30*(100-$G$23)/100</f>
        <v>0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</row>
    <row r="31" spans="1:11" ht="12.75" customHeight="1" x14ac:dyDescent="0.2">
      <c r="A31" s="7" t="str">
        <f>+Faworyt!A32</f>
        <v>úchytková lišta</v>
      </c>
      <c r="B31" s="16" t="e">
        <f>+VLOOKUP(O7,data!$C$663:$D$664,2,0)</f>
        <v>#N/A</v>
      </c>
      <c r="C31" s="38" t="e">
        <f>+VLOOKUP(B31,cennik!$A:$G,2,FALSE)</f>
        <v>#N/A</v>
      </c>
      <c r="D31" s="17">
        <f>IF(B9&lt;=1347,D4*2/2,D4*2)</f>
        <v>0</v>
      </c>
      <c r="E31" s="207" t="e">
        <f>+VLOOKUP(B31,cennik!$A:$G,3,FALSE)</f>
        <v>#N/A</v>
      </c>
      <c r="F31" s="91" t="e">
        <f>+E31*D31</f>
        <v>#N/A</v>
      </c>
      <c r="G31" s="92" t="e">
        <f>+F31*(100-$G$23)/100</f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</row>
    <row r="32" spans="1:11" ht="12.75" customHeight="1" x14ac:dyDescent="0.2">
      <c r="A32" s="7"/>
      <c r="B32" s="16"/>
      <c r="C32" s="25"/>
      <c r="D32" s="17"/>
      <c r="E32" s="91"/>
      <c r="F32" s="91"/>
      <c r="G32" s="92"/>
      <c r="H32" s="6"/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</row>
    <row r="33" spans="1:11" ht="12.75" customHeight="1" x14ac:dyDescent="0.2">
      <c r="A33" s="131" t="str">
        <f>+Faworyt!A34</f>
        <v>Voliteľné príslušenstvo:</v>
      </c>
      <c r="B33" s="16"/>
      <c r="C33" s="25"/>
      <c r="D33" s="478" t="str">
        <f>+Faworyt!D34</f>
        <v>zadajte počet:</v>
      </c>
      <c r="E33" s="91"/>
      <c r="F33" s="91"/>
      <c r="G33" s="92"/>
      <c r="H33" s="6"/>
      <c r="I33" s="469" t="str">
        <f>IFERROR(IF((VLOOKUP(B33,cennik!A:L,12,0))="O",texty!$A$250,""),"")</f>
        <v/>
      </c>
      <c r="K33" s="191"/>
    </row>
    <row r="34" spans="1:11" ht="12.75" customHeight="1" x14ac:dyDescent="0.2">
      <c r="A34" s="7" t="str">
        <f>texty!$A$88</f>
        <v>pozicionér do horného vedenia</v>
      </c>
      <c r="B34" s="187">
        <v>298035</v>
      </c>
      <c r="C34" s="38" t="str">
        <f>+VLOOKUP(B34,cennik!$A:$G,2,FALSE)</f>
        <v>SEVROLL 20326 Fix pozicionér pre horný vozík transparentný</v>
      </c>
      <c r="D34" s="29"/>
      <c r="E34" s="207">
        <f>+VLOOKUP(B34,cennik!$A:$G,3,FALSE)</f>
        <v>1.0837300000000001</v>
      </c>
      <c r="F34" s="105">
        <f>+E34*D34</f>
        <v>0</v>
      </c>
      <c r="G34" s="104">
        <f>+F34*(100-$G$23)/100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K34" s="191"/>
    </row>
    <row r="35" spans="1:11" ht="12.75" customHeight="1" x14ac:dyDescent="0.2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SEVROLL 20080 pozicionér spodného vozíka HI-TEC</v>
      </c>
      <c r="D35" s="29"/>
      <c r="E35" s="207">
        <f>+VLOOKUP(B35,cennik!$A:$G,3,FALSE)</f>
        <v>0.30964000000000003</v>
      </c>
      <c r="F35" s="105">
        <f t="shared" ref="F35:F56" si="2">+E35*D35</f>
        <v>0</v>
      </c>
      <c r="G35" s="104">
        <f t="shared" ref="G35:G56" si="3">+F35*(100-$G$23)/100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191"/>
    </row>
    <row r="36" spans="1:11" ht="12.75" customHeight="1" x14ac:dyDescent="0.2">
      <c r="A36" s="422" t="str">
        <f>texty!$A$228</f>
        <v> Tlmič dorazu MINI do 25 kg (pár)</v>
      </c>
      <c r="B36" s="16">
        <v>318662</v>
      </c>
      <c r="C36" s="25" t="str">
        <f>+VLOOKUP(B36,cennik!$A:$G,2,FALSE)</f>
        <v>SEVROLL 20368-SV tlmič dorazu Mini SV25 (14-25kg)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3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K36" s="191"/>
    </row>
    <row r="37" spans="1:11" ht="12.75" customHeight="1" x14ac:dyDescent="0.2">
      <c r="A37" s="422" t="str">
        <f>texty!$A$229</f>
        <v> Tlmič dorazu MINI do 40 kg (pár)</v>
      </c>
      <c r="B37" s="24">
        <v>283956</v>
      </c>
      <c r="C37" s="25" t="str">
        <f>+VLOOKUP(B37,cennik!$A:$G,2,FALSE)</f>
        <v>SEVROLL 20258-SV tlmič dorazu Mini SV40 (25 - 40kg)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3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K37" s="191"/>
    </row>
    <row r="38" spans="1:11" ht="12.75" customHeight="1" x14ac:dyDescent="0.2">
      <c r="A38" s="422" t="str">
        <f>texty!$A$230</f>
        <v> Tlmič dorazu MINI do 60 kg (pár)</v>
      </c>
      <c r="B38" s="24">
        <v>351743</v>
      </c>
      <c r="C38" s="25" t="str">
        <f>+VLOOKUP(B38,cennik!$A:$G,2,FALSE)</f>
        <v>SEVROLL 20339-SV tlmič dorazu Mini SV60 (40 - 60kg)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3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K38" s="191"/>
    </row>
    <row r="39" spans="1:11" ht="12.75" customHeight="1" x14ac:dyDescent="0.2">
      <c r="A39" s="422" t="str">
        <f>texty!$A$231</f>
        <v> Tlmič pre stredné krídlo do 25 kg</v>
      </c>
      <c r="B39" s="24">
        <v>318663</v>
      </c>
      <c r="C39" s="25" t="str">
        <f>+VLOOKUP(B39,cennik!$A:$G,2,FALSE)</f>
        <v>SEVROLL 20363-SV tlmič Central 10/18mm obojstranný 25kg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3"/>
        <v>0</v>
      </c>
      <c r="H39" s="24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K39" s="191"/>
    </row>
    <row r="40" spans="1:11" ht="12.75" customHeight="1" x14ac:dyDescent="0.2">
      <c r="A40" s="422" t="str">
        <f>texty!$A$232</f>
        <v> Tlmič pre stredné krídlo do 40 kg</v>
      </c>
      <c r="B40" s="24">
        <v>283955</v>
      </c>
      <c r="C40" s="25" t="str">
        <f>+VLOOKUP(B40,cennik!$A:$G,2,FALSE)</f>
        <v>SEVROLL 20319-SV tlmič Central 10/18mm obojstranný 25-40kg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3"/>
        <v>0</v>
      </c>
      <c r="H40" s="24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K40" s="191"/>
    </row>
    <row r="41" spans="1:11" ht="12.75" customHeight="1" x14ac:dyDescent="0.2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 L+P</v>
      </c>
      <c r="D41" s="29"/>
      <c r="E41" s="207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K41" s="191"/>
    </row>
    <row r="42" spans="1:11" ht="12.75" customHeight="1" x14ac:dyDescent="0.2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K42" s="191"/>
    </row>
    <row r="43" spans="1:11" ht="12.75" customHeight="1" x14ac:dyDescent="0.2">
      <c r="A43" s="7" t="str">
        <f>texty!$A$196</f>
        <v>Spona dorazovej kefky</v>
      </c>
      <c r="B43" s="16">
        <v>223569</v>
      </c>
      <c r="C43" s="38" t="str">
        <f>+VLOOKUP(B43,cennik!$A:$G,2,FALSE)</f>
        <v>SEVROLL 20223 spona dorazovej kefky</v>
      </c>
      <c r="D43" s="29"/>
      <c r="E43" s="207">
        <f>+VLOOKUP(B43,cennik!$A:$G,3,FALSE)</f>
        <v>7.1209999999999996E-2</v>
      </c>
      <c r="F43" s="105">
        <f t="shared" si="2"/>
        <v>0</v>
      </c>
      <c r="G43" s="104">
        <f t="shared" si="3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K43" s="191"/>
    </row>
    <row r="44" spans="1:11" ht="12.75" customHeight="1" x14ac:dyDescent="0.2">
      <c r="A44" s="145" t="str">
        <f>texty!$A$114</f>
        <v>spojovací profil H18-3metre</v>
      </c>
      <c r="B44" s="16" t="e">
        <f>+VLOOKUP($O$7,data!$C$537:$D$547,2,0)</f>
        <v>#N/A</v>
      </c>
      <c r="C44" s="38" t="e">
        <f>+VLOOKUP(B44,cennik!$A:$G,2,FALSE)</f>
        <v>#N/A</v>
      </c>
      <c r="D44" s="29"/>
      <c r="E44" s="207" t="e">
        <f>+VLOOKUP(B44,cennik!$A:$G,3,FALSE)</f>
        <v>#N/A</v>
      </c>
      <c r="F44" s="105" t="e">
        <f t="shared" si="2"/>
        <v>#N/A</v>
      </c>
      <c r="G44" s="104" t="e">
        <f t="shared" si="3"/>
        <v>#N/A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191"/>
    </row>
    <row r="45" spans="1:11" ht="12.75" customHeight="1" x14ac:dyDescent="0.2">
      <c r="A45" s="145" t="str">
        <f>texty!$A$115</f>
        <v>spojovací T profil - 3metre /s drážkou/</v>
      </c>
      <c r="B45" s="16" t="e">
        <f>+VLOOKUP($O$7,data!$C$548:$D$557,2,0)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 t="shared" si="2"/>
        <v>#N/A</v>
      </c>
      <c r="G45" s="104" t="e">
        <f t="shared" si="3"/>
        <v>#N/A</v>
      </c>
      <c r="H45" s="24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">
      <c r="A46" s="145" t="str">
        <f>texty!$A$116</f>
        <v>spojovací T profil - 3metre /s lemom/</v>
      </c>
      <c r="B46" s="16" t="e">
        <f>+VLOOKUP($O$7,data!$C$558:$D$567,2,0)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2"/>
        <v>#N/A</v>
      </c>
      <c r="G46" s="104" t="e">
        <f t="shared" si="3"/>
        <v>#N/A</v>
      </c>
      <c r="H46" s="24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">
      <c r="A47" s="145" t="str">
        <f>texty!$A$117</f>
        <v>"U" profil na DTD 18mm - 3 metre /hladký/</v>
      </c>
      <c r="B47" s="6" t="e">
        <f>+VLOOKUP($O$7,data!$C$568:$D$578,2,0)</f>
        <v>#N/A</v>
      </c>
      <c r="C47" s="38" t="e">
        <f>+VLOOKUP(B47,cennik!$A:$G,2,FALSE)</f>
        <v>#N/A</v>
      </c>
      <c r="D47" s="29"/>
      <c r="E47" s="207" t="e">
        <f>+VLOOKUP(B47,cennik!$A:$G,3,FALSE)</f>
        <v>#N/A</v>
      </c>
      <c r="F47" s="105" t="e">
        <f t="shared" si="2"/>
        <v>#N/A</v>
      </c>
      <c r="G47" s="104" t="e">
        <f t="shared" si="3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">
      <c r="A48" s="145" t="str">
        <f>texty!$A$118</f>
        <v>"U" profil na DTD 18mm - 3 metre /lem/</v>
      </c>
      <c r="B48" s="16" t="e">
        <f>+VLOOKUP($O$7,data!$C$578:$D$588,2,0)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 t="shared" si="2"/>
        <v>#N/A</v>
      </c>
      <c r="G48" s="104" t="e">
        <f t="shared" si="3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4" ht="12.75" customHeight="1" x14ac:dyDescent="0.2">
      <c r="A49" s="145" t="str">
        <f>texty!$A$119</f>
        <v>uholník mini 11x17mm - 1,7m</v>
      </c>
      <c r="B49" s="6" t="e">
        <f>+VLOOKUP($O$7,data!$C$589:$D$599,2,0)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>+E49*D49</f>
        <v>#N/A</v>
      </c>
      <c r="G49" s="92" t="e">
        <f t="shared" si="3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4" ht="12.75" customHeight="1" x14ac:dyDescent="0.2">
      <c r="A50" s="145" t="str">
        <f>texty!$A$120</f>
        <v>uholník mini 11x17mm - 2,35m</v>
      </c>
      <c r="B50" s="6" t="e">
        <f>+VLOOKUP($O$7,data!$C$600:$D$610,2,0)</f>
        <v>#N/A</v>
      </c>
      <c r="C50" s="38" t="e">
        <f>IF(B50=data!$D$64,texty!$A$239,+VLOOKUP(B50,cennik!$A$3:$G$907,2,FALSE))</f>
        <v>#N/A</v>
      </c>
      <c r="D50" s="29"/>
      <c r="E50" s="91" t="e">
        <f>IF(B50=data!$D$73,0,+VLOOKUP(B50,cennik!$A$3:$G$907,3,FALSE))</f>
        <v>#N/A</v>
      </c>
      <c r="F50" s="91" t="e">
        <f>+E50*D50</f>
        <v>#N/A</v>
      </c>
      <c r="G50" s="92" t="e">
        <f t="shared" si="3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4" ht="12.75" customHeight="1" x14ac:dyDescent="0.2">
      <c r="A51" s="145" t="str">
        <f>texty!$A$121</f>
        <v>uholník mini 11x17mm - 3m</v>
      </c>
      <c r="B51" s="15" t="e">
        <f>+VLOOKUP($O$7,data!$C$611:$D$621,2,0)</f>
        <v>#N/A</v>
      </c>
      <c r="C51" s="38" t="e">
        <f>IF(B51=data!$D$64,texty!$A$239,+VLOOKUP(B51,cennik!$A$3:$G$907,2,FALSE))</f>
        <v>#N/A</v>
      </c>
      <c r="D51" s="29"/>
      <c r="E51" s="91" t="e">
        <f>IF(B51=data!$D$73,0,+VLOOKUP(B51,cennik!$A$3:$G$907,3,FALSE))</f>
        <v>#N/A</v>
      </c>
      <c r="F51" s="91" t="e">
        <f>+E51*D51</f>
        <v>#N/A</v>
      </c>
      <c r="G51" s="92" t="e">
        <f t="shared" si="3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4" ht="12.75" customHeight="1" x14ac:dyDescent="0.2">
      <c r="A52" s="145" t="str">
        <f>texty!$A$122</f>
        <v>uholník K2 19x18mm - 1,7m</v>
      </c>
      <c r="B52" s="24" t="e">
        <f>+VLOOKUP($O$7,data!$C$622:$D$631,2,0)</f>
        <v>#N/A</v>
      </c>
      <c r="C52" s="38" t="e">
        <f>IF(B52=data!$D$64,texty!$A$239,+VLOOKUP(B52,cennik!$A$3:$G$907,2,FALSE))</f>
        <v>#N/A</v>
      </c>
      <c r="D52" s="29"/>
      <c r="E52" s="91" t="e">
        <f>IF(B52=data!$D$73,0,+VLOOKUP(B52,cennik!$A$3:$G$907,3,FALSE))</f>
        <v>#N/A</v>
      </c>
      <c r="F52" s="91" t="e">
        <f>+E52*D52</f>
        <v>#N/A</v>
      </c>
      <c r="G52" s="92" t="e">
        <f t="shared" si="3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4" ht="12.75" customHeight="1" x14ac:dyDescent="0.2">
      <c r="A53" s="145" t="str">
        <f>texty!$A$123</f>
        <v>uholník K2 19x18mm - 2,35m</v>
      </c>
      <c r="B53" s="16" t="e">
        <f>+VLOOKUP($O$7,data!$C$632:$D$641,2,0)</f>
        <v>#N/A</v>
      </c>
      <c r="C53" s="38" t="e">
        <f>IF(B53=data!$D$64,texty!$A$239,+VLOOKUP(B53,cennik!$A$3:$G$907,2,FALSE))</f>
        <v>#N/A</v>
      </c>
      <c r="D53" s="30"/>
      <c r="E53" s="91" t="e">
        <f>IF(B53=data!$D$73,0,+VLOOKUP(B53,cennik!$A$3:$G$907,3,FALSE))</f>
        <v>#N/A</v>
      </c>
      <c r="F53" s="91" t="e">
        <f t="shared" si="2"/>
        <v>#N/A</v>
      </c>
      <c r="G53" s="104" t="e">
        <f t="shared" si="3"/>
        <v>#N/A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K53" s="191"/>
    </row>
    <row r="54" spans="1:14" ht="12.75" customHeight="1" x14ac:dyDescent="0.2">
      <c r="A54" s="145" t="str">
        <f>texty!$A$124</f>
        <v>uholník K2 19x18mm - 3,00m</v>
      </c>
      <c r="B54" s="16" t="e">
        <f>+VLOOKUP($O$7,data!$C$642:$D$651,2,0)</f>
        <v>#N/A</v>
      </c>
      <c r="C54" s="38" t="e">
        <f>IF(B54=data!$D$64,texty!$A$239,+VLOOKUP(B54,cennik!$A$3:$G$907,2,FALSE))</f>
        <v>#N/A</v>
      </c>
      <c r="D54" s="30"/>
      <c r="E54" s="91" t="e">
        <f>IF(B54=data!$D$73,0,+VLOOKUP(B54,cennik!$A$3:$G$907,3,FALSE))</f>
        <v>#N/A</v>
      </c>
      <c r="F54" s="91" t="e">
        <f t="shared" si="2"/>
        <v>#N/A</v>
      </c>
      <c r="G54" s="104" t="e">
        <f t="shared" si="3"/>
        <v>#N/A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K54" s="191"/>
    </row>
    <row r="55" spans="1:14" ht="12.75" customHeight="1" x14ac:dyDescent="0.2">
      <c r="A55" s="422" t="str">
        <f>texty!$A$240</f>
        <v>zámok posuvných dverí</v>
      </c>
      <c r="B55" s="24">
        <v>216363</v>
      </c>
      <c r="C55" s="38" t="str">
        <f>+VLOOKUP(B55,cennik!$A:$G,2,FALSE)</f>
        <v>SEVROLL 20356 zámok na posuvné dvere 10/18mm</v>
      </c>
      <c r="D55" s="29"/>
      <c r="E55" s="207">
        <f>+VLOOKUP(B55,cennik!$A:$G,3,FALSE)</f>
        <v>15.72176</v>
      </c>
      <c r="F55" s="105">
        <f t="shared" si="2"/>
        <v>0</v>
      </c>
      <c r="G55" s="104">
        <f t="shared" si="3"/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K55" s="191"/>
    </row>
    <row r="56" spans="1:14" ht="12.75" customHeight="1" x14ac:dyDescent="0.2">
      <c r="A56" s="7" t="str">
        <f>texty!$A$112</f>
        <v>protiprachový kartáč samolepiaci</v>
      </c>
      <c r="B56" s="24">
        <v>308639</v>
      </c>
      <c r="C56" s="25" t="str">
        <f>+VLOOKUP(B56,cennik!$A:$G,2,FALSE)</f>
        <v>SEVROLL protiprachový kartáč samolep. 6,7x13mm</v>
      </c>
      <c r="D56" s="29"/>
      <c r="E56" s="207">
        <f>+VLOOKUP(B56,cennik!$A:$G,3,FALSE)</f>
        <v>0.29721999999999998</v>
      </c>
      <c r="F56" s="105">
        <f t="shared" si="2"/>
        <v>0</v>
      </c>
      <c r="G56" s="104">
        <f t="shared" si="3"/>
        <v>0</v>
      </c>
      <c r="H56" s="6" t="str">
        <f>cennik!$B$2</f>
        <v>EUR</v>
      </c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K56" s="191"/>
    </row>
    <row r="57" spans="1:14" ht="12.75" customHeight="1" x14ac:dyDescent="0.2">
      <c r="A57" s="7"/>
      <c r="B57" s="24"/>
      <c r="C57" s="25"/>
      <c r="D57" s="207"/>
      <c r="E57" s="207"/>
      <c r="F57" s="105"/>
      <c r="G57" s="104"/>
      <c r="H57" s="6"/>
      <c r="I57" s="181"/>
      <c r="J57" s="191"/>
      <c r="K57" s="191"/>
    </row>
    <row r="58" spans="1:14" ht="15" x14ac:dyDescent="0.2">
      <c r="A58" s="271" t="str">
        <f>texty!$A$190</f>
        <v>Ďalšie príslušenstvo</v>
      </c>
      <c r="B58" s="272"/>
      <c r="C58" s="272"/>
      <c r="D58" s="272"/>
      <c r="E58" s="272"/>
      <c r="F58" s="272"/>
      <c r="G58" s="272"/>
      <c r="H58" s="272"/>
      <c r="I58" s="272"/>
      <c r="J58" s="272"/>
      <c r="K58" s="6"/>
    </row>
    <row r="59" spans="1:14" ht="12.75" customHeight="1" x14ac:dyDescent="0.2">
      <c r="A59" s="271" t="str">
        <f>texty!$A$244</f>
        <v>Technický nákres tohoto systému</v>
      </c>
      <c r="C59" s="40"/>
      <c r="D59" s="79" t="str">
        <f>+Faworyt!D61</f>
        <v>CELKOM  (bez DPH)</v>
      </c>
      <c r="E59" s="99"/>
      <c r="F59" s="113" t="e">
        <f>SUM(F25:F56)</f>
        <v>#N/A</v>
      </c>
      <c r="G59" s="113" t="e">
        <f>SUM(G25:G56)</f>
        <v>#N/A</v>
      </c>
      <c r="H59" s="6" t="str">
        <f>cennik!$B$2</f>
        <v>EUR</v>
      </c>
      <c r="J59" s="181"/>
      <c r="K59" s="6"/>
    </row>
    <row r="60" spans="1:14" ht="12.75" customHeight="1" x14ac:dyDescent="0.2">
      <c r="A60" s="75" t="str">
        <f>System10!$A$67</f>
        <v>Vaša poznámka:</v>
      </c>
      <c r="B60" s="661"/>
      <c r="C60" s="662"/>
      <c r="D60" s="662"/>
      <c r="E60" s="662"/>
      <c r="F60" s="662"/>
      <c r="G60" s="663"/>
      <c r="H60" s="6"/>
      <c r="K60" s="6"/>
    </row>
    <row r="61" spans="1:14" ht="12.75" customHeight="1" x14ac:dyDescent="0.2">
      <c r="A61" s="659">
        <f>profil!$U$15</f>
        <v>0</v>
      </c>
      <c r="B61" s="649"/>
      <c r="C61" s="649"/>
      <c r="D61" s="649"/>
      <c r="E61" s="649"/>
      <c r="F61" s="649"/>
      <c r="G61" s="649"/>
      <c r="H61" s="649"/>
      <c r="K61" s="6"/>
    </row>
    <row r="62" spans="1:14" ht="12.75" customHeight="1" x14ac:dyDescent="0.2">
      <c r="A62" s="650">
        <f>IF(N62=1,texty!$A$215,IF(J62&gt;0,texty!$A$214,""))</f>
        <v>0</v>
      </c>
      <c r="B62" s="650"/>
      <c r="C62" s="650"/>
      <c r="D62" s="650"/>
      <c r="E62" s="650"/>
      <c r="F62" s="650"/>
      <c r="G62" s="650"/>
      <c r="H62" s="650"/>
      <c r="J62" s="5" t="e">
        <f>SUM(J25:J56)</f>
        <v>#N/A</v>
      </c>
      <c r="N62" s="5">
        <f>IF(ISERROR(J62),1,0)</f>
        <v>1</v>
      </c>
    </row>
    <row r="63" spans="1:14" ht="12.75" customHeight="1" x14ac:dyDescent="0.2">
      <c r="L63" s="5" t="str">
        <f>texty!A128</f>
        <v xml:space="preserve">strieborná </v>
      </c>
      <c r="M63" s="21" t="s">
        <v>987</v>
      </c>
    </row>
    <row r="64" spans="1:14" ht="12.75" customHeight="1" x14ac:dyDescent="0.2">
      <c r="H64" s="135"/>
      <c r="L64" s="5" t="str">
        <f>texty!A130</f>
        <v>oliva</v>
      </c>
      <c r="M64" s="21" t="s">
        <v>43</v>
      </c>
    </row>
    <row r="65" ht="12.75" customHeight="1" x14ac:dyDescent="0.2"/>
    <row r="66" ht="12.75" customHeight="1" x14ac:dyDescent="0.2"/>
  </sheetData>
  <sheetProtection algorithmName="SHA-512" hashValue="uVWdq1a3GG3vUwSIj6wE94l6vqP3Du+VIcpkLsPJZQTXWLA5d+WqYEsXVXmQGtEa9Rx/VYoQR+hWaa3VdhA0jg==" saltValue="+lpOzGalo/HlhjXKio/KDQ==" spinCount="100000" sheet="1" objects="1" scenarios="1" selectLockedCells="1"/>
  <mergeCells count="8">
    <mergeCell ref="A62:H62"/>
    <mergeCell ref="B5:E5"/>
    <mergeCell ref="A61:H61"/>
    <mergeCell ref="B60:G60"/>
    <mergeCell ref="G4:I6"/>
    <mergeCell ref="I17:I18"/>
    <mergeCell ref="I19:I20"/>
    <mergeCell ref="A11:B12"/>
  </mergeCells>
  <phoneticPr fontId="0" type="noConversion"/>
  <conditionalFormatting sqref="A11">
    <cfRule type="expression" dxfId="90" priority="3">
      <formula>SUM($D$39:$D$40)&gt;0</formula>
    </cfRule>
  </conditionalFormatting>
  <conditionalFormatting sqref="D6">
    <cfRule type="expression" dxfId="88" priority="7">
      <formula>$D$4=4</formula>
    </cfRule>
    <cfRule type="expression" dxfId="87" priority="8">
      <formula>$D$4&lt;&gt;4</formula>
    </cfRule>
  </conditionalFormatting>
  <conditionalFormatting sqref="G4">
    <cfRule type="expression" dxfId="86" priority="6">
      <formula>$D$4=4</formula>
    </cfRule>
  </conditionalFormatting>
  <conditionalFormatting sqref="I17:I18">
    <cfRule type="expression" dxfId="85" priority="4">
      <formula>$F$4=$M$64</formula>
    </cfRule>
  </conditionalFormatting>
  <conditionalFormatting sqref="I19:I20">
    <cfRule type="expression" dxfId="84" priority="5">
      <formula>$F$4=$M$63</formula>
    </cfRule>
  </conditionalFormatting>
  <dataValidations count="7">
    <dataValidation type="list" allowBlank="1" showInputMessage="1" showErrorMessage="1" sqref="E5:F6" xr:uid="{00000000-0002-0000-1A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8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6.7109375" style="5" customWidth="1"/>
    <col min="2" max="2" width="15.7109375" style="5" customWidth="1"/>
    <col min="3" max="3" width="46.42578125" style="5" bestFit="1" customWidth="1"/>
    <col min="4" max="4" width="14.140625" style="5" customWidth="1"/>
    <col min="5" max="7" width="14.7109375" style="5" customWidth="1"/>
    <col min="8" max="8" width="4.7109375" style="5" customWidth="1"/>
    <col min="9" max="9" width="24.7109375" style="6" customWidth="1"/>
    <col min="10" max="10" width="11.28515625" style="6" hidden="1" customWidth="1"/>
    <col min="11" max="11" width="19.140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</v>
      </c>
    </row>
    <row r="2" spans="1:16" ht="18.75" customHeight="1" x14ac:dyDescent="0.2">
      <c r="A2" s="523" t="s">
        <v>844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",5,".",68)</f>
        <v>katalóg kovania 2018 str. 5.68</v>
      </c>
      <c r="B3" s="420" t="str">
        <f>CONCATENATE(texty!A34," / max.         2 742 mm /")</f>
        <v>výška / max.         2 742 mm /</v>
      </c>
      <c r="C3" s="421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20" t="str">
        <f>texty!A38</f>
        <v>typ spodného vedenia</v>
      </c>
      <c r="G3" s="6"/>
      <c r="H3" s="6"/>
      <c r="L3" s="6"/>
    </row>
    <row r="4" spans="1:16" ht="18" customHeight="1" x14ac:dyDescent="0.2">
      <c r="A4" s="10" t="str">
        <f>+Faworyt!A4</f>
        <v>VNÚTORNÝ ROZMER SKRINE:</v>
      </c>
      <c r="B4" s="56"/>
      <c r="C4" s="56"/>
      <c r="D4" s="22"/>
      <c r="E4" s="22"/>
      <c r="F4" s="458"/>
      <c r="G4" s="647"/>
      <c r="H4" s="647"/>
      <c r="I4" s="647"/>
      <c r="K4" s="190"/>
      <c r="L4" s="8"/>
    </row>
    <row r="5" spans="1:16" ht="18" customHeight="1" x14ac:dyDescent="0.2">
      <c r="A5" s="10"/>
      <c r="B5" s="664" t="str">
        <f>+Faworyt!B5</f>
        <v>vypíšte týchto 5 políčok !!! Údaje v mm</v>
      </c>
      <c r="C5" s="664"/>
      <c r="D5" s="664"/>
      <c r="E5" s="664"/>
      <c r="F5" s="471"/>
      <c r="G5" s="647"/>
      <c r="H5" s="647"/>
      <c r="I5" s="647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M6" s="23" t="str">
        <f>CONCATENATE(M5,"-",E4)</f>
        <v>1700-</v>
      </c>
      <c r="N6" s="21"/>
      <c r="O6" s="23" t="str">
        <f>CONCATENATE(O5,"-",E4,", ",F4)</f>
        <v xml:space="preserve">1700-, </v>
      </c>
    </row>
    <row r="7" spans="1:16" ht="12.75" customHeight="1" x14ac:dyDescent="0.2">
      <c r="A7" s="10" t="str">
        <f>+Faworyt!A7</f>
        <v>krídlo dverí:</v>
      </c>
      <c r="B7" s="67">
        <f>+B4-42</f>
        <v>-42</v>
      </c>
      <c r="C7" s="68" t="e">
        <f>+((C4-3+29*(D4-1))/D4+IF(AND(D4=4,D6=2),M1,0))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>
        <f>+E4</f>
        <v>0</v>
      </c>
    </row>
    <row r="8" spans="1:16" ht="12.75" customHeight="1" x14ac:dyDescent="0.2">
      <c r="A8" s="10" t="str">
        <f>+Faworyt!A8</f>
        <v>rozmer výplne 18mm:</v>
      </c>
      <c r="B8" s="67">
        <f>+B7-2</f>
        <v>-44</v>
      </c>
      <c r="C8" s="497" t="e">
        <f>+C7-3</f>
        <v>#DIV/0!</v>
      </c>
      <c r="D8" s="8"/>
      <c r="E8" s="8"/>
      <c r="F8" s="8"/>
      <c r="G8" s="5" t="str">
        <f>Faworyt!G8</f>
        <v>Maximálna hmotnosť krídla je 50 kg</v>
      </c>
      <c r="H8" s="6"/>
      <c r="L8" s="6"/>
      <c r="O8" s="23" t="str">
        <f>CONCATENATE(O7,"-",E4)</f>
        <v>1700-</v>
      </c>
      <c r="P8" s="21"/>
    </row>
    <row r="9" spans="1:16" ht="12.75" customHeight="1" x14ac:dyDescent="0.2">
      <c r="A9" s="10" t="str">
        <f>texty!$A$51</f>
        <v>Dĺžka úchytkového profilu (+2 mm)</v>
      </c>
      <c r="B9" s="496">
        <f>B8+2</f>
        <v>-42</v>
      </c>
      <c r="C9" s="489"/>
      <c r="D9" s="8"/>
      <c r="E9" s="8"/>
      <c r="F9" s="8"/>
      <c r="G9" s="51"/>
      <c r="H9" s="6"/>
      <c r="L9" s="37"/>
      <c r="M9" s="36"/>
    </row>
    <row r="10" spans="1:16" ht="12.75" customHeight="1" x14ac:dyDescent="0.2">
      <c r="A10" s="168" t="str">
        <f>texty!$A$64</f>
        <v>Pri tejto zostave nie je možné použiť kombináciu so sklom / zrkadlom</v>
      </c>
      <c r="B10" s="70"/>
      <c r="C10" s="66"/>
      <c r="D10" s="8"/>
      <c r="E10" s="8"/>
      <c r="F10" s="8"/>
      <c r="G10" s="49"/>
      <c r="H10" s="6"/>
      <c r="O10" s="17"/>
      <c r="P10" s="21"/>
    </row>
    <row r="11" spans="1:16" ht="25.5" x14ac:dyDescent="0.2">
      <c r="A11" s="635" t="str">
        <f>IF(SUM(D39:D40)&gt;0,texty!A246,"")</f>
        <v/>
      </c>
      <c r="B11" s="635"/>
      <c r="C11" s="492" t="str">
        <f>texty!A78</f>
        <v>dodatočné odpočty výšky vypočítaných výplní pri použití deliacich profilov výplne:</v>
      </c>
      <c r="D11" s="8"/>
      <c r="E11" s="8"/>
      <c r="F11" s="8"/>
      <c r="G11" s="3"/>
      <c r="H11" s="6"/>
      <c r="L11" s="36"/>
      <c r="O11" s="23"/>
      <c r="P11" s="21"/>
    </row>
    <row r="12" spans="1:16" x14ac:dyDescent="0.2">
      <c r="A12" s="635"/>
      <c r="B12" s="635"/>
      <c r="C12" s="492"/>
      <c r="D12" s="8"/>
      <c r="E12" s="8"/>
      <c r="F12" s="8"/>
      <c r="G12" s="3"/>
      <c r="H12" s="6"/>
      <c r="L12" s="36"/>
      <c r="O12" s="23"/>
      <c r="P12" s="21"/>
    </row>
    <row r="13" spans="1:16" ht="12.75" customHeight="1" x14ac:dyDescent="0.2">
      <c r="B13" s="69"/>
      <c r="C13" s="66"/>
      <c r="D13" s="8"/>
      <c r="H13" s="6"/>
      <c r="L13" s="6"/>
    </row>
    <row r="14" spans="1:16" ht="12.75" customHeight="1" x14ac:dyDescent="0.2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">
      <c r="A16" s="7"/>
      <c r="B16" s="8"/>
      <c r="C16" s="12"/>
      <c r="D16" s="8"/>
      <c r="E16" s="8"/>
      <c r="F16" s="8"/>
      <c r="G16" s="6"/>
      <c r="H16" s="6"/>
      <c r="I16" s="638" t="s">
        <v>993</v>
      </c>
      <c r="L16" s="6"/>
    </row>
    <row r="17" spans="1:12" ht="12.75" customHeight="1" x14ac:dyDescent="0.2">
      <c r="A17" s="7"/>
      <c r="B17" s="8"/>
      <c r="C17" s="12"/>
      <c r="D17" s="8"/>
      <c r="E17" s="8"/>
      <c r="F17" s="8"/>
      <c r="G17" s="6"/>
      <c r="H17" s="6"/>
      <c r="I17" s="638"/>
      <c r="L17" s="6"/>
    </row>
    <row r="18" spans="1:12" ht="14.25" customHeight="1" x14ac:dyDescent="0.2">
      <c r="A18" s="7"/>
      <c r="B18" s="8"/>
      <c r="C18" s="27"/>
      <c r="D18" s="8"/>
      <c r="E18" s="8"/>
      <c r="F18" s="8"/>
      <c r="G18" s="6"/>
      <c r="H18" s="6"/>
      <c r="I18" s="639" t="s">
        <v>994</v>
      </c>
      <c r="L18" s="6"/>
    </row>
    <row r="19" spans="1:12" ht="14.25" customHeight="1" x14ac:dyDescent="0.2">
      <c r="A19" s="7"/>
      <c r="B19" s="8"/>
      <c r="C19" s="27"/>
      <c r="D19" s="8"/>
      <c r="E19" s="8"/>
      <c r="F19" s="8"/>
      <c r="G19" s="6"/>
      <c r="H19" s="6"/>
      <c r="I19" s="639"/>
      <c r="L19" s="6"/>
    </row>
    <row r="20" spans="1:12" ht="14.25" customHeight="1" x14ac:dyDescent="0.2">
      <c r="A20" s="509" t="s">
        <v>1021</v>
      </c>
      <c r="B20" s="8"/>
      <c r="C20" s="27"/>
      <c r="D20" s="8"/>
      <c r="E20" s="8"/>
      <c r="F20" s="8"/>
      <c r="G20" s="6"/>
      <c r="H20" s="6"/>
      <c r="L20" s="6"/>
    </row>
    <row r="21" spans="1:12" ht="16.5" customHeight="1" x14ac:dyDescent="0.2">
      <c r="A21" s="7"/>
      <c r="B21" s="8"/>
      <c r="C21" s="8"/>
      <c r="E21" s="8"/>
      <c r="F21" s="8"/>
      <c r="G21" s="6"/>
      <c r="H21" s="6"/>
      <c r="L21" s="6"/>
    </row>
    <row r="22" spans="1:12" ht="16.5" customHeight="1" x14ac:dyDescent="0.2">
      <c r="A22" s="7"/>
      <c r="B22" s="8"/>
      <c r="C22" s="8"/>
      <c r="D22" s="13"/>
      <c r="E22" s="8"/>
      <c r="F22" s="6"/>
      <c r="G22" s="134" t="str">
        <f>+Faworyt!G23</f>
        <v>partnerská zľava:</v>
      </c>
      <c r="H22" s="6"/>
      <c r="L22" s="6"/>
    </row>
    <row r="23" spans="1:12" ht="12.75" customHeight="1" x14ac:dyDescent="0.2">
      <c r="A23" s="131" t="str">
        <f>+Faworyt!A24</f>
        <v>Objednávacie kódy, ceny:</v>
      </c>
      <c r="B23" s="8"/>
      <c r="C23" s="8"/>
      <c r="D23" s="8"/>
      <c r="E23" s="8"/>
      <c r="F23" s="6"/>
      <c r="G23" s="120">
        <f>profil!C15</f>
        <v>0</v>
      </c>
      <c r="H23" s="6" t="s">
        <v>57</v>
      </c>
      <c r="L23" s="6"/>
    </row>
    <row r="24" spans="1:12" s="82" customFormat="1" ht="12.75" customHeight="1" x14ac:dyDescent="0.2">
      <c r="A24" s="80"/>
      <c r="B24" s="81" t="str">
        <f>+Faworyt!B25</f>
        <v>kód</v>
      </c>
      <c r="C24" s="81" t="str">
        <f>+Faworyt!C25</f>
        <v>názov</v>
      </c>
      <c r="D24" s="81" t="str">
        <f>+Faworyt!D25</f>
        <v>ks</v>
      </c>
      <c r="E24" s="81" t="str">
        <f>+Faworyt!E25</f>
        <v>cena/ks</v>
      </c>
      <c r="F24" s="18" t="str">
        <f>+Faworyt!F25</f>
        <v>cena celkom</v>
      </c>
      <c r="G24" s="18" t="str">
        <f>+Faworyt!G25</f>
        <v>celkom netto:</v>
      </c>
      <c r="H24" s="18"/>
      <c r="I24" s="18" t="str">
        <f>texty!A29</f>
        <v>Poznámka:</v>
      </c>
      <c r="K24" s="18"/>
      <c r="L24" s="18"/>
    </row>
    <row r="25" spans="1:12" ht="12.75" customHeight="1" x14ac:dyDescent="0.2">
      <c r="A25" s="7" t="str">
        <f>+Faworyt!A26</f>
        <v>Horný profil:</v>
      </c>
      <c r="B25" s="8" t="e">
        <f>+VLOOKUP(O8,data!$C$196:$D$215,2,0)</f>
        <v>#N/A</v>
      </c>
      <c r="C25" s="38" t="e">
        <f>+VLOOKUP(B25,cennik!$A:$G,2,FALSE)</f>
        <v>#N/A</v>
      </c>
      <c r="D25" s="8">
        <v>1</v>
      </c>
      <c r="E25" s="207" t="e">
        <f>+VLOOKUP(B25,cennik!$A:$G,3,FALSE)</f>
        <v>#N/A</v>
      </c>
      <c r="F25" s="91" t="e">
        <f>+E25*D25</f>
        <v>#N/A</v>
      </c>
      <c r="G25" s="92" t="e">
        <f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K25" s="191" t="e">
        <f>IF(D25&gt;0,IF(VLOOKUP(B25,cennik!A:L,12,FALSE)="O",1,""),"")</f>
        <v>#N/A</v>
      </c>
      <c r="L25" s="6"/>
    </row>
    <row r="26" spans="1:12" ht="12.75" customHeight="1" x14ac:dyDescent="0.2">
      <c r="A26" s="7" t="str">
        <f>+Faworyt!A27</f>
        <v>spodný profil:</v>
      </c>
      <c r="B26" s="8" t="e">
        <f>+VLOOKUP(O6,data!$C$4:$D$83,2,0)</f>
        <v>#N/A</v>
      </c>
      <c r="C26" s="38" t="e">
        <f>+VLOOKUP(B26,cennik!$A:$G,2,FALSE)</f>
        <v>#N/A</v>
      </c>
      <c r="D26" s="8">
        <v>1</v>
      </c>
      <c r="E26" s="207" t="e">
        <f>+VLOOKUP(B26,cennik!$A:$G,3,FALSE)</f>
        <v>#N/A</v>
      </c>
      <c r="F26" s="91" t="e">
        <f>+E26*D26</f>
        <v>#N/A</v>
      </c>
      <c r="G26" s="92" t="e">
        <f t="shared" ref="G26:G29" si="0">+F26*(100-$G$23)/100</f>
        <v>#N/A</v>
      </c>
      <c r="H26" s="6" t="str">
        <f>cennik!$B$2</f>
        <v>EUR</v>
      </c>
      <c r="I26" s="469" t="str">
        <f>IFERROR(IF((VLOOKUP(B26,cennik!A:L,12,0))="O",texty!$A$250,""),"")</f>
        <v/>
      </c>
      <c r="K26" s="191" t="e">
        <f>IF(D26&gt;0,IF(VLOOKUP(B26,cennik!A:L,12,FALSE)="O",1,""),"")</f>
        <v>#N/A</v>
      </c>
      <c r="L26" s="6"/>
    </row>
    <row r="27" spans="1:12" ht="12.75" customHeight="1" x14ac:dyDescent="0.2">
      <c r="A27" s="72" t="str">
        <f>+Faworyt!A28</f>
        <v>krycí profil (maska):</v>
      </c>
      <c r="B27" s="8" t="e">
        <f>+VLOOKUP(O6,data!$C$105:$D$195,2,0)</f>
        <v>#N/A</v>
      </c>
      <c r="C27" s="25" t="e">
        <f>IF($B$27=data!$D$64,texty!$A$239,+VLOOKUP($B$27,cennik!$A$3:$G$907,2,FALSE))</f>
        <v>#N/A</v>
      </c>
      <c r="D27" s="8">
        <v>1</v>
      </c>
      <c r="E27" s="91" t="e">
        <f>IF(B27=data!$D$73,0,+VLOOKUP(B27,cennik!$A$3:$G$907,3,FALSE))</f>
        <v>#N/A</v>
      </c>
      <c r="F27" s="91" t="e">
        <f t="shared" ref="F27" si="1">+E27*D27</f>
        <v>#N/A</v>
      </c>
      <c r="G27" s="92" t="e">
        <f t="shared" si="0"/>
        <v>#N/A</v>
      </c>
      <c r="H27" s="6" t="str">
        <f>cennik!$B$2</f>
        <v>EUR</v>
      </c>
      <c r="I27" s="469" t="str">
        <f>IFERROR(IF((VLOOKUP(B27,cennik!A:L,12,0))="O",texty!$A$250,""),"")</f>
        <v/>
      </c>
      <c r="K27" s="191" t="e">
        <f>IF(D27&gt;0,IF(VLOOKUP(B27,cennik!A:L,12,FALSE)="O",1,""),"")</f>
        <v>#N/A</v>
      </c>
      <c r="L27" s="6"/>
    </row>
    <row r="28" spans="1:12" ht="12.75" customHeight="1" x14ac:dyDescent="0.2">
      <c r="A28" s="7" t="str">
        <f>+Faworyt!A29</f>
        <v>horný vozík</v>
      </c>
      <c r="B28" s="71">
        <v>228023</v>
      </c>
      <c r="C28" s="38" t="str">
        <f>+VLOOKUP(B28,cennik!$A:$G,2,FALSE)</f>
        <v>SEVROLL 10196 Focus horný vozík 18mm 2ks</v>
      </c>
      <c r="D28" s="17">
        <f>IF((D41+D42)&gt;D4,0,D4-(D41+D42))</f>
        <v>0</v>
      </c>
      <c r="E28" s="207">
        <f>+VLOOKUP(B28,cennik!$A:$G,3,FALSE)</f>
        <v>3.9014199999999999</v>
      </c>
      <c r="F28" s="91">
        <f>+E28*D28</f>
        <v>0</v>
      </c>
      <c r="G28" s="92">
        <f t="shared" si="0"/>
        <v>0</v>
      </c>
      <c r="H28" s="6" t="str">
        <f>cennik!$B$2</f>
        <v>EUR</v>
      </c>
      <c r="I28" s="469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">
      <c r="A29" s="7" t="str">
        <f>+Faworyt!A30</f>
        <v>spodný vozík</v>
      </c>
      <c r="B29" s="16">
        <f>IF(F4=M63,362316,229440)</f>
        <v>229440</v>
      </c>
      <c r="C29" s="25" t="str">
        <f>+VLOOKUP(B29,cennik!$A:$G,2,FALSE)</f>
        <v>SEVROLL 10198 spodný vozík WD 18C HI-TEC - 2ks</v>
      </c>
      <c r="D29" s="17">
        <f>+D4</f>
        <v>0</v>
      </c>
      <c r="E29" s="207">
        <f>+VLOOKUP(B29,cennik!$A:$G,3,FALSE)</f>
        <v>5.1863999999999999</v>
      </c>
      <c r="F29" s="91">
        <f>+E29*D29</f>
        <v>0</v>
      </c>
      <c r="G29" s="92">
        <f t="shared" si="0"/>
        <v>0</v>
      </c>
      <c r="H29" s="6" t="str">
        <f>cennik!$B$2</f>
        <v>EUR</v>
      </c>
      <c r="I29" s="469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">
      <c r="A30" s="7" t="str">
        <f>+Faworyt!A31</f>
        <v>dorazový kartáč</v>
      </c>
      <c r="B30" s="16">
        <v>89131</v>
      </c>
      <c r="C30" s="38" t="str">
        <f>+VLOOKUP(B30,cennik!$A:$G,2,FALSE)</f>
        <v>SEVROLL dorazový kartáč samolepiaci 6,7x4mm</v>
      </c>
      <c r="D30" s="17">
        <f>CEILING((B4*D4*2/1000),1)</f>
        <v>0</v>
      </c>
      <c r="E30" s="207">
        <f>+VLOOKUP(B30,cennik!$A:$G,3,FALSE)</f>
        <v>0.17854</v>
      </c>
      <c r="F30" s="91">
        <f>+E30*D30</f>
        <v>0</v>
      </c>
      <c r="G30" s="92">
        <f>+F30*(100-$G$23)/100</f>
        <v>0</v>
      </c>
      <c r="H30" s="6" t="str">
        <f>cennik!$B$2</f>
        <v>EUR</v>
      </c>
      <c r="I30" s="469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">
      <c r="A31" s="7" t="str">
        <f>+Faworyt!A32</f>
        <v>úchytková lišta</v>
      </c>
      <c r="B31" s="16" t="e">
        <f>+VLOOKUP(P7,data!$C$659:$D$660,2,0)</f>
        <v>#N/A</v>
      </c>
      <c r="C31" s="38" t="e">
        <f>+VLOOKUP(B31,cennik!$A:$G,2,FALSE)</f>
        <v>#N/A</v>
      </c>
      <c r="D31" s="17">
        <f>IF(B9&lt;=1347,D4*2/2,D4*2)</f>
        <v>0</v>
      </c>
      <c r="E31" s="207" t="e">
        <f>+VLOOKUP(B31,cennik!$A:$G,3,FALSE)</f>
        <v>#N/A</v>
      </c>
      <c r="F31" s="91" t="e">
        <f>+E31*D31</f>
        <v>#N/A</v>
      </c>
      <c r="G31" s="92" t="e">
        <f>+F31*(100-$G$23)/100</f>
        <v>#N/A</v>
      </c>
      <c r="H31" s="6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">
      <c r="A32" s="7"/>
      <c r="B32" s="16"/>
      <c r="C32" s="25"/>
      <c r="D32" s="17"/>
      <c r="E32" s="91"/>
      <c r="F32" s="91"/>
      <c r="G32" s="92"/>
      <c r="H32" s="6"/>
      <c r="I32" s="469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ht="12.75" customHeight="1" x14ac:dyDescent="0.2">
      <c r="A33" s="131" t="str">
        <f>+Faworyt!A34</f>
        <v>Voliteľné príslušenstvo:</v>
      </c>
      <c r="B33" s="16"/>
      <c r="C33" s="25"/>
      <c r="D33" s="478" t="str">
        <f>+Faworyt!D34</f>
        <v>zadajte počet:</v>
      </c>
      <c r="E33" s="91"/>
      <c r="F33" s="91"/>
      <c r="G33" s="92"/>
      <c r="H33" s="6"/>
      <c r="I33" s="469" t="str">
        <f>IFERROR(IF((VLOOKUP(B33,cennik!A:L,12,0))="O",texty!$A$250,""),"")</f>
        <v/>
      </c>
      <c r="K33" s="191"/>
      <c r="L33" s="6"/>
    </row>
    <row r="34" spans="1:12" ht="12.75" customHeight="1" x14ac:dyDescent="0.2">
      <c r="A34" s="7" t="str">
        <f>texty!$A$88</f>
        <v>pozicionér do horného vedenia</v>
      </c>
      <c r="B34" s="187">
        <v>298035</v>
      </c>
      <c r="C34" s="38" t="str">
        <f>+VLOOKUP(B34,cennik!$A:$G,2,FALSE)</f>
        <v>SEVROLL 20326 Fix pozicionér pre horný vozík transparentný</v>
      </c>
      <c r="D34" s="29"/>
      <c r="E34" s="207">
        <f>+VLOOKUP(B34,cennik!$A:$G,3,FALSE)</f>
        <v>1.0837300000000001</v>
      </c>
      <c r="F34" s="105">
        <f>+E34*D34</f>
        <v>0</v>
      </c>
      <c r="G34" s="104">
        <f>+F34*(100-$G$23)/100</f>
        <v>0</v>
      </c>
      <c r="H34" s="6" t="str">
        <f>cennik!$B$2</f>
        <v>EUR</v>
      </c>
      <c r="I34" s="469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SEVROLL 20080 pozicionér spodného vozíka HI-TEC</v>
      </c>
      <c r="D35" s="29"/>
      <c r="E35" s="207">
        <f>+VLOOKUP(B35,cennik!$A:$G,3,FALSE)</f>
        <v>0.30964000000000003</v>
      </c>
      <c r="F35" s="105">
        <f t="shared" ref="F35:F56" si="2">+E35*D35</f>
        <v>0</v>
      </c>
      <c r="G35" s="104">
        <f t="shared" ref="G35:G56" si="3">+F35*(100-$G$23)/100</f>
        <v>0</v>
      </c>
      <c r="H35" s="6" t="str">
        <f>cennik!$B$2</f>
        <v>EUR</v>
      </c>
      <c r="I35" s="469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">
      <c r="A36" s="422" t="str">
        <f>texty!$A$228</f>
        <v> Tlmič dorazu MINI do 25 kg (pár)</v>
      </c>
      <c r="B36" s="16">
        <v>318662</v>
      </c>
      <c r="C36" s="25" t="str">
        <f>+VLOOKUP(B36,cennik!$A:$G,2,FALSE)</f>
        <v>SEVROLL 20368-SV tlmič dorazu Mini SV25 (14-25kg)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3"/>
        <v>0</v>
      </c>
      <c r="H36" s="24" t="str">
        <f>cennik!$B$2</f>
        <v>EUR</v>
      </c>
      <c r="I36" s="469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">
      <c r="A37" s="422" t="str">
        <f>texty!$A$229</f>
        <v> Tlmič dorazu MINI do 40 kg (pár)</v>
      </c>
      <c r="B37" s="24">
        <v>283956</v>
      </c>
      <c r="C37" s="25" t="str">
        <f>+VLOOKUP(B37,cennik!$A:$G,2,FALSE)</f>
        <v>SEVROLL 20258-SV tlmič dorazu Mini SV40 (25 - 40kg)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3"/>
        <v>0</v>
      </c>
      <c r="H37" s="24" t="str">
        <f>cennik!$B$2</f>
        <v>EUR</v>
      </c>
      <c r="I37" s="469" t="str">
        <f>IFERROR(IF((VLOOKUP(B37,cennik!A:L,12,0))="O",texty!$A$250,""),"")</f>
        <v/>
      </c>
      <c r="K37" s="191" t="str">
        <f>IF(D37&gt;0,IF(VLOOKUP(B37,cennik!A:L,12,FALSE)="O",1,""),"")</f>
        <v/>
      </c>
      <c r="L37" s="6"/>
    </row>
    <row r="38" spans="1:12" ht="12.75" customHeight="1" x14ac:dyDescent="0.2">
      <c r="A38" s="422" t="str">
        <f>texty!$A$230</f>
        <v> Tlmič dorazu MINI do 60 kg (pár)</v>
      </c>
      <c r="B38" s="24">
        <v>351743</v>
      </c>
      <c r="C38" s="25" t="str">
        <f>+VLOOKUP(B38,cennik!$A:$G,2,FALSE)</f>
        <v>SEVROLL 20339-SV tlmič dorazu Mini SV60 (40 - 60kg)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3"/>
        <v>0</v>
      </c>
      <c r="H38" s="24" t="str">
        <f>cennik!$B$2</f>
        <v>EUR</v>
      </c>
      <c r="I38" s="469" t="str">
        <f>IFERROR(IF((VLOOKUP(B38,cennik!A:L,12,0))="O",texty!$A$250,""),"")</f>
        <v/>
      </c>
      <c r="K38" s="191" t="str">
        <f>IF(D38&gt;0,IF(VLOOKUP(B38,cennik!A:L,12,FALSE)="O",1,""),"")</f>
        <v/>
      </c>
      <c r="L38" s="6"/>
    </row>
    <row r="39" spans="1:12" ht="12.75" customHeight="1" x14ac:dyDescent="0.2">
      <c r="A39" s="422" t="str">
        <f>texty!$A$231</f>
        <v> Tlmič pre stredné krídlo do 25 kg</v>
      </c>
      <c r="B39" s="24">
        <v>318663</v>
      </c>
      <c r="C39" s="25" t="str">
        <f>+VLOOKUP(B39,cennik!$A:$G,2,FALSE)</f>
        <v>SEVROLL 20363-SV tlmič Central 10/18mm obojstranný 25kg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3"/>
        <v>0</v>
      </c>
      <c r="H39" s="24" t="str">
        <f>cennik!$B$2</f>
        <v>EUR</v>
      </c>
      <c r="I39" s="469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">
      <c r="A40" s="422" t="str">
        <f>texty!$A$232</f>
        <v> Tlmič pre stredné krídlo do 40 kg</v>
      </c>
      <c r="B40" s="24">
        <v>283955</v>
      </c>
      <c r="C40" s="25" t="str">
        <f>+VLOOKUP(B40,cennik!$A:$G,2,FALSE)</f>
        <v>SEVROLL 20319-SV tlmič Central 10/18mm obojstranný 25-40kg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3"/>
        <v>0</v>
      </c>
      <c r="H40" s="24" t="str">
        <f>cennik!$B$2</f>
        <v>EUR</v>
      </c>
      <c r="I40" s="469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 L+P</v>
      </c>
      <c r="D41" s="29"/>
      <c r="E41" s="207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EUR</v>
      </c>
      <c r="I41" s="469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EUR</v>
      </c>
      <c r="I42" s="469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">
      <c r="A43" s="7" t="str">
        <f>texty!$A$196</f>
        <v>Spona dorazovej kefky</v>
      </c>
      <c r="B43" s="16">
        <v>223569</v>
      </c>
      <c r="C43" s="38" t="str">
        <f>+VLOOKUP(B43,cennik!$A:$G,2,FALSE)</f>
        <v>SEVROLL 20223 spona dorazovej kefky</v>
      </c>
      <c r="D43" s="29"/>
      <c r="E43" s="207">
        <f>+VLOOKUP(B43,cennik!$A:$G,3,FALSE)</f>
        <v>7.1209999999999996E-2</v>
      </c>
      <c r="F43" s="105">
        <f t="shared" si="2"/>
        <v>0</v>
      </c>
      <c r="G43" s="104">
        <f t="shared" si="3"/>
        <v>0</v>
      </c>
      <c r="H43" s="6" t="str">
        <f>cennik!$B$2</f>
        <v>EUR</v>
      </c>
      <c r="I43" s="469" t="str">
        <f>IFERROR(IF((VLOOKUP(B43,cennik!A:L,12,0))="O",texty!$A$250,""),"")</f>
        <v/>
      </c>
      <c r="K43" s="191" t="str">
        <f>IF(D43&gt;0,IF(VLOOKUP(B43,cennik!A:L,12,FALSE)="O",1,""),"")</f>
        <v/>
      </c>
      <c r="L43" s="3"/>
    </row>
    <row r="44" spans="1:12" ht="12.75" customHeight="1" x14ac:dyDescent="0.2">
      <c r="A44" s="145" t="str">
        <f>texty!$A$114</f>
        <v>spojovací profil H18-3metre</v>
      </c>
      <c r="B44" s="16" t="e">
        <f>+VLOOKUP($P$7,data!$C$537:$D$547,2,0)</f>
        <v>#N/A</v>
      </c>
      <c r="C44" s="38" t="e">
        <f>+VLOOKUP(B44,cennik!$A:$G,2,FALSE)</f>
        <v>#N/A</v>
      </c>
      <c r="D44" s="29"/>
      <c r="E44" s="207" t="e">
        <f>+VLOOKUP(B44,cennik!$A:$G,3,FALSE)</f>
        <v>#N/A</v>
      </c>
      <c r="F44" s="105" t="e">
        <f t="shared" si="2"/>
        <v>#N/A</v>
      </c>
      <c r="G44" s="104" t="e">
        <f t="shared" si="3"/>
        <v>#N/A</v>
      </c>
      <c r="H44" s="6" t="str">
        <f>cennik!$B$2</f>
        <v>EUR</v>
      </c>
      <c r="I44" s="469" t="str">
        <f>IFERROR(IF((VLOOKUP(B44,cennik!A:L,12,0))="O",texty!$A$250,""),"")</f>
        <v/>
      </c>
      <c r="K44" s="191" t="str">
        <f>IF(D44&gt;0,IF(VLOOKUP(B44,cennik!A:L,12,FALSE)="O",1,""),"")</f>
        <v/>
      </c>
      <c r="L44" s="3"/>
    </row>
    <row r="45" spans="1:12" ht="12.75" customHeight="1" x14ac:dyDescent="0.2">
      <c r="A45" s="145" t="str">
        <f>texty!$A$115</f>
        <v>spojovací T profil - 3metre /s drážkou/</v>
      </c>
      <c r="B45" s="16" t="e">
        <f>+VLOOKUP($P$7,data!$C$548:$D$557,2,0)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 t="shared" si="2"/>
        <v>#N/A</v>
      </c>
      <c r="G45" s="104" t="e">
        <f t="shared" si="3"/>
        <v>#N/A</v>
      </c>
      <c r="H45" s="24" t="str">
        <f>cennik!$B$2</f>
        <v>EUR</v>
      </c>
      <c r="I45" s="469" t="str">
        <f>IFERROR(IF((VLOOKUP(B45,cennik!A:L,12,0))="O",texty!$A$250,""),"")</f>
        <v/>
      </c>
      <c r="K45" s="191" t="str">
        <f>IF(D45&gt;0,IF(VLOOKUP(B45,cennik!A:L,12,FALSE)="O",1,""),"")</f>
        <v/>
      </c>
      <c r="L45" s="3"/>
    </row>
    <row r="46" spans="1:12" ht="12.75" customHeight="1" x14ac:dyDescent="0.2">
      <c r="A46" s="145" t="str">
        <f>texty!$A$116</f>
        <v>spojovací T profil - 3metre /s lemom/</v>
      </c>
      <c r="B46" s="16" t="e">
        <f>+VLOOKUP($P$7,data!$C$558:$D$567,2,0)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2"/>
        <v>#N/A</v>
      </c>
      <c r="G46" s="104" t="e">
        <f t="shared" si="3"/>
        <v>#N/A</v>
      </c>
      <c r="H46" s="24" t="str">
        <f>cennik!$B$2</f>
        <v>EUR</v>
      </c>
      <c r="I46" s="469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">
      <c r="A47" s="145" t="str">
        <f>texty!$A$117</f>
        <v>"U" profil na DTD 18mm - 3 metre /hladký/</v>
      </c>
      <c r="B47" s="6" t="e">
        <f>+VLOOKUP($P$7,data!$C$568:$D$578,2,0)</f>
        <v>#N/A</v>
      </c>
      <c r="C47" s="38" t="e">
        <f>+VLOOKUP(B47,cennik!$A:$G,2,FALSE)</f>
        <v>#N/A</v>
      </c>
      <c r="D47" s="29"/>
      <c r="E47" s="207" t="e">
        <f>+VLOOKUP(B47,cennik!$A:$G,3,FALSE)</f>
        <v>#N/A</v>
      </c>
      <c r="F47" s="105" t="e">
        <f t="shared" si="2"/>
        <v>#N/A</v>
      </c>
      <c r="G47" s="104" t="e">
        <f t="shared" si="3"/>
        <v>#N/A</v>
      </c>
      <c r="H47" s="6" t="str">
        <f>cennik!$B$2</f>
        <v>EUR</v>
      </c>
      <c r="I47" s="469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">
      <c r="A48" s="145" t="str">
        <f>texty!$A$118</f>
        <v>"U" profil na DTD 18mm - 3 metre /lem/</v>
      </c>
      <c r="B48" s="16" t="e">
        <f>+VLOOKUP($P$7,data!$C$578:$D$588,2,0)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 t="shared" si="2"/>
        <v>#N/A</v>
      </c>
      <c r="G48" s="104" t="e">
        <f t="shared" si="3"/>
        <v>#N/A</v>
      </c>
      <c r="H48" s="6" t="str">
        <f>cennik!$B$2</f>
        <v>EUR</v>
      </c>
      <c r="I48" s="469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4" ht="12.75" customHeight="1" x14ac:dyDescent="0.2">
      <c r="A49" s="145" t="str">
        <f>texty!$A$119</f>
        <v>uholník mini 11x17mm - 1,7m</v>
      </c>
      <c r="B49" s="6" t="e">
        <f>+VLOOKUP($P$7,data!$C$589:$D$599,2,0)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>+E49*D49</f>
        <v>#N/A</v>
      </c>
      <c r="G49" s="104" t="e">
        <f t="shared" si="3"/>
        <v>#N/A</v>
      </c>
      <c r="H49" s="6" t="str">
        <f>cennik!$B$2</f>
        <v>EUR</v>
      </c>
      <c r="I49" s="469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4" ht="12.75" customHeight="1" x14ac:dyDescent="0.2">
      <c r="A50" s="145" t="str">
        <f>texty!$A$120</f>
        <v>uholník mini 11x17mm - 2,35m</v>
      </c>
      <c r="B50" s="6" t="e">
        <f>+VLOOKUP($P$7,data!$C$600:$D$610,2,0)</f>
        <v>#N/A</v>
      </c>
      <c r="C50" s="38" t="e">
        <f>IF(B50=data!$D$64,texty!$A$239,+VLOOKUP(B50,cennik!$A$3:$G$907,2,FALSE))</f>
        <v>#N/A</v>
      </c>
      <c r="D50" s="29"/>
      <c r="E50" s="91" t="e">
        <f>IF(B50=data!$D$73,0,+VLOOKUP(B50,cennik!$A$3:$G$907,3,FALSE))</f>
        <v>#N/A</v>
      </c>
      <c r="F50" s="91" t="e">
        <f>+E50*D50</f>
        <v>#N/A</v>
      </c>
      <c r="G50" s="104" t="e">
        <f t="shared" si="3"/>
        <v>#N/A</v>
      </c>
      <c r="H50" s="6" t="str">
        <f>cennik!$B$2</f>
        <v>EUR</v>
      </c>
      <c r="I50" s="469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4" ht="12.75" customHeight="1" x14ac:dyDescent="0.2">
      <c r="A51" s="145" t="str">
        <f>texty!$A$121</f>
        <v>uholník mini 11x17mm - 3m</v>
      </c>
      <c r="B51" s="15" t="e">
        <f>+VLOOKUP($P$7,data!$C$611:$D$621,2,0)</f>
        <v>#N/A</v>
      </c>
      <c r="C51" s="38" t="e">
        <f>IF(B51=data!$D$64,texty!$A$239,+VLOOKUP(B51,cennik!$A$3:$G$907,2,FALSE))</f>
        <v>#N/A</v>
      </c>
      <c r="D51" s="29"/>
      <c r="E51" s="91" t="e">
        <f>IF(B51=data!$D$73,0,+VLOOKUP(B51,cennik!$A$3:$G$907,3,FALSE))</f>
        <v>#N/A</v>
      </c>
      <c r="F51" s="91" t="e">
        <f>+E51*D51</f>
        <v>#N/A</v>
      </c>
      <c r="G51" s="104" t="e">
        <f t="shared" si="3"/>
        <v>#N/A</v>
      </c>
      <c r="H51" s="6" t="str">
        <f>cennik!$B$2</f>
        <v>EUR</v>
      </c>
      <c r="I51" s="469" t="str">
        <f>IFERROR(IF((VLOOKUP(B51,cennik!A:L,12,0))="O",texty!$A$250,""),"")</f>
        <v/>
      </c>
      <c r="K51" s="191" t="str">
        <f>IF(D51&gt;0,IF(VLOOKUP(B51,cennik!A:L,12,FALSE)="O",1,""),"")</f>
        <v/>
      </c>
      <c r="L51" s="6"/>
    </row>
    <row r="52" spans="1:14" ht="12.75" customHeight="1" x14ac:dyDescent="0.2">
      <c r="A52" s="145" t="str">
        <f>texty!$A$122</f>
        <v>uholník K2 19x18mm - 1,7m</v>
      </c>
      <c r="B52" s="24" t="e">
        <f>+VLOOKUP($P$7,data!$C$622:$D$631,2,0)</f>
        <v>#N/A</v>
      </c>
      <c r="C52" s="38" t="e">
        <f>IF(B52=data!$D$64,texty!$A$239,+VLOOKUP(B52,cennik!$A$3:$G$907,2,FALSE))</f>
        <v>#N/A</v>
      </c>
      <c r="D52" s="29"/>
      <c r="E52" s="91" t="e">
        <f>IF(B52=data!$D$73,0,+VLOOKUP(B52,cennik!$A$3:$G$907,3,FALSE))</f>
        <v>#N/A</v>
      </c>
      <c r="F52" s="91" t="e">
        <f>+E52*D52</f>
        <v>#N/A</v>
      </c>
      <c r="G52" s="104" t="e">
        <f t="shared" si="3"/>
        <v>#N/A</v>
      </c>
      <c r="H52" s="6" t="str">
        <f>cennik!$B$2</f>
        <v>EUR</v>
      </c>
      <c r="I52" s="469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4" ht="12.75" customHeight="1" x14ac:dyDescent="0.2">
      <c r="A53" s="145" t="str">
        <f>texty!$A$123</f>
        <v>uholník K2 19x18mm - 2,35m</v>
      </c>
      <c r="B53" s="16" t="e">
        <f>+VLOOKUP($P$7,data!$C$632:$D$641,2,0)</f>
        <v>#N/A</v>
      </c>
      <c r="C53" s="38" t="e">
        <f>IF(B53=data!$D$64,texty!$A$239,+VLOOKUP(B53,cennik!$A$3:$G$907,2,FALSE))</f>
        <v>#N/A</v>
      </c>
      <c r="D53" s="30"/>
      <c r="E53" s="91" t="e">
        <f>IF(B53=data!$D$73,0,+VLOOKUP(B53,cennik!$A$3:$G$907,3,FALSE))</f>
        <v>#N/A</v>
      </c>
      <c r="F53" s="91" t="e">
        <f t="shared" si="2"/>
        <v>#N/A</v>
      </c>
      <c r="G53" s="104" t="e">
        <f t="shared" si="3"/>
        <v>#N/A</v>
      </c>
      <c r="H53" s="6" t="str">
        <f>cennik!$B$2</f>
        <v>EUR</v>
      </c>
      <c r="I53" s="469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">
      <c r="A54" s="145" t="str">
        <f>texty!$A$124</f>
        <v>uholník K2 19x18mm - 3,00m</v>
      </c>
      <c r="B54" s="16" t="e">
        <f>+VLOOKUP($P$7,data!$C$642:$D$651,2,0)</f>
        <v>#N/A</v>
      </c>
      <c r="C54" s="38" t="e">
        <f>IF(B54=data!$D$64,texty!$A$239,+VLOOKUP(B54,cennik!$A$3:$G$907,2,FALSE))</f>
        <v>#N/A</v>
      </c>
      <c r="D54" s="30"/>
      <c r="E54" s="91" t="e">
        <f>IF(B54=data!$D$73,0,+VLOOKUP(B54,cennik!$A$3:$G$907,3,FALSE))</f>
        <v>#N/A</v>
      </c>
      <c r="F54" s="91" t="e">
        <f t="shared" si="2"/>
        <v>#N/A</v>
      </c>
      <c r="G54" s="104" t="e">
        <f t="shared" si="3"/>
        <v>#N/A</v>
      </c>
      <c r="H54" s="6" t="str">
        <f>cennik!$B$2</f>
        <v>EUR</v>
      </c>
      <c r="I54" s="469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">
      <c r="A55" s="422" t="str">
        <f>texty!$A$240</f>
        <v>zámok posuvných dverí</v>
      </c>
      <c r="B55" s="24">
        <v>216363</v>
      </c>
      <c r="C55" s="38" t="str">
        <f>+VLOOKUP(B55,cennik!$A:$G,2,FALSE)</f>
        <v>SEVROLL 20356 zámok na posuvné dvere 10/18mm</v>
      </c>
      <c r="D55" s="29"/>
      <c r="E55" s="207">
        <f>+VLOOKUP(B55,cennik!$A:$G,3,FALSE)</f>
        <v>15.72176</v>
      </c>
      <c r="F55" s="105">
        <f t="shared" si="2"/>
        <v>0</v>
      </c>
      <c r="G55" s="104">
        <f t="shared" si="3"/>
        <v>0</v>
      </c>
      <c r="H55" s="6" t="str">
        <f>cennik!$B$2</f>
        <v>EUR</v>
      </c>
      <c r="I55" s="469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4" ht="12.75" customHeight="1" x14ac:dyDescent="0.2">
      <c r="A56" s="7" t="str">
        <f>texty!$A$112</f>
        <v>protiprachový kartáč samolepiaci</v>
      </c>
      <c r="B56" s="24">
        <v>308639</v>
      </c>
      <c r="C56" s="25" t="str">
        <f>+VLOOKUP(B56,cennik!$A:$G,2,FALSE)</f>
        <v>SEVROLL protiprachový kartáč samolep. 6,7x13mm</v>
      </c>
      <c r="D56" s="29"/>
      <c r="E56" s="207">
        <f>+VLOOKUP(B56,cennik!$A:$G,3,FALSE)</f>
        <v>0.29721999999999998</v>
      </c>
      <c r="F56" s="105">
        <f t="shared" si="2"/>
        <v>0</v>
      </c>
      <c r="G56" s="104">
        <f t="shared" si="3"/>
        <v>0</v>
      </c>
      <c r="H56" s="6" t="str">
        <f>cennik!$B$2</f>
        <v>EUR</v>
      </c>
      <c r="I56" s="469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">
      <c r="A57" s="7"/>
      <c r="B57" s="24"/>
      <c r="C57" s="25"/>
      <c r="D57" s="207"/>
      <c r="E57" s="207"/>
      <c r="F57" s="105"/>
      <c r="G57" s="104"/>
      <c r="H57" s="6"/>
      <c r="I57" s="181"/>
      <c r="K57" s="191"/>
      <c r="L57" s="6"/>
    </row>
    <row r="58" spans="1:14" ht="15" x14ac:dyDescent="0.2">
      <c r="A58" s="271" t="str">
        <f>texty!$A$190</f>
        <v>Ďalšie príslušenstvo</v>
      </c>
      <c r="B58" s="272"/>
      <c r="C58" s="272"/>
      <c r="D58" s="272"/>
      <c r="E58" s="272"/>
      <c r="F58" s="272"/>
      <c r="G58" s="272"/>
      <c r="H58" s="272"/>
      <c r="I58" s="272"/>
      <c r="J58" s="272"/>
      <c r="K58" s="134"/>
      <c r="L58" s="6"/>
    </row>
    <row r="59" spans="1:14" ht="12.75" customHeight="1" x14ac:dyDescent="0.2">
      <c r="A59" s="271" t="str">
        <f>texty!$A$244</f>
        <v>Technický nákres tohoto systému</v>
      </c>
      <c r="C59" s="40"/>
      <c r="D59" s="78" t="str">
        <f>+Faworyt!D61</f>
        <v>CELKOM  (bez DPH)</v>
      </c>
      <c r="E59" s="115"/>
      <c r="F59" s="116" t="e">
        <f>SUM(F25:F56)</f>
        <v>#N/A</v>
      </c>
      <c r="G59" s="116" t="e">
        <f>SUM(G25:G56)</f>
        <v>#N/A</v>
      </c>
      <c r="H59" s="6" t="str">
        <f>cennik!$B$2</f>
        <v>EUR</v>
      </c>
      <c r="J59" s="181"/>
      <c r="K59" s="181"/>
      <c r="L59" s="6"/>
    </row>
    <row r="60" spans="1:14" ht="12.75" customHeight="1" x14ac:dyDescent="0.2">
      <c r="A60" s="75" t="str">
        <f>System10!$A$67</f>
        <v>Vaša poznámka:</v>
      </c>
      <c r="B60" s="661"/>
      <c r="C60" s="662"/>
      <c r="D60" s="662"/>
      <c r="E60" s="662"/>
      <c r="F60" s="662"/>
      <c r="G60" s="663"/>
      <c r="H60" s="6"/>
      <c r="L60" s="6"/>
    </row>
    <row r="61" spans="1:14" ht="12.75" customHeight="1" x14ac:dyDescent="0.2">
      <c r="A61" s="659">
        <f>profil!$U$15</f>
        <v>0</v>
      </c>
      <c r="B61" s="649"/>
      <c r="C61" s="649"/>
      <c r="D61" s="649"/>
      <c r="E61" s="649"/>
      <c r="F61" s="649"/>
      <c r="G61" s="649"/>
      <c r="H61" s="649"/>
      <c r="L61" s="6"/>
    </row>
    <row r="62" spans="1:14" ht="12.75" customHeight="1" x14ac:dyDescent="0.2">
      <c r="A62" s="650">
        <f>IF(N62=1,texty!$A$215,IF(K62&gt;0,texty!$A$214,""))</f>
        <v>0</v>
      </c>
      <c r="B62" s="650"/>
      <c r="C62" s="650"/>
      <c r="D62" s="650"/>
      <c r="E62" s="650"/>
      <c r="F62" s="650"/>
      <c r="G62" s="650"/>
      <c r="H62" s="650"/>
      <c r="K62" s="6" t="e">
        <f>SUM(K25:K54)</f>
        <v>#N/A</v>
      </c>
      <c r="L62" s="6"/>
      <c r="N62" s="5">
        <f>IF(ISERROR(K62),1,0)</f>
        <v>1</v>
      </c>
    </row>
    <row r="63" spans="1:14" ht="12.75" customHeight="1" x14ac:dyDescent="0.2">
      <c r="L63" s="5" t="str">
        <f>texty!A128</f>
        <v xml:space="preserve">strieborná </v>
      </c>
      <c r="M63" s="21" t="s">
        <v>987</v>
      </c>
    </row>
    <row r="64" spans="1:14" ht="12.75" customHeight="1" x14ac:dyDescent="0.2">
      <c r="L64" s="5" t="str">
        <f>texty!A130</f>
        <v>oliva</v>
      </c>
      <c r="M64" s="21" t="s">
        <v>43</v>
      </c>
    </row>
    <row r="65" ht="12.75" customHeight="1" x14ac:dyDescent="0.2"/>
    <row r="66" ht="12.75" customHeight="1" x14ac:dyDescent="0.2"/>
    <row r="67" ht="12.75" customHeight="1" x14ac:dyDescent="0.2"/>
    <row r="68" ht="12.75" customHeight="1" x14ac:dyDescent="0.2"/>
  </sheetData>
  <sheetProtection algorithmName="SHA-512" hashValue="NwHwZYEiz2xWUWUjN4TwQ8zpOFOGKpGuSQM234BPlbfYWaZRBVBsMsT/J/doVDtzQyKPthxQZ0+vSq9pu0shpQ==" saltValue="5xwKtnFypMB1t0ygkgb6uA==" spinCount="100000" sheet="1" objects="1" scenarios="1" selectLockedCell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A11">
    <cfRule type="expression" dxfId="83" priority="3">
      <formula>SUM($D$39:$D$40)&gt;0</formula>
    </cfRule>
  </conditionalFormatting>
  <conditionalFormatting sqref="D6">
    <cfRule type="expression" dxfId="81" priority="7">
      <formula>$D$4=4</formula>
    </cfRule>
    <cfRule type="expression" dxfId="80" priority="8">
      <formula>$D$4&lt;&gt;4</formula>
    </cfRule>
  </conditionalFormatting>
  <conditionalFormatting sqref="G4">
    <cfRule type="expression" dxfId="79" priority="6">
      <formula>$D$4=4</formula>
    </cfRule>
  </conditionalFormatting>
  <conditionalFormatting sqref="I16:I17">
    <cfRule type="expression" dxfId="78" priority="4">
      <formula>$F$4=$M$64</formula>
    </cfRule>
  </conditionalFormatting>
  <conditionalFormatting sqref="I18:I19">
    <cfRule type="expression" dxfId="7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:F6" xr:uid="{00000000-0002-0000-1B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Y79"/>
  <sheetViews>
    <sheetView showGridLines="0" zoomScale="85" zoomScaleNormal="85" workbookViewId="0">
      <selection activeCell="B4" sqref="B4"/>
    </sheetView>
  </sheetViews>
  <sheetFormatPr defaultColWidth="0" defaultRowHeight="0" customHeight="1" zeroHeight="1" x14ac:dyDescent="0.2"/>
  <cols>
    <col min="1" max="1" width="39.42578125" style="5" customWidth="1"/>
    <col min="2" max="2" width="15.7109375" style="5" customWidth="1"/>
    <col min="3" max="3" width="39.7109375" style="5" customWidth="1"/>
    <col min="4" max="7" width="14.7109375" style="5" customWidth="1"/>
    <col min="8" max="8" width="4.7109375" style="6" customWidth="1"/>
    <col min="9" max="9" width="24.7109375" style="6" customWidth="1"/>
    <col min="10" max="10" width="19.140625" style="6" hidden="1" customWidth="1"/>
    <col min="11" max="11" width="26.42578125" style="5" hidden="1" customWidth="1"/>
    <col min="12" max="12" width="11.7109375" style="5" hidden="1" customWidth="1"/>
    <col min="13" max="13" width="26.42578125" style="5" hidden="1" customWidth="1"/>
    <col min="14" max="14" width="7.28515625" style="5" hidden="1" customWidth="1"/>
    <col min="15" max="15" width="9.140625" style="5" hidden="1" customWidth="1"/>
    <col min="16" max="16" width="7" style="5" hidden="1" customWidth="1"/>
    <col min="17" max="17" width="10.42578125" style="5" hidden="1" customWidth="1"/>
    <col min="18" max="18" width="12" style="5" hidden="1" customWidth="1"/>
    <col min="19" max="19" width="11.42578125" style="5" hidden="1" customWidth="1"/>
    <col min="20" max="20" width="5.140625" style="5" hidden="1" customWidth="1"/>
    <col min="21" max="22" width="5.7109375" style="5" hidden="1" customWidth="1"/>
    <col min="23" max="24" width="4.42578125" style="5" hidden="1" customWidth="1"/>
    <col min="25" max="25" width="11.42578125" style="5" hidden="1" customWidth="1"/>
    <col min="26" max="16384" width="9.140625" style="5" hidden="1"/>
  </cols>
  <sheetData>
    <row r="1" spans="1:21" ht="13.5" customHeight="1" thickBot="1" x14ac:dyDescent="0.25">
      <c r="A1" s="418"/>
      <c r="B1" s="17"/>
      <c r="C1" s="17"/>
      <c r="D1" s="17"/>
      <c r="E1" s="17"/>
      <c r="F1" s="24"/>
      <c r="G1" s="24"/>
      <c r="H1" s="24"/>
      <c r="I1" s="24"/>
      <c r="K1" s="6">
        <v>2</v>
      </c>
      <c r="L1" s="5">
        <v>-7</v>
      </c>
    </row>
    <row r="2" spans="1:21" ht="18.75" customHeight="1" x14ac:dyDescent="0.2">
      <c r="A2" s="523" t="s">
        <v>849</v>
      </c>
      <c r="B2" s="419" t="str">
        <f>profil!T7</f>
        <v>Zákazník:, , IČO:</v>
      </c>
      <c r="C2" s="17"/>
      <c r="D2" s="17"/>
      <c r="E2" s="17"/>
      <c r="F2" s="24"/>
      <c r="G2" s="24"/>
      <c r="H2" s="24"/>
      <c r="I2" s="24"/>
      <c r="K2" s="6">
        <v>3</v>
      </c>
    </row>
    <row r="3" spans="1:21" ht="35.25" customHeight="1" thickBot="1" x14ac:dyDescent="0.25">
      <c r="A3" s="524" t="str">
        <f>CONCATENATE(texty!A243," ",5,".",65)</f>
        <v>katalóg kovania 2018 str. 5.65</v>
      </c>
      <c r="B3" s="420" t="str">
        <f>CONCATENATE(texty!A34," / max.         3 040 mm /")</f>
        <v>výška / max.         3 040 mm /</v>
      </c>
      <c r="C3" s="421" t="str">
        <f>CONCATENATE(texty!A35," / max 6 000 mm /")</f>
        <v>šírka / max 6 000 mm /</v>
      </c>
      <c r="D3" s="421" t="str">
        <f>texty!A36</f>
        <v>počet dverí:</v>
      </c>
      <c r="E3" s="421" t="str">
        <f>texty!A37</f>
        <v>farba</v>
      </c>
      <c r="F3" s="420" t="str">
        <f>texty!A38</f>
        <v>typ spodného vedenia</v>
      </c>
      <c r="G3" s="24"/>
      <c r="H3" s="24"/>
      <c r="I3" s="24"/>
      <c r="K3" s="6"/>
    </row>
    <row r="4" spans="1:21" ht="24" customHeight="1" x14ac:dyDescent="0.2">
      <c r="A4" s="423" t="str">
        <f>texty!A70</f>
        <v>VNÚTORNÝ ROZMER SKRINE:</v>
      </c>
      <c r="B4" s="56"/>
      <c r="C4" s="56"/>
      <c r="D4" s="22"/>
      <c r="E4" s="209"/>
      <c r="F4" s="209"/>
      <c r="G4" s="634"/>
      <c r="H4" s="634"/>
      <c r="I4" s="634"/>
      <c r="J4" s="190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  <c r="N4" s="5">
        <v>3000</v>
      </c>
    </row>
    <row r="5" spans="1:21" ht="18" customHeight="1" x14ac:dyDescent="0.2">
      <c r="A5" s="423"/>
      <c r="B5" s="633" t="str">
        <f>texty!A45</f>
        <v>vypíšte týchto 5 políčok !!! Údaje v mm</v>
      </c>
      <c r="C5" s="633"/>
      <c r="D5" s="633"/>
      <c r="E5" s="633"/>
      <c r="F5" s="21"/>
      <c r="G5" s="634"/>
      <c r="H5" s="634"/>
      <c r="I5" s="634"/>
      <c r="J5" s="190"/>
      <c r="K5" s="3" t="str">
        <f>CONCATENATE(K4,"-",E4)</f>
        <v>1700-</v>
      </c>
      <c r="M5" s="3" t="str">
        <f>CONCATENATE(M4,"-",E4,", ",F4)</f>
        <v xml:space="preserve">1700-, </v>
      </c>
      <c r="N5" s="5" t="str">
        <f>CONCATENATE(N4,"-",E4)</f>
        <v>3000-</v>
      </c>
      <c r="R5" s="5" t="e">
        <f>#REF!*3</f>
        <v>#REF!</v>
      </c>
    </row>
    <row r="6" spans="1:21" ht="18" customHeight="1" x14ac:dyDescent="0.2">
      <c r="A6" s="423"/>
      <c r="B6" s="431" t="str">
        <f>IF(D4=4,texty!A227,"")</f>
        <v/>
      </c>
      <c r="C6" s="21"/>
      <c r="D6" s="443">
        <v>2</v>
      </c>
      <c r="E6" s="17"/>
      <c r="F6" s="21"/>
      <c r="G6" s="634"/>
      <c r="H6" s="634"/>
      <c r="I6" s="634"/>
      <c r="J6" s="190"/>
      <c r="K6" s="6"/>
      <c r="Q6" s="636" t="s">
        <v>557</v>
      </c>
      <c r="R6" s="636" t="s">
        <v>558</v>
      </c>
      <c r="S6" s="636" t="s">
        <v>559</v>
      </c>
      <c r="T6" s="636" t="s">
        <v>560</v>
      </c>
    </row>
    <row r="7" spans="1:21" ht="12.75" customHeight="1" x14ac:dyDescent="0.2">
      <c r="A7" s="424" t="str">
        <f>texty!A71</f>
        <v>krídlo dverí:</v>
      </c>
      <c r="B7" s="57">
        <f>+B4-40</f>
        <v>-40</v>
      </c>
      <c r="C7" s="59" t="e">
        <f>+((C4-3+(25*(D4-1)))/D4+IF(AND(D4=4,D6=2),L1,0))</f>
        <v>#DIV/0!</v>
      </c>
      <c r="D7" s="17"/>
      <c r="E7" s="17"/>
      <c r="F7" s="21"/>
      <c r="G7" s="434" t="str">
        <f>texty!$A$42</f>
        <v>u sklenenej výplne (alebo zrkadla)</v>
      </c>
      <c r="H7" s="24"/>
      <c r="I7" s="24"/>
      <c r="K7" s="6"/>
      <c r="N7" s="17" t="e">
        <f>IF(K11="jiné",L12,K11)</f>
        <v>#DIV/0!</v>
      </c>
      <c r="O7" s="21">
        <f>+E4</f>
        <v>0</v>
      </c>
      <c r="Q7" s="636"/>
      <c r="R7" s="636"/>
      <c r="S7" s="636"/>
      <c r="T7" s="636"/>
    </row>
    <row r="8" spans="1:21" ht="12.75" customHeight="1" x14ac:dyDescent="0.2">
      <c r="A8" s="424" t="str">
        <f>texty!A73</f>
        <v>rozmer zrkadla / skla</v>
      </c>
      <c r="B8" s="57">
        <f>+B7-4</f>
        <v>-44</v>
      </c>
      <c r="C8" s="59" t="e">
        <f>+C7-4</f>
        <v>#DIV/0!</v>
      </c>
      <c r="D8" s="17"/>
      <c r="E8" s="17"/>
      <c r="F8" s="21"/>
      <c r="G8" s="434" t="str">
        <f>texty!$A$40</f>
        <v>je treba použiť bezpečnostné sklo</v>
      </c>
      <c r="H8" s="24"/>
      <c r="I8" s="24"/>
      <c r="K8" s="6" t="s">
        <v>60</v>
      </c>
      <c r="L8" s="5" t="s">
        <v>61</v>
      </c>
      <c r="N8" s="23" t="e">
        <f>CONCATENATE(N7,"-",E4)</f>
        <v>#DIV/0!</v>
      </c>
      <c r="O8" s="21"/>
      <c r="P8" s="5">
        <v>1</v>
      </c>
      <c r="Q8" s="159" t="e">
        <f>$C$9+5</f>
        <v>#DIV/0!</v>
      </c>
      <c r="R8" s="5" t="e">
        <f>FLOOR(1700/Q8,1)</f>
        <v>#DIV/0!</v>
      </c>
      <c r="S8" s="5" t="e">
        <f>FLOOR(2350/Q8,1)</f>
        <v>#DIV/0!</v>
      </c>
      <c r="T8" s="5" t="e">
        <f>FLOOR(3000/Q8,1)</f>
        <v>#DIV/0!</v>
      </c>
    </row>
    <row r="9" spans="1:21" ht="12.75" customHeight="1" x14ac:dyDescent="0.2">
      <c r="A9" s="424" t="str">
        <f>texty!A74</f>
        <v>dĺžka vodiacej a krycej lišty krídla</v>
      </c>
      <c r="B9" s="57"/>
      <c r="C9" s="60" t="e">
        <f>+C$7-50</f>
        <v>#DIV/0!</v>
      </c>
      <c r="D9" s="17"/>
      <c r="E9" s="17"/>
      <c r="F9" s="21"/>
      <c r="G9" s="434" t="str">
        <f>texty!$A$41</f>
        <v>alebo sklo zabezpečiť ochrannou fóliou</v>
      </c>
      <c r="H9" s="24"/>
      <c r="I9" s="24"/>
      <c r="K9" s="37" t="e">
        <f>C9*D4</f>
        <v>#DIV/0!</v>
      </c>
      <c r="L9" s="36">
        <f>(D4+1)*5</f>
        <v>5</v>
      </c>
      <c r="P9" s="5">
        <v>2</v>
      </c>
      <c r="Q9" s="159" t="e">
        <f t="shared" ref="Q9:Q14" si="0">Q8+$C$9+5</f>
        <v>#DIV/0!</v>
      </c>
      <c r="R9" s="5" t="e">
        <f>(1700-C9)*R15</f>
        <v>#DIV/0!</v>
      </c>
      <c r="S9" s="5" t="e">
        <f>(2350-C9)*S15</f>
        <v>#DIV/0!</v>
      </c>
      <c r="T9" s="5" t="e">
        <f>(3000-C9)*T15</f>
        <v>#DIV/0!</v>
      </c>
      <c r="U9" s="5" t="s">
        <v>562</v>
      </c>
    </row>
    <row r="10" spans="1:21" ht="12.75" customHeight="1" x14ac:dyDescent="0.2">
      <c r="A10" s="424" t="str">
        <f>texty!A75</f>
        <v>Horný/spodný profil</v>
      </c>
      <c r="B10" s="57"/>
      <c r="C10" s="189">
        <f>+C$4</f>
        <v>0</v>
      </c>
      <c r="D10" s="17"/>
      <c r="E10" s="17"/>
      <c r="F10" s="21"/>
      <c r="G10" s="435"/>
      <c r="H10" s="24"/>
      <c r="I10" s="24"/>
      <c r="K10" s="5" t="s">
        <v>59</v>
      </c>
      <c r="N10" s="17" t="e">
        <f>IF(K11="jiné",L13,"")</f>
        <v>#DIV/0!</v>
      </c>
      <c r="O10" s="21">
        <f>+E4</f>
        <v>0</v>
      </c>
      <c r="P10" s="5">
        <v>3</v>
      </c>
      <c r="Q10" s="159" t="e">
        <f t="shared" si="0"/>
        <v>#DIV/0!</v>
      </c>
    </row>
    <row r="11" spans="1:21" ht="12.75" customHeight="1" x14ac:dyDescent="0.2">
      <c r="A11" s="424" t="str">
        <f>texty!A76</f>
        <v>úchytková lišta</v>
      </c>
      <c r="B11" s="488">
        <f>+B$7</f>
        <v>-40</v>
      </c>
      <c r="C11" s="489"/>
      <c r="D11" s="17"/>
      <c r="E11" s="17"/>
      <c r="F11" s="21"/>
      <c r="G11" s="23" t="str">
        <f>texty!$A$43</f>
        <v>Maximálna hmotnosť krídla je 50 kg</v>
      </c>
      <c r="H11" s="24"/>
      <c r="I11" s="24"/>
      <c r="K11" s="36" t="e">
        <f>IF((K9+L9)&lt;1700,1700,IF((K9+L9)&lt;2350,2350,IF((K9+L9)&lt;3000,3000,"jiné")))</f>
        <v>#DIV/0!</v>
      </c>
      <c r="M11" s="5" t="s">
        <v>62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">
      <c r="A12" s="425"/>
      <c r="B12" s="64"/>
      <c r="C12" s="85"/>
      <c r="D12" s="17"/>
      <c r="E12" s="17"/>
      <c r="F12" s="24"/>
      <c r="G12" s="24"/>
      <c r="H12" s="24"/>
      <c r="I12" s="436"/>
      <c r="J12" s="157"/>
      <c r="K12" s="6" t="e">
        <f>C9*(D4-1)+(D4*5)</f>
        <v>#DIV/0!</v>
      </c>
      <c r="L12" s="5" t="e">
        <f>IF(K12&lt;1700,1700,IF(K12&lt;2350,2350,IF(K12&lt;3000,3000,3000)))</f>
        <v>#DIV/0!</v>
      </c>
      <c r="M12" s="158" t="e">
        <f>L12-K12</f>
        <v>#DIV/0!</v>
      </c>
      <c r="N12" s="5" t="e">
        <f>IF((C9*2+10)&gt;3000,IF((C9+10)&gt;2350,3000,IF((C9+10)&gt;1700,2350,1700)),1700)</f>
        <v>#DIV/0!</v>
      </c>
      <c r="O12" s="5" t="e">
        <f>IF((N12/(C9+5))&gt;3,3,IF((N12/(C9+5))&gt;2,2,1))</f>
        <v>#DIV/0!</v>
      </c>
      <c r="P12" s="5">
        <v>5</v>
      </c>
      <c r="Q12" s="159" t="e">
        <f t="shared" si="0"/>
        <v>#DIV/0!</v>
      </c>
    </row>
    <row r="13" spans="1:21" ht="42" customHeight="1" x14ac:dyDescent="0.25">
      <c r="A13" s="635" t="str">
        <f>IF(SUM(D51:D52)&gt;0,texty!A245,"")</f>
        <v/>
      </c>
      <c r="B13" s="635"/>
      <c r="C13" s="432" t="e">
        <f>IF(C7&gt;1100,texty!A235,"")</f>
        <v>#DIV/0!</v>
      </c>
      <c r="D13" s="17"/>
      <c r="E13" s="17"/>
      <c r="F13" s="24"/>
      <c r="G13" s="24"/>
      <c r="H13" s="24"/>
      <c r="I13" s="24"/>
      <c r="K13" s="35" t="e">
        <f>C9+10</f>
        <v>#DIV/0!</v>
      </c>
      <c r="L13" s="5" t="e">
        <f>IF(M12&gt;=0,IF(K13&lt;1700,1700,IF(K13&lt;2350,2350,IF(K13&lt;3000,3000,"jiné"))),IF((K13+C9)&lt;1700,1700,IF((K13+C9)&lt;2350,2350,IF((K13+C9)&lt;3000,3000,"jiné"))))</f>
        <v>#DIV/0!</v>
      </c>
      <c r="M13" s="158" t="e">
        <f>L13-K13</f>
        <v>#DIV/0!</v>
      </c>
      <c r="P13" s="5">
        <v>6</v>
      </c>
      <c r="Q13" s="159" t="e">
        <f t="shared" si="0"/>
        <v>#DIV/0!</v>
      </c>
    </row>
    <row r="14" spans="1:21" ht="12.75" customHeight="1" x14ac:dyDescent="0.2">
      <c r="A14" s="422"/>
      <c r="B14" s="17"/>
      <c r="C14" s="433"/>
      <c r="D14" s="17"/>
      <c r="E14" s="17"/>
      <c r="F14" s="24"/>
      <c r="G14" s="24"/>
      <c r="H14" s="24"/>
      <c r="I14" s="24"/>
      <c r="K14" s="6"/>
      <c r="L14" s="5" t="e">
        <f>SUM(L12:L13)</f>
        <v>#DIV/0!</v>
      </c>
      <c r="M14" s="5" t="e">
        <f>SUM(M12:M13)</f>
        <v>#DIV/0!</v>
      </c>
      <c r="P14" s="5">
        <v>7</v>
      </c>
      <c r="Q14" s="159" t="e">
        <f t="shared" si="0"/>
        <v>#DIV/0!</v>
      </c>
    </row>
    <row r="15" spans="1:21" ht="12" customHeight="1" x14ac:dyDescent="0.25">
      <c r="A15" s="426"/>
      <c r="B15" s="17"/>
      <c r="C15" s="433"/>
      <c r="D15" s="17"/>
      <c r="E15" s="17"/>
      <c r="F15" s="24"/>
      <c r="G15" s="24"/>
      <c r="H15" s="24"/>
      <c r="I15" s="24"/>
      <c r="K15" s="6"/>
      <c r="L15" s="5" t="e">
        <f>L14-C4</f>
        <v>#DIV/0!</v>
      </c>
      <c r="P15" s="5" t="s">
        <v>561</v>
      </c>
      <c r="R15" s="5" t="e">
        <f>FLOOR($D$4/R8,1)</f>
        <v>#DIV/0!</v>
      </c>
      <c r="S15" s="5" t="e">
        <f>FLOOR($D$4/S8,1)</f>
        <v>#DIV/0!</v>
      </c>
      <c r="T15" s="5" t="e">
        <f>FLOOR($D$4/T8,1)</f>
        <v>#DIV/0!</v>
      </c>
    </row>
    <row r="16" spans="1:21" ht="12" customHeight="1" x14ac:dyDescent="0.25">
      <c r="A16" s="426"/>
      <c r="B16" s="17"/>
      <c r="C16" s="433"/>
      <c r="D16" s="17"/>
      <c r="E16" s="17"/>
      <c r="F16" s="24"/>
      <c r="G16" s="24"/>
      <c r="H16" s="24"/>
      <c r="I16" s="24"/>
      <c r="K16" s="6"/>
    </row>
    <row r="17" spans="1:22" ht="17.25" customHeight="1" x14ac:dyDescent="0.25">
      <c r="A17" s="426"/>
      <c r="B17" s="17"/>
      <c r="C17" s="433"/>
      <c r="D17" s="17"/>
      <c r="E17" s="17"/>
      <c r="F17" s="24"/>
      <c r="G17" s="24"/>
      <c r="H17" s="24"/>
      <c r="I17" s="21"/>
      <c r="K17" s="6"/>
    </row>
    <row r="18" spans="1:22" ht="12.75" customHeight="1" x14ac:dyDescent="0.2">
      <c r="A18" s="422"/>
      <c r="B18" s="17"/>
      <c r="C18" s="433"/>
      <c r="D18" s="17"/>
      <c r="E18" s="17"/>
      <c r="F18" s="24"/>
      <c r="G18" s="24"/>
      <c r="H18" s="24"/>
      <c r="I18" s="437"/>
      <c r="K18" s="6"/>
    </row>
    <row r="19" spans="1:22" ht="14.25" customHeight="1" x14ac:dyDescent="0.2">
      <c r="A19" s="422"/>
      <c r="B19" s="17"/>
      <c r="C19" s="119"/>
      <c r="D19" s="17"/>
      <c r="E19" s="17"/>
      <c r="F19" s="24"/>
      <c r="G19" s="24"/>
      <c r="H19" s="24"/>
      <c r="I19" s="437"/>
      <c r="K19" s="6"/>
    </row>
    <row r="20" spans="1:22" ht="16.5" customHeight="1" x14ac:dyDescent="0.2">
      <c r="A20" s="422"/>
      <c r="B20" s="17"/>
      <c r="C20" s="17"/>
      <c r="D20" s="21"/>
      <c r="E20" s="17"/>
      <c r="F20" s="24"/>
      <c r="G20" s="24"/>
      <c r="H20" s="24"/>
      <c r="I20" s="638" t="s">
        <v>993</v>
      </c>
      <c r="J20" s="417"/>
      <c r="K20" s="6"/>
      <c r="L20" s="6"/>
      <c r="Q20" s="5" t="s">
        <v>581</v>
      </c>
      <c r="R20" s="5" t="s">
        <v>580</v>
      </c>
      <c r="S20" s="5">
        <v>1700</v>
      </c>
      <c r="T20" s="5">
        <v>2350</v>
      </c>
      <c r="U20" s="5">
        <v>3000</v>
      </c>
    </row>
    <row r="21" spans="1:22" ht="16.5" customHeight="1" x14ac:dyDescent="0.2">
      <c r="A21" s="422"/>
      <c r="B21" s="17"/>
      <c r="C21" s="17"/>
      <c r="D21" s="382"/>
      <c r="E21" s="17"/>
      <c r="F21" s="24"/>
      <c r="G21" s="24"/>
      <c r="H21" s="24"/>
      <c r="I21" s="638"/>
      <c r="K21" s="6"/>
      <c r="P21" s="5">
        <v>1</v>
      </c>
      <c r="Q21" s="5" t="e">
        <f>R8</f>
        <v>#DIV/0!</v>
      </c>
      <c r="R21" s="5" t="e">
        <f>IF(Q21&gt;=D4,1,"")</f>
        <v>#DIV/0!</v>
      </c>
      <c r="S21" s="163" t="e">
        <f>IF(R21=1,1,"")</f>
        <v>#DIV/0!</v>
      </c>
      <c r="T21" s="163"/>
      <c r="U21" s="163"/>
    </row>
    <row r="22" spans="1:22" ht="16.5" customHeight="1" x14ac:dyDescent="0.2">
      <c r="A22" s="422"/>
      <c r="B22" s="17"/>
      <c r="C22" s="17"/>
      <c r="D22" s="382"/>
      <c r="E22" s="17"/>
      <c r="F22" s="24"/>
      <c r="G22" s="24"/>
      <c r="H22" s="24"/>
      <c r="I22" s="639" t="s">
        <v>994</v>
      </c>
      <c r="K22" s="6"/>
      <c r="S22" s="163"/>
      <c r="T22" s="163"/>
      <c r="U22" s="163"/>
    </row>
    <row r="23" spans="1:22" ht="12.75" customHeight="1" x14ac:dyDescent="0.2">
      <c r="A23" s="510" t="s">
        <v>1022</v>
      </c>
      <c r="B23" s="17"/>
      <c r="C23" s="17"/>
      <c r="D23" s="17"/>
      <c r="E23" s="17"/>
      <c r="F23" s="24"/>
      <c r="G23" s="24"/>
      <c r="H23" s="24"/>
      <c r="I23" s="639"/>
      <c r="K23" s="3"/>
      <c r="P23" s="5">
        <v>2</v>
      </c>
      <c r="Q23" s="5" t="e">
        <f>S8</f>
        <v>#DIV/0!</v>
      </c>
      <c r="R23" s="5" t="e">
        <f>IF(Q23&gt;=D4,IF(R21=1,"",1),"")</f>
        <v>#DIV/0!</v>
      </c>
      <c r="S23" s="163"/>
      <c r="T23" s="163" t="e">
        <f>IF(R23=1,1,"")</f>
        <v>#DIV/0!</v>
      </c>
      <c r="U23" s="163"/>
    </row>
    <row r="24" spans="1:22" ht="18" customHeight="1" x14ac:dyDescent="0.2">
      <c r="A24" s="422"/>
      <c r="B24" s="17"/>
      <c r="C24" s="17"/>
      <c r="D24" s="17"/>
      <c r="E24" s="17"/>
      <c r="F24" s="24"/>
      <c r="G24" s="24"/>
      <c r="H24" s="24"/>
      <c r="I24" s="24"/>
      <c r="P24" s="5">
        <v>3</v>
      </c>
      <c r="Q24" s="5" t="e">
        <f>T8</f>
        <v>#DIV/0!</v>
      </c>
      <c r="R24" s="5" t="e">
        <f>IF(Q24&gt;=D4,IF(Q23&gt;=D4,"",1),"")</f>
        <v>#DIV/0!</v>
      </c>
      <c r="U24" s="163" t="e">
        <f>IF(R24=1,1,"")</f>
        <v>#DIV/0!</v>
      </c>
    </row>
    <row r="25" spans="1:22" ht="20.25" customHeight="1" x14ac:dyDescent="0.2">
      <c r="A25" s="422"/>
      <c r="B25" s="17"/>
      <c r="C25" s="17"/>
      <c r="D25" s="17"/>
      <c r="E25" s="17"/>
      <c r="F25" s="24"/>
      <c r="G25" s="24"/>
      <c r="H25" s="24"/>
      <c r="I25" s="24"/>
      <c r="K25" s="5" t="str">
        <f>CONCATENATE(M25,"-",$O$7)</f>
        <v>1700-0</v>
      </c>
      <c r="L25" s="6" t="e">
        <f>SUM(S21:S33)</f>
        <v>#DIV/0!</v>
      </c>
      <c r="M25" s="5">
        <v>1700</v>
      </c>
      <c r="O25" s="5" t="s">
        <v>563</v>
      </c>
      <c r="P25" s="162" t="s">
        <v>564</v>
      </c>
      <c r="Q25" s="5" t="e">
        <f>R8+S8</f>
        <v>#DIV/0!</v>
      </c>
      <c r="R25" s="5" t="e">
        <f>IF(Q25&gt;=D4,IF(SUM(R21:R24)&gt;0,"",1),"")</f>
        <v>#DIV/0!</v>
      </c>
      <c r="S25" s="163" t="e">
        <f>IF(R25=1,1,"")</f>
        <v>#DIV/0!</v>
      </c>
      <c r="T25" s="163" t="e">
        <f>IF(R25=1,1,"")</f>
        <v>#DIV/0!</v>
      </c>
    </row>
    <row r="26" spans="1:22" ht="12.75" customHeight="1" x14ac:dyDescent="0.2">
      <c r="A26" s="422"/>
      <c r="B26" s="17"/>
      <c r="C26" s="21"/>
      <c r="D26" s="17"/>
      <c r="E26" s="17"/>
      <c r="F26" s="17"/>
      <c r="G26" s="438" t="str">
        <f>texty!$A$21</f>
        <v>partnerská zľava:</v>
      </c>
      <c r="H26" s="24"/>
      <c r="I26" s="24"/>
      <c r="K26" s="5" t="str">
        <f>CONCATENATE(M26,"-",$O$7)</f>
        <v>2350-0</v>
      </c>
      <c r="L26" s="6" t="e">
        <f>SUM(T21:T33)</f>
        <v>#DIV/0!</v>
      </c>
      <c r="M26" s="5">
        <v>2350</v>
      </c>
      <c r="P26" s="5" t="s">
        <v>576</v>
      </c>
      <c r="Q26" s="5" t="e">
        <f>S8+S8</f>
        <v>#DIV/0!</v>
      </c>
      <c r="R26" s="5" t="e">
        <f>IF(Q26&gt;=D4,IF(SUM(R21:R25)&gt;0,"",1),"")</f>
        <v>#DIV/0!</v>
      </c>
      <c r="T26" s="163" t="e">
        <f>IF(R26=1,2,"")</f>
        <v>#DIV/0!</v>
      </c>
    </row>
    <row r="27" spans="1:22" ht="12.75" customHeight="1" x14ac:dyDescent="0.2">
      <c r="A27" s="427" t="str">
        <f>texty!A80</f>
        <v>Objednávacie kódy, ceny:</v>
      </c>
      <c r="B27" s="17"/>
      <c r="C27" s="21"/>
      <c r="D27" s="17"/>
      <c r="E27" s="17"/>
      <c r="F27" s="17"/>
      <c r="G27" s="141">
        <f>profil!T15</f>
        <v>0</v>
      </c>
      <c r="H27" s="440" t="s">
        <v>57</v>
      </c>
      <c r="I27" s="24"/>
      <c r="K27" s="5" t="str">
        <f>CONCATENATE(M27,"-",$O$7)</f>
        <v>3000-0</v>
      </c>
      <c r="L27" s="6" t="e">
        <f>SUM(U21:U33)</f>
        <v>#DIV/0!</v>
      </c>
      <c r="M27" s="5">
        <v>3000</v>
      </c>
      <c r="N27" s="160"/>
      <c r="P27" s="5" t="s">
        <v>565</v>
      </c>
      <c r="Q27" s="5" t="e">
        <f>R8+T8</f>
        <v>#DIV/0!</v>
      </c>
      <c r="R27" s="5" t="e">
        <f>IF(Q27&gt;=D4,IF(SUM(R21:R26)&gt;0,"",1),"")</f>
        <v>#DIV/0!</v>
      </c>
      <c r="S27" s="163" t="e">
        <f>IF(R27=1,1,"")</f>
        <v>#DIV/0!</v>
      </c>
      <c r="U27" s="163" t="e">
        <f>IF(R27=1,1,"")</f>
        <v>#DIV/0!</v>
      </c>
    </row>
    <row r="28" spans="1:22" ht="12.75" customHeight="1" thickBot="1" x14ac:dyDescent="0.25">
      <c r="A28" s="422"/>
      <c r="B28" s="19" t="s">
        <v>3</v>
      </c>
      <c r="C28" s="20" t="str">
        <f>texty!$A$16</f>
        <v>názov</v>
      </c>
      <c r="D28" s="19" t="str">
        <f>texty!$A$17</f>
        <v>ks</v>
      </c>
      <c r="E28" s="19" t="str">
        <f>texty!$A$18</f>
        <v>cena/ks</v>
      </c>
      <c r="F28" s="19" t="str">
        <f>texty!$A$19</f>
        <v>cena celkom</v>
      </c>
      <c r="G28" s="20" t="str">
        <f>texty!$A$20</f>
        <v>celkom netto:</v>
      </c>
      <c r="H28" s="24"/>
      <c r="I28" s="20" t="str">
        <f>texty!A29</f>
        <v>Poznámka:</v>
      </c>
      <c r="J28" s="18" t="s">
        <v>775</v>
      </c>
      <c r="K28" s="6"/>
      <c r="L28" s="5">
        <f>COUNT(L25,L26,L27)</f>
        <v>0</v>
      </c>
      <c r="M28" s="160"/>
      <c r="N28" s="160"/>
      <c r="P28" s="5" t="s">
        <v>566</v>
      </c>
      <c r="Q28" s="5" t="e">
        <f>S8+T8</f>
        <v>#DIV/0!</v>
      </c>
      <c r="R28" s="5" t="e">
        <f>IF(Q28&gt;=D4,IF(SUM(R21:R27)&gt;0,"",1),"")</f>
        <v>#DIV/0!</v>
      </c>
      <c r="T28" s="163" t="e">
        <f>IF(R28=1,1,"")</f>
        <v>#DIV/0!</v>
      </c>
      <c r="U28" s="163" t="e">
        <f>IF(R28=1,1,"")</f>
        <v>#DIV/0!</v>
      </c>
    </row>
    <row r="29" spans="1:22" ht="12.75" customHeight="1" thickBot="1" x14ac:dyDescent="0.25">
      <c r="A29" s="422" t="str">
        <f>texty!A81</f>
        <v>Horný profil:</v>
      </c>
      <c r="B29" s="16" t="e">
        <f>+VLOOKUP(K5,data!$C$196:$D$254,2,0)</f>
        <v>#N/A</v>
      </c>
      <c r="C29" s="25" t="e">
        <f>+VLOOKUP(B29,cennik!$A:$G,2,FALSE)</f>
        <v>#N/A</v>
      </c>
      <c r="D29" s="17" t="e">
        <f>IF(B29="N/A",0,1)</f>
        <v>#N/A</v>
      </c>
      <c r="E29" s="91" t="e">
        <f>+VLOOKUP(B29,cennik!$A:$G,3,FALSE)</f>
        <v>#N/A</v>
      </c>
      <c r="F29" s="91" t="e">
        <f t="shared" ref="F29:F38" si="1">+E29*D29</f>
        <v>#N/A</v>
      </c>
      <c r="G29" s="92" t="e">
        <f>+F29*(100-$G$27)/100</f>
        <v>#N/A</v>
      </c>
      <c r="H29" s="24" t="str">
        <f>cennik!$B$2</f>
        <v>EUR</v>
      </c>
      <c r="I29" s="469" t="str">
        <f>IFERROR(IF((VLOOKUP(B29,cennik!A:L,12,0))="O",texty!$A$250,""),"")</f>
        <v/>
      </c>
      <c r="J29" s="191" t="e">
        <f>IF(D29&gt;0,IF(VLOOKUP(B29,cennik!A:L,12,FALSE)="O",1,""),"")</f>
        <v>#N/A</v>
      </c>
      <c r="K29" s="6"/>
      <c r="L29" s="160"/>
      <c r="M29" s="160"/>
      <c r="N29" s="160"/>
      <c r="P29" s="5" t="s">
        <v>577</v>
      </c>
      <c r="Q29" s="5" t="e">
        <f>T8+T8</f>
        <v>#DIV/0!</v>
      </c>
      <c r="R29" s="5" t="e">
        <f>IF(Q29&gt;=D4,IF(SUM(R21:R28)&gt;0,"",1),"")</f>
        <v>#DIV/0!</v>
      </c>
      <c r="U29" s="163" t="e">
        <f>IF(R29=1,2,"")</f>
        <v>#DIV/0!</v>
      </c>
      <c r="V29" s="161"/>
    </row>
    <row r="30" spans="1:22" ht="12.75" customHeight="1" thickBot="1" x14ac:dyDescent="0.25">
      <c r="A30" s="422" t="str">
        <f>texty!A82</f>
        <v>spodný profil:</v>
      </c>
      <c r="B30" s="16" t="e">
        <f>+VLOOKUP(M5,data!$C$4:$D$98,2,0)</f>
        <v>#N/A</v>
      </c>
      <c r="C30" s="25" t="e">
        <f>+VLOOKUP(B30,cennik!$A:$G,2,FALSE)</f>
        <v>#N/A</v>
      </c>
      <c r="D30" s="17" t="e">
        <f>IF(B30="N/A",0,1)</f>
        <v>#N/A</v>
      </c>
      <c r="E30" s="91" t="e">
        <f>+VLOOKUP(B30,cennik!$A:$G,3,FALSE)</f>
        <v>#N/A</v>
      </c>
      <c r="F30" s="91" t="e">
        <f t="shared" si="1"/>
        <v>#N/A</v>
      </c>
      <c r="G30" s="92" t="e">
        <f>+F30*(100-$G$27)/100</f>
        <v>#N/A</v>
      </c>
      <c r="H30" s="24" t="str">
        <f>cennik!$B$2</f>
        <v>EUR</v>
      </c>
      <c r="I30" s="469" t="str">
        <f>IFERROR(IF((VLOOKUP(B30,cennik!A:L,12,0))="O",texty!$A$250,""),"")</f>
        <v/>
      </c>
      <c r="J30" s="191" t="e">
        <f>IF(D30&gt;0,IF(VLOOKUP(B30,cennik!A:L,12,FALSE)="O",1,""),"")</f>
        <v>#N/A</v>
      </c>
      <c r="K30" s="6" t="s">
        <v>567</v>
      </c>
      <c r="L30" s="5" t="e">
        <f>IF(L25=0,IF(L26=0,K27,K26),K25)</f>
        <v>#DIV/0!</v>
      </c>
      <c r="M30" s="160" t="e">
        <f>IF(L30=K25,L25,IF(L30=K26,L26,IF(L30=K27,L27,"chyba")))</f>
        <v>#DIV/0!</v>
      </c>
      <c r="N30" s="160"/>
      <c r="O30" s="160"/>
      <c r="P30" s="5" t="s">
        <v>578</v>
      </c>
      <c r="Q30" s="5" t="e">
        <f>R8+R8+R8</f>
        <v>#DIV/0!</v>
      </c>
      <c r="R30" s="5" t="e">
        <f>IF(Q30&gt;=D4,IF(SUM(R21:R29)&gt;0,"",1),"")</f>
        <v>#DIV/0!</v>
      </c>
      <c r="S30" s="163" t="e">
        <f>IF(R30=1,3,"")</f>
        <v>#DIV/0!</v>
      </c>
      <c r="V30" s="161"/>
    </row>
    <row r="31" spans="1:22" ht="12.75" customHeight="1" x14ac:dyDescent="0.2">
      <c r="A31" s="422" t="str">
        <f>texty!A83</f>
        <v>krycí profil (maska):</v>
      </c>
      <c r="B31" s="16" t="e">
        <f>VLOOKUP(M5,data!$C$105:$D$189,2,0)</f>
        <v>#N/A</v>
      </c>
      <c r="C31" s="25" t="e">
        <f>IF(B31=data!$D$64,texty!$A$239,+VLOOKUP(B31,cennik!$A:$G,2,FALSE))</f>
        <v>#N/A</v>
      </c>
      <c r="D31" s="17" t="e">
        <f>IF(B31="N/A",0,1)</f>
        <v>#N/A</v>
      </c>
      <c r="E31" s="91" t="e">
        <f>IF(B31=data!$D$73,0,+VLOOKUP(B31,cennik!$A:$G,3,FALSE))</f>
        <v>#N/A</v>
      </c>
      <c r="F31" s="91" t="e">
        <f>+E31*D31</f>
        <v>#N/A</v>
      </c>
      <c r="G31" s="92" t="e">
        <f>+F31*(100-$G$27)/100</f>
        <v>#N/A</v>
      </c>
      <c r="H31" s="24" t="str">
        <f>cennik!$B$2</f>
        <v>EUR</v>
      </c>
      <c r="I31" s="469" t="str">
        <f>IFERROR(IF((VLOOKUP(B31,cennik!A:L,12,0))="O",texty!$A$250,""),"")</f>
        <v/>
      </c>
      <c r="J31" s="191" t="e">
        <f>IF(D31&gt;0,IF(VLOOKUP(B31,cennik!A:L,12,FALSE)="O",1,""),"")</f>
        <v>#N/A</v>
      </c>
      <c r="K31" s="6" t="s">
        <v>568</v>
      </c>
      <c r="L31" s="5" t="e">
        <f>IF(L30=K27,"jiné",IF(L30=K25,IF(L26&lt;&gt;0,K26,IF(L27&lt;&gt;0,K27,"jiné")),IF(L27&lt;&gt;0,K27,"jiné")))</f>
        <v>#DIV/0!</v>
      </c>
      <c r="M31" s="160" t="e">
        <f>IF(L31=K26,L26,IF(L31=K27,L27,IF(L31=K28,L28,0)))</f>
        <v>#DIV/0!</v>
      </c>
      <c r="N31" s="160"/>
      <c r="O31" s="160"/>
      <c r="P31" s="5" t="s">
        <v>569</v>
      </c>
      <c r="Q31" s="5" t="e">
        <f>R8+2*S8</f>
        <v>#DIV/0!</v>
      </c>
      <c r="R31" s="5" t="e">
        <f>IF(Q31&gt;=D4,IF(SUM(R21:R30)&gt;0,"",1),"")</f>
        <v>#DIV/0!</v>
      </c>
      <c r="S31" s="163" t="e">
        <f>IF(R31=1,1,"")</f>
        <v>#DIV/0!</v>
      </c>
      <c r="T31" s="163" t="e">
        <f>IF(R31=1,2,"")</f>
        <v>#DIV/0!</v>
      </c>
    </row>
    <row r="32" spans="1:22" ht="12.75" customHeight="1" x14ac:dyDescent="0.2">
      <c r="A32" s="422" t="str">
        <f>texty!A84</f>
        <v>horné vozíky (sady)</v>
      </c>
      <c r="B32" s="16">
        <v>228009</v>
      </c>
      <c r="C32" s="25" t="str">
        <f>+VLOOKUP(B32,cennik!$A:$G,2,FALSE)</f>
        <v>SEVROLL 10204 horný vozík Gemini symetrický 10mm - 2ks</v>
      </c>
      <c r="D32" s="17">
        <f>IF((D53+D54)&gt;D4,0,D4-(D53+D54))</f>
        <v>0</v>
      </c>
      <c r="E32" s="91">
        <f>+VLOOKUP(B32,cennik!$A:$G,3,FALSE)</f>
        <v>5.1322099999999997</v>
      </c>
      <c r="F32" s="91">
        <f t="shared" si="1"/>
        <v>0</v>
      </c>
      <c r="G32" s="92">
        <f>+F32*(100-$G$27)/100</f>
        <v>0</v>
      </c>
      <c r="H32" s="24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579</v>
      </c>
      <c r="Q32" s="5" t="e">
        <f>S8+S8+S8</f>
        <v>#DIV/0!</v>
      </c>
      <c r="R32" s="5" t="e">
        <f>IF(Q32&gt;=D4,IF(SUM(R21:R31)&gt;0,"",1),"")</f>
        <v>#DIV/0!</v>
      </c>
      <c r="T32" s="163" t="e">
        <f>IF(R32=1,3,"")</f>
        <v>#DIV/0!</v>
      </c>
    </row>
    <row r="33" spans="1:21" ht="12.75" customHeight="1" x14ac:dyDescent="0.2">
      <c r="A33" s="422" t="str">
        <f>texty!A85</f>
        <v>spodné vozíky (sada)</v>
      </c>
      <c r="B33" s="16">
        <f>IF(F4=L60,328321,229441)</f>
        <v>229441</v>
      </c>
      <c r="C33" s="25" t="str">
        <f>+VLOOKUP(B33,cennik!$A:$G,2,FALSE)</f>
        <v>SEVROLL 10200 spodný vozík WD 10C HI-TEC - 2ks</v>
      </c>
      <c r="D33" s="17">
        <f>+D4</f>
        <v>0</v>
      </c>
      <c r="E33" s="91">
        <f>+VLOOKUP(B33,cennik!$A:$G,3,FALSE)</f>
        <v>6.5952500000000001</v>
      </c>
      <c r="F33" s="91">
        <f t="shared" si="1"/>
        <v>0</v>
      </c>
      <c r="G33" s="92">
        <f t="shared" ref="G33:G38" si="2">+F33*(100-$G$27)/100</f>
        <v>0</v>
      </c>
      <c r="H33" s="24" t="str">
        <f>cennik!$B$2</f>
        <v>EUR</v>
      </c>
      <c r="I33" s="469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  <c r="L33" s="160"/>
      <c r="M33" s="160"/>
      <c r="N33" s="160"/>
      <c r="O33" s="160"/>
      <c r="P33" s="5" t="s">
        <v>570</v>
      </c>
      <c r="Q33" s="5" t="e">
        <f>R8+2*T8</f>
        <v>#DIV/0!</v>
      </c>
      <c r="R33" s="5" t="e">
        <f>IF(Q33&gt;=D4,IF(SUM(R21:R32)&gt;0,"",1),"")</f>
        <v>#DIV/0!</v>
      </c>
      <c r="S33" s="163" t="e">
        <f>IF(R33=1,1,"")</f>
        <v>#DIV/0!</v>
      </c>
      <c r="U33" s="163" t="e">
        <f>IF(R33=1,2,"")</f>
        <v>#DIV/0!</v>
      </c>
    </row>
    <row r="34" spans="1:21" ht="12.75" customHeight="1" x14ac:dyDescent="0.2">
      <c r="A34" s="422" t="str">
        <f>texty!A89</f>
        <v>dorazový kartáč</v>
      </c>
      <c r="B34" s="16" t="e">
        <f>+VLOOKUP(K35,data!$C$790:$D$810,2,0)</f>
        <v>#N/A</v>
      </c>
      <c r="C34" s="25" t="e">
        <f>+VLOOKUP(B34,cennik!$A:$G,2,FALSE)</f>
        <v>#N/A</v>
      </c>
      <c r="D34" s="17">
        <f>CEILING((B4*D4*2/1000),1)</f>
        <v>0</v>
      </c>
      <c r="E34" s="91" t="e">
        <f>+VLOOKUP(B34,cennik!$A:$G,3,FALSE)</f>
        <v>#N/A</v>
      </c>
      <c r="F34" s="91" t="e">
        <f t="shared" si="1"/>
        <v>#N/A</v>
      </c>
      <c r="G34" s="92" t="e">
        <f t="shared" si="2"/>
        <v>#N/A</v>
      </c>
      <c r="H34" s="24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K34" s="5">
        <v>14.5</v>
      </c>
    </row>
    <row r="35" spans="1:21" ht="12.75" customHeight="1" x14ac:dyDescent="0.2">
      <c r="A35" s="422" t="str">
        <f>texty!A91</f>
        <v>úchytková lišta</v>
      </c>
      <c r="B35" s="16" t="e">
        <f>IF(B11&gt;2700, VLOOKUP(O7,data!$C$419:$D$422,2,0),IF(B11&lt;1501, VLOOKUP(O7,data!$C$419:$D$422,2,0),IF(B11&gt;1347, VLOOKUP(O7,data!$C$415:$D$418,2,0), VLOOKUP(O7,data!$C$415:$D$418,2,0))))</f>
        <v>#N/A</v>
      </c>
      <c r="C35" s="25" t="e">
        <f>+VLOOKUP(B35,cennik!$A:$G,2,FALSE)</f>
        <v>#N/A</v>
      </c>
      <c r="D35" s="17">
        <f>IF(B11&lt;=1347,D4*2/2,D4*2)</f>
        <v>0</v>
      </c>
      <c r="E35" s="91" t="e">
        <f>+VLOOKUP(B35,cennik!$A:$G,3,FALSE)</f>
        <v>#N/A</v>
      </c>
      <c r="F35" s="91" t="e">
        <f t="shared" si="1"/>
        <v>#N/A</v>
      </c>
      <c r="G35" s="92" t="e">
        <f t="shared" si="2"/>
        <v>#N/A</v>
      </c>
      <c r="H35" s="24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5" t="str">
        <f>CONCATENATE(K34,"-",E4)</f>
        <v>14,5-</v>
      </c>
    </row>
    <row r="36" spans="1:21" ht="12.75" customHeight="1" x14ac:dyDescent="0.2">
      <c r="A36" s="422" t="str">
        <f>texty!A92</f>
        <v>spojovacia skrutka</v>
      </c>
      <c r="B36" s="16">
        <v>89244</v>
      </c>
      <c r="C36" s="25" t="str">
        <f>+VLOOKUP(B36,cennik!$A:$G,2,FALSE)</f>
        <v>SEVROLL 20001 skrutkovrut 6,3x32 SEVROLL a Simple</v>
      </c>
      <c r="D36" s="17">
        <f>+D4*4</f>
        <v>0</v>
      </c>
      <c r="E36" s="91">
        <f>+VLOOKUP(B36,cennik!$A:$G,3,FALSE)</f>
        <v>0.15482000000000001</v>
      </c>
      <c r="F36" s="91">
        <f t="shared" si="1"/>
        <v>0</v>
      </c>
      <c r="G36" s="92">
        <f>+F36*(100-$G$27)/100</f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</row>
    <row r="37" spans="1:21" ht="12.75" customHeight="1" x14ac:dyDescent="0.2">
      <c r="A37" s="422" t="str">
        <f>texty!A93</f>
        <v>horný profil rámu (vodiaca lišta)</v>
      </c>
      <c r="B37" s="16" t="e">
        <f>VLOOKUP(N5,data!C332:D346,2,0)</f>
        <v>#N/A</v>
      </c>
      <c r="C37" s="25" t="e">
        <f>+VLOOKUP(B37,cennik!$A:$G,2,FALSE)</f>
        <v>#N/A</v>
      </c>
      <c r="D37" s="64" t="e">
        <f>M30+M31</f>
        <v>#DIV/0!</v>
      </c>
      <c r="E37" s="91" t="e">
        <f>+VLOOKUP(B37,cennik!$A:$G,3,FALSE)</f>
        <v>#N/A</v>
      </c>
      <c r="F37" s="91" t="e">
        <f t="shared" si="1"/>
        <v>#N/A</v>
      </c>
      <c r="G37" s="92" t="e">
        <f t="shared" si="2"/>
        <v>#N/A</v>
      </c>
      <c r="H37" s="24" t="str">
        <f>cennik!$B$2</f>
        <v>EUR</v>
      </c>
      <c r="I37" s="469" t="str">
        <f>IFERROR(IF((VLOOKUP(B37,cennik!A:L,12,0))="O",texty!$A$250,""),"")</f>
        <v/>
      </c>
      <c r="J37" s="191" t="e">
        <f>IF(D37&gt;0,IF(VLOOKUP(B37,cennik!A:L,12,FALSE)="O",1,""),"")</f>
        <v>#DIV/0!</v>
      </c>
    </row>
    <row r="38" spans="1:21" ht="12.75" customHeight="1" x14ac:dyDescent="0.2">
      <c r="A38" s="422" t="str">
        <f>texty!A95</f>
        <v>horizontálny spodný profil rámu</v>
      </c>
      <c r="B38" s="16" t="e">
        <f>VLOOKUP(N5,data!C397:D410,2,0)</f>
        <v>#N/A</v>
      </c>
      <c r="C38" s="25" t="e">
        <f>+VLOOKUP(B38,cennik!$A:$G,2,FALSE)</f>
        <v>#N/A</v>
      </c>
      <c r="D38" s="64" t="e">
        <f>M30+M31</f>
        <v>#DIV/0!</v>
      </c>
      <c r="E38" s="91" t="e">
        <f>+VLOOKUP(B38,cennik!$A:$G,3,FALSE)</f>
        <v>#N/A</v>
      </c>
      <c r="F38" s="91" t="e">
        <f t="shared" si="1"/>
        <v>#N/A</v>
      </c>
      <c r="G38" s="92" t="e">
        <f t="shared" si="2"/>
        <v>#N/A</v>
      </c>
      <c r="H38" s="24" t="str">
        <f>cennik!$B$2</f>
        <v>EUR</v>
      </c>
      <c r="I38" s="469" t="str">
        <f>IFERROR(IF((VLOOKUP(B38,cennik!A:L,12,0))="O",texty!$A$250,""),"")</f>
        <v/>
      </c>
      <c r="J38" s="191" t="e">
        <f>IF(D38&gt;0,IF(VLOOKUP(B38,cennik!A:L,12,FALSE)="O",1,""),"")</f>
        <v>#DIV/0!</v>
      </c>
    </row>
    <row r="39" spans="1:21" ht="12.75" customHeight="1" x14ac:dyDescent="0.2">
      <c r="A39" s="422" t="str">
        <f>texty!$A$234</f>
        <v> záslepka otvorov (4 ks)</v>
      </c>
      <c r="B39" s="24" t="e">
        <f>+VLOOKUP(O7,data!$C$429:$D$431,2,0)</f>
        <v>#N/A</v>
      </c>
      <c r="C39" s="25" t="e">
        <f>+VLOOKUP(B39,cennik!$A:$G,2,FALSE)</f>
        <v>#N/A</v>
      </c>
      <c r="D39" s="17">
        <f>D4</f>
        <v>0</v>
      </c>
      <c r="E39" s="91" t="e">
        <f>+VLOOKUP(B39,cennik!$A:$G,3,FALSE)</f>
        <v>#N/A</v>
      </c>
      <c r="F39" s="96" t="e">
        <f>+CEILING(D39,1)*E39</f>
        <v>#N/A</v>
      </c>
      <c r="G39" s="92" t="e">
        <f>+F39*(100-$G$27)/100</f>
        <v>#N/A</v>
      </c>
      <c r="H39" s="24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</row>
    <row r="40" spans="1:21" ht="12.75" customHeight="1" x14ac:dyDescent="0.2">
      <c r="I40" s="469" t="str">
        <f>IFERROR(IF((VLOOKUP(B40,cennik!A:L,12,0))="O",texty!$A$250,""),"")</f>
        <v/>
      </c>
    </row>
    <row r="41" spans="1:21" ht="12.75" customHeight="1" x14ac:dyDescent="0.2">
      <c r="A41" s="21"/>
      <c r="B41" s="21"/>
      <c r="C41" s="21"/>
      <c r="D41" s="21"/>
      <c r="E41" s="361"/>
      <c r="F41" s="361"/>
      <c r="G41" s="361"/>
      <c r="H41" s="24"/>
      <c r="I41" s="469" t="str">
        <f>IFERROR(IF((VLOOKUP(B41,cennik!A:L,12,0))="O",texty!$A$250,""),"")</f>
        <v/>
      </c>
      <c r="J41" s="191"/>
    </row>
    <row r="42" spans="1:21" ht="12.75" customHeight="1" x14ac:dyDescent="0.2">
      <c r="A42" s="427" t="str">
        <f>texty!$A$66</f>
        <v>Voliteľné príslušenstvo:</v>
      </c>
      <c r="B42" s="15"/>
      <c r="D42" s="26" t="str">
        <f>texty!A33</f>
        <v>zadajte počet:</v>
      </c>
      <c r="E42" s="91"/>
      <c r="F42" s="91"/>
      <c r="G42" s="361"/>
      <c r="H42" s="24"/>
      <c r="I42" s="469" t="str">
        <f>IFERROR(IF((VLOOKUP(B42,cennik!A:L,12,0))="O",texty!$A$250,""),"")</f>
        <v/>
      </c>
      <c r="J42" s="191"/>
    </row>
    <row r="43" spans="1:21" ht="12.75" customHeight="1" x14ac:dyDescent="0.2">
      <c r="A43" s="428" t="str">
        <f>texty!A88</f>
        <v>pozicionér do horného vedenia</v>
      </c>
      <c r="B43" s="15">
        <v>298035</v>
      </c>
      <c r="C43" s="25" t="str">
        <f>+VLOOKUP(B43,cennik!$A:$G,2,FALSE)</f>
        <v>SEVROLL 20326 Fix pozicionér pre horný vozík transparentný</v>
      </c>
      <c r="D43" s="29"/>
      <c r="E43" s="360">
        <f>+VLOOKUP(B43,cennik!$A:$G,3,FALSE)</f>
        <v>1.0837300000000001</v>
      </c>
      <c r="F43" s="361">
        <f>+CEILING(D43,1)*E43</f>
        <v>0</v>
      </c>
      <c r="G43" s="92">
        <f t="shared" ref="G43:G54" si="3">+F43*(100-$G$27)/100</f>
        <v>0</v>
      </c>
      <c r="H43" s="24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</row>
    <row r="44" spans="1:21" ht="12.75" customHeight="1" x14ac:dyDescent="0.2">
      <c r="A44" s="428" t="str">
        <f>texty!A86</f>
        <v xml:space="preserve">pozicionér </v>
      </c>
      <c r="B44" s="16">
        <f>IF(F4="Gemini",387424,89063)</f>
        <v>89063</v>
      </c>
      <c r="C44" s="25" t="str">
        <f>+VLOOKUP(B44,cennik!$A:$G,2,FALSE)</f>
        <v>SEVROLL 20080 pozicionér spodného vozíka HI-TEC</v>
      </c>
      <c r="D44" s="29"/>
      <c r="E44" s="360">
        <f>+VLOOKUP(B44,cennik!$A:$G,3,FALSE)</f>
        <v>0.30964000000000003</v>
      </c>
      <c r="F44" s="361">
        <f>+CEILING(D44,1)*E44</f>
        <v>0</v>
      </c>
      <c r="G44" s="92">
        <f t="shared" si="3"/>
        <v>0</v>
      </c>
      <c r="H44" s="24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</row>
    <row r="45" spans="1:21" ht="12.75" x14ac:dyDescent="0.2">
      <c r="A45" s="428" t="str">
        <f>texty!A236</f>
        <v> nalepovacia úchytka, biela lesk</v>
      </c>
      <c r="B45" s="17">
        <v>288125</v>
      </c>
      <c r="C45" s="25" t="str">
        <f>+VLOOKUP(B45,cennik!$A:$G,2,FALSE)</f>
        <v>SEVROLL 20329 Pax nalepovacia úchytka biela lesk</v>
      </c>
      <c r="D45" s="29"/>
      <c r="E45" s="360">
        <f>+VLOOKUP(B45,cennik!$A:$G,3,FALSE)</f>
        <v>7.9473200000000004</v>
      </c>
      <c r="F45" s="361">
        <f>+CEILING(D45,1)*E45</f>
        <v>0</v>
      </c>
      <c r="G45" s="92">
        <f t="shared" si="3"/>
        <v>0</v>
      </c>
      <c r="H45" s="24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</row>
    <row r="46" spans="1:21" ht="12.75" customHeight="1" x14ac:dyDescent="0.2">
      <c r="A46" s="428" t="str">
        <f>texty!A237</f>
        <v> nalepovacia úchytka, strieborná</v>
      </c>
      <c r="B46" s="24">
        <v>288126</v>
      </c>
      <c r="C46" s="25" t="str">
        <f>+VLOOKUP(B46,cennik!$A:$G,2,FALSE)</f>
        <v>SEVROLL 20328 Pax nalepovacia úchytka strieborná</v>
      </c>
      <c r="D46" s="29"/>
      <c r="E46" s="91">
        <f>+VLOOKUP(B46,cennik!$A:$G,3,FALSE)</f>
        <v>6.11531</v>
      </c>
      <c r="F46" s="96">
        <f>+CEILING(D46,1)*E46</f>
        <v>0</v>
      </c>
      <c r="G46" s="92">
        <f t="shared" si="3"/>
        <v>0</v>
      </c>
      <c r="H46" s="24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</row>
    <row r="47" spans="1:21" ht="12.75" customHeight="1" x14ac:dyDescent="0.2">
      <c r="A47" s="422" t="str">
        <f>texty!$A$233</f>
        <v> Výstuha – profil 3m</v>
      </c>
      <c r="B47" s="24">
        <v>283904</v>
      </c>
      <c r="C47" s="25" t="str">
        <f>+VLOOKUP(B47,cennik!$A:$G,2,FALSE)</f>
        <v>SEVROLL 04318 Pax výztuha 3m strieborná</v>
      </c>
      <c r="D47" s="29"/>
      <c r="E47" s="91">
        <f>+VLOOKUP(B47,cennik!$A:$G,3,FALSE)</f>
        <v>28.71874</v>
      </c>
      <c r="F47" s="96">
        <f>+CEILING(D47,1)*E47</f>
        <v>0</v>
      </c>
      <c r="G47" s="92">
        <f t="shared" si="3"/>
        <v>0</v>
      </c>
      <c r="H47" s="24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</row>
    <row r="48" spans="1:21" ht="12.75" customHeight="1" x14ac:dyDescent="0.2">
      <c r="A48" s="422" t="str">
        <f>texty!$A$228</f>
        <v> Tlmič dorazu MINI do 25 kg (pár)</v>
      </c>
      <c r="B48" s="16">
        <v>318662</v>
      </c>
      <c r="C48" s="25" t="str">
        <f>+VLOOKUP(B48,cennik!$A:$G,2,FALSE)</f>
        <v>SEVROLL 20368-SV tlmič dorazu Mini SV25 (14-25kg)</v>
      </c>
      <c r="D48" s="29"/>
      <c r="E48" s="91">
        <f>+VLOOKUP(B48,cennik!$A:$G,3,FALSE)</f>
        <v>22.75825</v>
      </c>
      <c r="F48" s="96">
        <f t="shared" ref="F48:F54" si="4">+CEILING(D48,1)*E48</f>
        <v>0</v>
      </c>
      <c r="G48" s="92">
        <f t="shared" si="3"/>
        <v>0</v>
      </c>
      <c r="H48" s="24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</row>
    <row r="49" spans="1:12" ht="12.75" customHeight="1" x14ac:dyDescent="0.2">
      <c r="A49" s="422" t="str">
        <f>texty!$A$229</f>
        <v> Tlmič dorazu MINI do 40 kg (pár)</v>
      </c>
      <c r="B49" s="24">
        <v>283956</v>
      </c>
      <c r="C49" s="25" t="str">
        <f>+VLOOKUP(B49,cennik!$A:$G,2,FALSE)</f>
        <v>SEVROLL 20258-SV tlmič dorazu Mini SV40 (25 - 40kg)</v>
      </c>
      <c r="D49" s="29"/>
      <c r="E49" s="91">
        <f>+VLOOKUP(B49,cennik!$A:$G,3,FALSE)</f>
        <v>22.75825</v>
      </c>
      <c r="F49" s="96">
        <f t="shared" si="4"/>
        <v>0</v>
      </c>
      <c r="G49" s="92">
        <f t="shared" si="3"/>
        <v>0</v>
      </c>
      <c r="H49" s="24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2" ht="12.75" customHeight="1" x14ac:dyDescent="0.2">
      <c r="A50" s="422" t="str">
        <f>texty!$A$230</f>
        <v> Tlmič dorazu MINI do 60 kg (pár)</v>
      </c>
      <c r="B50" s="24">
        <v>351743</v>
      </c>
      <c r="C50" s="25" t="str">
        <f>+VLOOKUP(B50,cennik!$A:$G,2,FALSE)</f>
        <v>SEVROLL 20339-SV tlmič dorazu Mini SV60 (40 - 60kg)</v>
      </c>
      <c r="D50" s="29"/>
      <c r="E50" s="91">
        <f>+VLOOKUP(B50,cennik!$A:$G,3,FALSE)</f>
        <v>22.75825</v>
      </c>
      <c r="F50" s="96">
        <f t="shared" si="4"/>
        <v>0</v>
      </c>
      <c r="G50" s="92">
        <f t="shared" si="3"/>
        <v>0</v>
      </c>
      <c r="H50" s="24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2" ht="12.75" customHeight="1" x14ac:dyDescent="0.2">
      <c r="A51" s="422" t="str">
        <f>texty!$A$231</f>
        <v> Tlmič pre stredné krídlo do 25 kg</v>
      </c>
      <c r="B51" s="24">
        <v>318663</v>
      </c>
      <c r="C51" s="25" t="str">
        <f>+VLOOKUP(B51,cennik!$A:$G,2,FALSE)</f>
        <v>SEVROLL 20363-SV tlmič Central 10/18mm obojstranný 25kg</v>
      </c>
      <c r="D51" s="29"/>
      <c r="E51" s="91">
        <f>+VLOOKUP(B51,cennik!$A:$G,3,FALSE)</f>
        <v>48.741869999999999</v>
      </c>
      <c r="F51" s="96">
        <f t="shared" si="4"/>
        <v>0</v>
      </c>
      <c r="G51" s="92">
        <f t="shared" si="3"/>
        <v>0</v>
      </c>
      <c r="H51" s="24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2" ht="12.75" customHeight="1" x14ac:dyDescent="0.2">
      <c r="A52" s="422" t="str">
        <f>texty!$A$232</f>
        <v> Tlmič pre stredné krídlo do 40 kg</v>
      </c>
      <c r="B52" s="24">
        <v>283955</v>
      </c>
      <c r="C52" s="25" t="str">
        <f>+VLOOKUP(B52,cennik!$A:$G,2,FALSE)</f>
        <v>SEVROLL 20319-SV tlmič Central 10/18mm obojstranný 25-40kg</v>
      </c>
      <c r="D52" s="29"/>
      <c r="E52" s="91">
        <f>+VLOOKUP(B52,cennik!$A:$G,3,FALSE)</f>
        <v>48.741869999999999</v>
      </c>
      <c r="F52" s="96">
        <f t="shared" si="4"/>
        <v>0</v>
      </c>
      <c r="G52" s="92">
        <f t="shared" si="3"/>
        <v>0</v>
      </c>
      <c r="H52" s="24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2" ht="12.75" customHeight="1" x14ac:dyDescent="0.2">
      <c r="A53" s="422" t="str">
        <f>texty!A97</f>
        <v>tlmič dorazu (pár) 25 kg</v>
      </c>
      <c r="B53" s="24">
        <v>227185</v>
      </c>
      <c r="C53" s="25" t="str">
        <f>+VLOOKUP(B53,cennik!$A:$G,2,FALSE)</f>
        <v>K-SEVROLL tlmič dorazu 10/18mm 14-25kg L+P</v>
      </c>
      <c r="D53" s="29"/>
      <c r="E53" s="91">
        <f>+VLOOKUP(B53,cennik!$A:$G,3,FALSE)</f>
        <v>0</v>
      </c>
      <c r="F53" s="96">
        <f t="shared" si="4"/>
        <v>0</v>
      </c>
      <c r="G53" s="92">
        <f t="shared" si="3"/>
        <v>0</v>
      </c>
      <c r="H53" s="24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2" ht="12.75" customHeight="1" x14ac:dyDescent="0.2">
      <c r="A54" s="422" t="str">
        <f>texty!A98</f>
        <v>tlmič dorazu (pár) 50 kg</v>
      </c>
      <c r="B54" s="24">
        <v>227187</v>
      </c>
      <c r="C54" s="25" t="str">
        <f>+VLOOKUP(B54,cennik!$A:$G,2,FALSE)</f>
        <v>K-SEVROLL tlmič dorazu 10/18mm 25-50kg L+P</v>
      </c>
      <c r="D54" s="29"/>
      <c r="E54" s="91">
        <f>+VLOOKUP(B54,cennik!$A:$G,3,FALSE)</f>
        <v>0</v>
      </c>
      <c r="F54" s="96">
        <f t="shared" si="4"/>
        <v>0</v>
      </c>
      <c r="G54" s="92">
        <f t="shared" si="3"/>
        <v>0</v>
      </c>
      <c r="H54" s="24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</row>
    <row r="55" spans="1:12" ht="12.75" customHeight="1" x14ac:dyDescent="0.2">
      <c r="A55" s="422" t="str">
        <f>texty!A90</f>
        <v>protiprachový kartáč</v>
      </c>
      <c r="B55" s="17">
        <v>95946</v>
      </c>
      <c r="C55" s="25" t="str">
        <f>+VLOOKUP(B55,cennik!$A:$G,2,FALSE)</f>
        <v>SEVROLL protiprach.kartáč zásuvný 4,8x13mm</v>
      </c>
      <c r="D55" s="30"/>
      <c r="E55" s="91">
        <f>+VLOOKUP(B55,cennik!$A:$G,3,FALSE)</f>
        <v>0.18106</v>
      </c>
      <c r="F55" s="91">
        <f>+E55*D55</f>
        <v>0</v>
      </c>
      <c r="G55" s="92">
        <f>+F55*(100-$G$27)/100</f>
        <v>0</v>
      </c>
      <c r="H55" s="24" t="str">
        <f>cennik!$B$2</f>
        <v>EUR</v>
      </c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</row>
    <row r="56" spans="1:12" ht="12.75" customHeight="1" x14ac:dyDescent="0.2">
      <c r="A56" s="422" t="str">
        <f>texty!A92</f>
        <v>spojovacia skrutka</v>
      </c>
      <c r="B56" s="16">
        <v>89244</v>
      </c>
      <c r="C56" s="25" t="str">
        <f>+VLOOKUP(B56,cennik!$A:$G,2,FALSE)</f>
        <v>SEVROLL 20001 skrutkovrut 6,3x32 SEVROLL a Simple</v>
      </c>
      <c r="D56" s="459"/>
      <c r="E56" s="91">
        <f>+VLOOKUP(B56,cennik!$A:$G,3,FALSE)</f>
        <v>0.15482000000000001</v>
      </c>
      <c r="F56" s="91">
        <f>+E56*D56</f>
        <v>0</v>
      </c>
      <c r="G56" s="92">
        <f>+F56*(100-$G$27)/100</f>
        <v>0</v>
      </c>
      <c r="H56" s="24" t="str">
        <f>cennik!$B$2</f>
        <v>EUR</v>
      </c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</row>
    <row r="57" spans="1:12" ht="12.75" customHeight="1" x14ac:dyDescent="0.2">
      <c r="A57" s="422"/>
      <c r="B57" s="16"/>
      <c r="C57" s="25"/>
      <c r="D57" s="91"/>
      <c r="E57" s="91"/>
      <c r="F57" s="91"/>
      <c r="G57" s="92"/>
      <c r="H57" s="24"/>
      <c r="I57" s="439"/>
      <c r="J57" s="191"/>
    </row>
    <row r="58" spans="1:12" ht="12.75" customHeight="1" x14ac:dyDescent="0.2">
      <c r="A58" s="429" t="str">
        <f>CONCATENATE(texty!$A$6,ROUND((C12/1000),1),texty!$A$8)</f>
        <v>Pokiaľ budete používať ako výplň sklo / zrkadlo, je nutné doobjednať tesnenie. Dĺžka tesnenia na jedno krídlo je 0m, pokiaľ je preskenných viac krídel, treba vynásobiť</v>
      </c>
      <c r="B58" s="42"/>
      <c r="C58" s="43"/>
      <c r="D58" s="42"/>
      <c r="E58" s="97"/>
      <c r="F58" s="97"/>
      <c r="G58" s="98"/>
      <c r="H58" s="24"/>
      <c r="I58" s="439"/>
      <c r="J58" s="191"/>
    </row>
    <row r="59" spans="1:12" ht="15" x14ac:dyDescent="0.2">
      <c r="A59" s="430" t="str">
        <f>texty!$A$190</f>
        <v>Ďalšie príslušenstvo</v>
      </c>
      <c r="B59" s="21"/>
      <c r="C59" s="21"/>
      <c r="D59" s="21"/>
      <c r="E59" s="361"/>
      <c r="F59" s="361"/>
      <c r="G59" s="361"/>
      <c r="H59" s="24"/>
      <c r="I59" s="439"/>
      <c r="J59" s="191"/>
    </row>
    <row r="60" spans="1:12" ht="12.75" customHeight="1" x14ac:dyDescent="0.2">
      <c r="A60" s="430" t="str">
        <f>texty!$A$244</f>
        <v>Technický nákres tohoto systému</v>
      </c>
      <c r="B60" s="167">
        <v>128842</v>
      </c>
      <c r="C60" s="167" t="str">
        <f>VLOOKUP(B60,cennik!A:C,2,0)</f>
        <v>SEVROLL 20144 vrták stupňovitý 6,5/9,5mm</v>
      </c>
      <c r="D60" s="45"/>
      <c r="E60" s="91">
        <f>+VLOOKUP(B60,cennik!$A:$G,3,FALSE)</f>
        <v>26.752659999999999</v>
      </c>
      <c r="F60" s="96">
        <f>+CEILING(D60,1)*E60</f>
        <v>0</v>
      </c>
      <c r="G60" s="92">
        <f>F60</f>
        <v>0</v>
      </c>
      <c r="H60" s="6" t="str">
        <f>cennik!$B$2</f>
        <v>EUR</v>
      </c>
      <c r="I60" s="191"/>
      <c r="J60" s="191" t="str">
        <f>IF(D60&gt;0,IF(VLOOKUP(B60,cennik!A:L,12,FALSE)="O",1,""),"")</f>
        <v/>
      </c>
      <c r="K60" s="5" t="str">
        <f>texty!A128</f>
        <v xml:space="preserve">strieborná </v>
      </c>
      <c r="L60" s="5" t="s">
        <v>987</v>
      </c>
    </row>
    <row r="61" spans="1:12" ht="12.75" customHeight="1" x14ac:dyDescent="0.2">
      <c r="A61" s="637" t="str">
        <f>IF(SUM(D53:D54)&gt;0,IF(C7&lt;(B4/3),texty!$A$212,""),"")</f>
        <v/>
      </c>
      <c r="B61" s="637"/>
      <c r="C61" s="637"/>
      <c r="D61" s="637"/>
      <c r="E61" s="637"/>
      <c r="F61" s="637"/>
      <c r="G61" s="637"/>
      <c r="H61" s="637"/>
      <c r="I61" s="637"/>
      <c r="J61" s="134"/>
      <c r="K61" s="5" t="str">
        <f>texty!A132</f>
        <v>biela lesk</v>
      </c>
      <c r="L61" s="5" t="s">
        <v>43</v>
      </c>
    </row>
    <row r="62" spans="1:12" ht="12.75" customHeight="1" x14ac:dyDescent="0.2">
      <c r="A62" s="21"/>
      <c r="B62" s="17"/>
      <c r="C62" s="17"/>
      <c r="D62" s="76" t="str">
        <f>texty!$A$15</f>
        <v>CELKOM  (bez DPH)</v>
      </c>
      <c r="E62" s="441"/>
      <c r="F62" s="100" t="e">
        <f>SUM(F29:F60)</f>
        <v>#N/A</v>
      </c>
      <c r="G62" s="101" t="e">
        <f>SUM(G29:G60)</f>
        <v>#N/A</v>
      </c>
      <c r="H62" s="24" t="str">
        <f>cennik!$B$2</f>
        <v>EUR</v>
      </c>
      <c r="I62" s="24"/>
      <c r="J62" s="181"/>
      <c r="K62" s="5" t="str">
        <f>data!$J$17</f>
        <v>čierna mat</v>
      </c>
    </row>
    <row r="63" spans="1:12" ht="12.75" customHeight="1" x14ac:dyDescent="0.2">
      <c r="A63" s="442" t="str">
        <f>texty!A14</f>
        <v>Vaša poznámka:</v>
      </c>
      <c r="B63" s="628"/>
      <c r="C63" s="629"/>
      <c r="D63" s="629"/>
      <c r="E63" s="629"/>
      <c r="F63" s="629"/>
      <c r="G63" s="629"/>
      <c r="H63" s="24"/>
      <c r="I63" s="24"/>
      <c r="J63" s="181"/>
    </row>
    <row r="64" spans="1:12" ht="12.75" customHeight="1" x14ac:dyDescent="0.2">
      <c r="A64" s="630">
        <f>profil!$U$15</f>
        <v>0</v>
      </c>
      <c r="B64" s="631"/>
      <c r="C64" s="631"/>
      <c r="D64" s="631"/>
      <c r="E64" s="631"/>
      <c r="F64" s="631"/>
      <c r="G64" s="631"/>
      <c r="H64" s="24"/>
      <c r="I64" s="24"/>
    </row>
    <row r="65" spans="1:13" ht="12.75" customHeight="1" x14ac:dyDescent="0.2">
      <c r="A65" s="632">
        <f>IF(M65=1,texty!$A$215,IF(J65&gt;0,texty!$A$214,""))</f>
        <v>0</v>
      </c>
      <c r="B65" s="632"/>
      <c r="C65" s="632"/>
      <c r="D65" s="632"/>
      <c r="E65" s="632"/>
      <c r="F65" s="632"/>
      <c r="G65" s="632"/>
      <c r="H65" s="24"/>
      <c r="I65" s="24"/>
      <c r="J65" s="6" t="e">
        <f>SUM(J29:J60)</f>
        <v>#N/A</v>
      </c>
      <c r="M65" s="5">
        <f>IF(ISERROR(J65),1,0)</f>
        <v>1</v>
      </c>
    </row>
    <row r="66" spans="1:13" ht="12.75" customHeight="1" x14ac:dyDescent="0.2">
      <c r="A66" s="21"/>
      <c r="B66" s="21"/>
      <c r="C66" s="21"/>
      <c r="D66" s="21"/>
      <c r="E66" s="21"/>
      <c r="F66" s="21"/>
      <c r="G66" s="21"/>
      <c r="H66" s="24"/>
      <c r="I66" s="24"/>
    </row>
    <row r="67" spans="1:13" ht="12.75" hidden="1" customHeight="1" x14ac:dyDescent="0.2">
      <c r="A67" s="21"/>
      <c r="B67" s="21"/>
      <c r="C67" s="21"/>
      <c r="D67" s="21"/>
      <c r="E67" s="21"/>
      <c r="F67" s="21"/>
      <c r="G67" s="21"/>
      <c r="H67" s="24"/>
      <c r="I67" s="24"/>
    </row>
    <row r="68" spans="1:13" ht="12.75" hidden="1" customHeight="1" x14ac:dyDescent="0.2">
      <c r="A68" s="21"/>
      <c r="B68" s="21"/>
      <c r="C68" s="21"/>
      <c r="D68" s="21"/>
      <c r="E68" s="21"/>
      <c r="F68" s="21"/>
      <c r="G68" s="21"/>
      <c r="H68" s="24"/>
      <c r="I68" s="24"/>
    </row>
    <row r="69" spans="1:13" ht="12.75" hidden="1" customHeight="1" x14ac:dyDescent="0.2">
      <c r="A69" s="21"/>
      <c r="B69" s="21"/>
      <c r="C69" s="21"/>
      <c r="D69" s="21"/>
      <c r="E69" s="21"/>
      <c r="F69" s="21"/>
      <c r="G69" s="21"/>
      <c r="H69" s="24"/>
      <c r="I69" s="24"/>
    </row>
    <row r="70" spans="1:13" ht="12.75" hidden="1" customHeight="1" x14ac:dyDescent="0.2">
      <c r="A70" s="21"/>
      <c r="B70" s="21"/>
      <c r="C70" s="21"/>
      <c r="D70" s="21"/>
      <c r="E70" s="21"/>
      <c r="F70" s="21"/>
      <c r="G70" s="21"/>
      <c r="H70" s="24"/>
      <c r="I70" s="24"/>
    </row>
    <row r="71" spans="1:13" ht="12.75" hidden="1" customHeight="1" x14ac:dyDescent="0.2">
      <c r="A71" s="21"/>
      <c r="B71" s="21"/>
      <c r="C71" s="21"/>
      <c r="D71" s="21"/>
      <c r="E71" s="21"/>
      <c r="F71" s="21"/>
      <c r="G71" s="21"/>
      <c r="H71" s="24"/>
      <c r="I71" s="24"/>
    </row>
    <row r="72" spans="1:13" ht="12.75" hidden="1" customHeight="1" x14ac:dyDescent="0.2">
      <c r="A72" s="21"/>
      <c r="B72" s="21"/>
      <c r="C72" s="21"/>
      <c r="D72" s="21"/>
      <c r="E72" s="21"/>
      <c r="F72" s="21"/>
      <c r="G72" s="21"/>
      <c r="H72" s="24"/>
      <c r="I72" s="24"/>
    </row>
    <row r="73" spans="1:13" ht="12.75" hidden="1" customHeight="1" x14ac:dyDescent="0.2">
      <c r="A73" s="21"/>
      <c r="B73" s="21"/>
      <c r="C73" s="21"/>
      <c r="D73" s="21"/>
      <c r="E73" s="21"/>
      <c r="F73" s="21"/>
      <c r="G73" s="21"/>
      <c r="H73" s="24"/>
      <c r="I73" s="24"/>
    </row>
    <row r="74" spans="1:13" ht="12.75" hidden="1" customHeight="1" x14ac:dyDescent="0.2">
      <c r="A74" s="21"/>
      <c r="B74" s="21"/>
      <c r="C74" s="21"/>
      <c r="D74" s="21"/>
      <c r="E74" s="21"/>
      <c r="F74" s="21"/>
      <c r="G74" s="21"/>
      <c r="H74" s="24"/>
      <c r="I74" s="24"/>
    </row>
    <row r="75" spans="1:13" ht="12.75" hidden="1" customHeight="1" x14ac:dyDescent="0.2">
      <c r="A75" s="21"/>
      <c r="B75" s="21"/>
      <c r="C75" s="21"/>
      <c r="D75" s="21"/>
      <c r="E75" s="21"/>
      <c r="F75" s="21"/>
      <c r="G75" s="21"/>
      <c r="H75" s="24"/>
      <c r="I75" s="24"/>
    </row>
    <row r="76" spans="1:13" ht="12.75" hidden="1" customHeight="1" x14ac:dyDescent="0.2">
      <c r="A76" s="21"/>
      <c r="B76" s="21"/>
      <c r="C76" s="21"/>
      <c r="D76" s="21"/>
      <c r="E76" s="21"/>
      <c r="F76" s="21"/>
      <c r="G76" s="21"/>
      <c r="H76" s="24"/>
      <c r="I76" s="24"/>
    </row>
    <row r="77" spans="1:13" ht="12.75" hidden="1" customHeight="1" x14ac:dyDescent="0.2">
      <c r="A77" s="21"/>
      <c r="B77" s="21"/>
      <c r="C77" s="21"/>
      <c r="D77" s="21"/>
      <c r="E77" s="21"/>
      <c r="F77" s="21"/>
      <c r="G77" s="21"/>
      <c r="H77" s="24"/>
      <c r="I77" s="24"/>
    </row>
    <row r="78" spans="1:13" ht="12.75" hidden="1" customHeight="1" x14ac:dyDescent="0.2">
      <c r="A78" s="21"/>
      <c r="B78" s="21"/>
      <c r="C78" s="21"/>
      <c r="D78" s="21"/>
      <c r="E78" s="21"/>
      <c r="F78" s="21"/>
      <c r="G78" s="21"/>
      <c r="H78" s="24"/>
      <c r="I78" s="24"/>
    </row>
    <row r="79" spans="1:13" ht="12.75" hidden="1" customHeight="1" x14ac:dyDescent="0.2">
      <c r="A79" s="21"/>
      <c r="B79" s="21"/>
      <c r="C79" s="21"/>
      <c r="D79" s="21"/>
      <c r="E79" s="21"/>
      <c r="F79" s="21"/>
      <c r="G79" s="21"/>
      <c r="H79" s="24"/>
      <c r="I79" s="24"/>
    </row>
  </sheetData>
  <sheetProtection algorithmName="SHA-512" hashValue="Ob3/gGyi9vGTbJBH6J3fiiZVxPRZSeq1wrjDdlUmuu4Q2jjXInhZ5nsETf3wotTLOjS/TmQIK8wde+JzK64wbQ==" saltValue="4yV6z1qUFUxk5X8Fs7HYZg==" spinCount="100000" sheet="1" objects="1" scenarios="1" selectLockedCell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A13:B13">
    <cfRule type="expression" dxfId="346" priority="5">
      <formula>SUM($D$51:$D$52)&gt;0</formula>
    </cfRule>
  </conditionalFormatting>
  <conditionalFormatting sqref="D6">
    <cfRule type="expression" dxfId="344" priority="13">
      <formula>$D$4&lt;&gt;4</formula>
    </cfRule>
    <cfRule type="expression" dxfId="343" priority="14">
      <formula>$D$4=4</formula>
    </cfRule>
  </conditionalFormatting>
  <conditionalFormatting sqref="G4">
    <cfRule type="expression" dxfId="342" priority="12">
      <formula>$D$4=4</formula>
    </cfRule>
  </conditionalFormatting>
  <conditionalFormatting sqref="I20:I21">
    <cfRule type="expression" dxfId="341" priority="8">
      <formula>$F$4=$L$61</formula>
    </cfRule>
  </conditionalFormatting>
  <conditionalFormatting sqref="I22:I23">
    <cfRule type="expression" dxfId="340" priority="7">
      <formula>$F$4=$L$60</formula>
    </cfRule>
  </conditionalFormatting>
  <dataValidations count="8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whole" allowBlank="1" showInputMessage="1" showErrorMessage="1" errorTitle="Musí být celé číslo" sqref="D4" xr:uid="{00000000-0002-0000-05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imální výška je 3040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:E6" xr:uid="{00000000-0002-0000-0500-000005000000}">
      <formula1>"stříbrná,zlatá,oliva"</formula1>
      <formula2>0</formula2>
    </dataValidation>
    <dataValidation type="decimal" allowBlank="1" showInputMessage="1" showErrorMessage="1" errorTitle="Nelze" error="Maximální šířka křídla je 1 100 mm." promptTitle="Maximální šířka křídla je 1100mm" sqref="C7" xr:uid="{00000000-0002-0000-0500-000006000000}">
      <formula1>0</formula1>
      <formula2>1100</formula2>
    </dataValidation>
    <dataValidation type="list" allowBlank="1" showInputMessage="1" showErrorMessage="1" sqref="F4" xr:uid="{00000000-0002-0000-0500-000007000000}">
      <formula1>$L$60:$L$61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71E109-B370-463D-B6B4-B5E6FEC7A645}">
            <xm:f>$I28=texty!$A$250</xm:f>
            <x14:dxf>
              <font>
                <color rgb="FFFF0000"/>
              </font>
            </x14:dxf>
          </x14:cfRule>
          <xm:sqref>A29:H56</xm:sqref>
        </x14:conditionalFormatting>
        <x14:conditionalFormatting xmlns:xm="http://schemas.microsoft.com/office/excel/2006/main">
          <x14:cfRule type="expression" priority="2" id="{964ADBD7-3ACF-435F-A148-6B0AD54229A4}">
            <xm:f>$I29=texty!$A$250</xm:f>
            <x14:dxf>
              <font>
                <color rgb="FFFF0000"/>
              </font>
            </x14:dxf>
          </x14:cfRule>
          <xm:sqref>I29:I56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8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5" customWidth="1"/>
    <col min="2" max="2" width="15.7109375" style="5" customWidth="1"/>
    <col min="3" max="3" width="45" style="5" bestFit="1" customWidth="1"/>
    <col min="4" max="4" width="14.140625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-8.3000000000000007</v>
      </c>
    </row>
    <row r="2" spans="1:16" ht="18.75" customHeight="1" x14ac:dyDescent="0.2">
      <c r="A2" s="523" t="s">
        <v>998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",5,".",68)</f>
        <v>katalóg kovania 2018 str. 5.68</v>
      </c>
      <c r="B3" s="420" t="str">
        <f>CONCATENATE(texty!A34," / max.         2 742 mm /")</f>
        <v>výška / max.         2 742 mm /</v>
      </c>
      <c r="C3" s="421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20" t="str">
        <f>texty!A38</f>
        <v>typ spodného vedenia</v>
      </c>
      <c r="G3" s="6"/>
      <c r="H3" s="6"/>
      <c r="L3" s="6"/>
    </row>
    <row r="4" spans="1:16" ht="18" customHeight="1" x14ac:dyDescent="0.2">
      <c r="A4" s="10" t="str">
        <f>+Faworyt!A4</f>
        <v>VNÚTORNÝ ROZMER SKRINE:</v>
      </c>
      <c r="B4" s="56"/>
      <c r="C4" s="56"/>
      <c r="D4" s="22"/>
      <c r="E4" s="22"/>
      <c r="F4" s="458"/>
      <c r="G4" s="647"/>
      <c r="H4" s="647"/>
      <c r="I4" s="647"/>
      <c r="K4" s="190"/>
      <c r="L4" s="8"/>
    </row>
    <row r="5" spans="1:16" ht="18" customHeight="1" x14ac:dyDescent="0.2">
      <c r="A5" s="10"/>
      <c r="B5" s="664" t="str">
        <f>+Faworyt!B5</f>
        <v>vypíšte týchto 5 políčok !!! Údaje v mm</v>
      </c>
      <c r="C5" s="664"/>
      <c r="D5" s="664"/>
      <c r="E5" s="664"/>
      <c r="F5" s="471"/>
      <c r="G5" s="647"/>
      <c r="H5" s="647"/>
      <c r="I5" s="647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M6" s="23" t="str">
        <f>CONCATENATE(M5,"-",E4)</f>
        <v>1700-</v>
      </c>
      <c r="N6" s="21"/>
      <c r="O6" s="23" t="str">
        <f>CONCATENATE(O5,"-",E4,", ",F4)</f>
        <v xml:space="preserve">1700-, </v>
      </c>
    </row>
    <row r="7" spans="1:16" ht="12.75" customHeight="1" x14ac:dyDescent="0.2">
      <c r="A7" s="10" t="str">
        <f>+Faworyt!A7</f>
        <v>krídlo dverí:</v>
      </c>
      <c r="B7" s="67">
        <f>+B4-42</f>
        <v>-42</v>
      </c>
      <c r="C7" s="68" t="e">
        <f>+((C4-3+30*(D4-1))/D4+IF(AND(D4=4,D6=2),M1,0))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>
        <f>+E4</f>
        <v>0</v>
      </c>
    </row>
    <row r="8" spans="1:16" ht="12.75" customHeight="1" x14ac:dyDescent="0.2">
      <c r="A8" s="10" t="str">
        <f>+Faworyt!A8</f>
        <v>rozmer výplne 18mm:</v>
      </c>
      <c r="B8" s="67">
        <f>+B7-2</f>
        <v>-44</v>
      </c>
      <c r="C8" s="497" t="e">
        <f>+C7-4</f>
        <v>#DIV/0!</v>
      </c>
      <c r="D8" s="8"/>
      <c r="E8" s="8"/>
      <c r="F8" s="8"/>
      <c r="G8" s="5" t="str">
        <f>Faworyt!G8</f>
        <v>Maximálna hmotnosť krídla je 50 kg</v>
      </c>
      <c r="H8" s="6"/>
      <c r="L8" s="6"/>
      <c r="O8" s="23" t="str">
        <f>CONCATENATE(O7,"-",E4)</f>
        <v>1700-</v>
      </c>
      <c r="P8" s="21"/>
    </row>
    <row r="9" spans="1:16" ht="12.75" customHeight="1" x14ac:dyDescent="0.2">
      <c r="A9" s="10" t="str">
        <f>texty!$A$51</f>
        <v>Dĺžka úchytkového profilu (+2 mm)</v>
      </c>
      <c r="B9" s="496">
        <f>B8+2</f>
        <v>-42</v>
      </c>
      <c r="C9" s="489"/>
      <c r="D9" s="8"/>
      <c r="E9" s="8"/>
      <c r="F9" s="8"/>
      <c r="G9" s="51"/>
      <c r="H9" s="6"/>
      <c r="L9" s="37"/>
      <c r="M9" s="36"/>
    </row>
    <row r="10" spans="1:16" ht="25.5" x14ac:dyDescent="0.2">
      <c r="A10" s="518" t="str">
        <f>texty!$A$64</f>
        <v>Pri tejto zostave nie je možné použiť kombináciu so sklom / zrkadlom</v>
      </c>
      <c r="B10" s="70"/>
      <c r="C10" s="498" t="str">
        <f>texty!A78</f>
        <v>dodatočné odpočty výšky vypočítaných výplní pri použití deliacich profilov výplne:</v>
      </c>
      <c r="D10" s="8"/>
      <c r="E10" s="8"/>
      <c r="F10" s="8"/>
      <c r="G10" s="49"/>
      <c r="H10" s="6"/>
      <c r="O10" s="17"/>
      <c r="P10" s="21"/>
    </row>
    <row r="11" spans="1:16" ht="17.25" customHeight="1" x14ac:dyDescent="0.2">
      <c r="A11" s="635" t="str">
        <f>IF(SUM(D39:D40)&gt;0,texty!A246,"")</f>
        <v/>
      </c>
      <c r="B11" s="635"/>
      <c r="C11" s="498"/>
      <c r="D11" s="8"/>
      <c r="E11" s="8"/>
      <c r="F11" s="8"/>
      <c r="G11" s="49"/>
      <c r="H11" s="6"/>
      <c r="O11" s="17"/>
      <c r="P11" s="21"/>
    </row>
    <row r="12" spans="1:16" ht="26.65" customHeight="1" x14ac:dyDescent="0.2">
      <c r="A12" s="635"/>
      <c r="B12" s="635"/>
      <c r="C12" s="498"/>
      <c r="D12" s="8"/>
      <c r="E12" s="8"/>
      <c r="F12" s="8"/>
      <c r="G12" s="49"/>
      <c r="H12" s="6"/>
      <c r="O12" s="17"/>
      <c r="P12" s="21"/>
    </row>
    <row r="13" spans="1:16" ht="12.75" customHeight="1" x14ac:dyDescent="0.2">
      <c r="B13" s="69"/>
      <c r="C13" s="66"/>
      <c r="D13" s="8"/>
      <c r="H13" s="6"/>
      <c r="L13" s="6"/>
    </row>
    <row r="14" spans="1:16" ht="12.75" customHeight="1" x14ac:dyDescent="0.2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">
      <c r="A16" s="7"/>
      <c r="B16" s="8"/>
      <c r="C16" s="12"/>
      <c r="D16" s="8"/>
      <c r="E16" s="8"/>
      <c r="F16" s="8"/>
      <c r="G16" s="6"/>
      <c r="H16" s="6"/>
      <c r="I16" s="638" t="s">
        <v>993</v>
      </c>
      <c r="L16" s="6"/>
    </row>
    <row r="17" spans="1:12" ht="12.75" customHeight="1" x14ac:dyDescent="0.2">
      <c r="A17" s="7"/>
      <c r="B17" s="8"/>
      <c r="C17" s="12"/>
      <c r="D17" s="8"/>
      <c r="E17" s="8"/>
      <c r="F17" s="8"/>
      <c r="G17" s="6"/>
      <c r="H17" s="6"/>
      <c r="I17" s="638"/>
      <c r="L17" s="6"/>
    </row>
    <row r="18" spans="1:12" ht="14.25" customHeight="1" x14ac:dyDescent="0.2">
      <c r="A18" s="7"/>
      <c r="B18" s="8"/>
      <c r="C18" s="27"/>
      <c r="D18" s="8"/>
      <c r="E18" s="8"/>
      <c r="F18" s="8"/>
      <c r="G18" s="6"/>
      <c r="H18" s="6"/>
      <c r="I18" s="639" t="s">
        <v>994</v>
      </c>
      <c r="L18" s="6"/>
    </row>
    <row r="19" spans="1:12" ht="14.25" customHeight="1" x14ac:dyDescent="0.2">
      <c r="B19" s="8"/>
      <c r="C19" s="27"/>
      <c r="D19" s="8"/>
      <c r="E19" s="8"/>
      <c r="F19" s="8"/>
      <c r="G19" s="6"/>
      <c r="H19" s="6"/>
      <c r="I19" s="639"/>
      <c r="L19" s="6"/>
    </row>
    <row r="20" spans="1:12" ht="14.25" customHeight="1" x14ac:dyDescent="0.2">
      <c r="A20" s="7"/>
      <c r="B20" s="8"/>
      <c r="C20" s="27"/>
      <c r="D20" s="8"/>
      <c r="E20" s="8"/>
      <c r="F20" s="8"/>
      <c r="G20" s="6"/>
      <c r="H20" s="6"/>
      <c r="L20" s="6"/>
    </row>
    <row r="21" spans="1:12" ht="16.5" customHeight="1" x14ac:dyDescent="0.2">
      <c r="A21" s="509" t="s">
        <v>1021</v>
      </c>
      <c r="B21" s="8"/>
      <c r="C21" s="8"/>
      <c r="E21" s="8"/>
      <c r="F21" s="8"/>
      <c r="G21" s="6"/>
      <c r="H21" s="6"/>
      <c r="L21" s="6"/>
    </row>
    <row r="22" spans="1:12" ht="16.5" customHeight="1" x14ac:dyDescent="0.2">
      <c r="A22" s="7"/>
      <c r="B22" s="8"/>
      <c r="C22" s="8"/>
      <c r="D22" s="13"/>
      <c r="E22" s="8"/>
      <c r="F22" s="6"/>
      <c r="G22" s="134" t="str">
        <f>+Faworyt!G23</f>
        <v>partnerská zľava:</v>
      </c>
      <c r="H22" s="6"/>
      <c r="L22" s="6"/>
    </row>
    <row r="23" spans="1:12" ht="12.75" customHeight="1" x14ac:dyDescent="0.2">
      <c r="A23" s="131" t="str">
        <f>+Faworyt!A24</f>
        <v>Objednávacie kódy, ceny:</v>
      </c>
      <c r="B23" s="8"/>
      <c r="C23" s="8"/>
      <c r="D23" s="8"/>
      <c r="E23" s="8"/>
      <c r="F23" s="6"/>
      <c r="G23" s="120">
        <f>profil!C15</f>
        <v>0</v>
      </c>
      <c r="H23" s="6" t="s">
        <v>57</v>
      </c>
      <c r="L23" s="6"/>
    </row>
    <row r="24" spans="1:12" s="82" customFormat="1" ht="12.75" customHeight="1" x14ac:dyDescent="0.2">
      <c r="A24" s="80"/>
      <c r="B24" s="81" t="str">
        <f>+Faworyt!B25</f>
        <v>kód</v>
      </c>
      <c r="C24" s="81" t="str">
        <f>+Faworyt!C25</f>
        <v>názov</v>
      </c>
      <c r="D24" s="81" t="str">
        <f>+Faworyt!D25</f>
        <v>ks</v>
      </c>
      <c r="E24" s="81" t="str">
        <f>+Faworyt!E25</f>
        <v>cena/ks</v>
      </c>
      <c r="F24" s="18" t="str">
        <f>+Faworyt!F25</f>
        <v>cena celkom</v>
      </c>
      <c r="G24" s="18" t="str">
        <f>+Faworyt!G25</f>
        <v>celkom netto:</v>
      </c>
      <c r="H24" s="18"/>
      <c r="I24" s="18" t="str">
        <f>texty!A29</f>
        <v>Poznámka:</v>
      </c>
      <c r="J24" s="18"/>
      <c r="L24" s="18"/>
    </row>
    <row r="25" spans="1:12" ht="12.75" customHeight="1" x14ac:dyDescent="0.2">
      <c r="A25" s="7" t="str">
        <f>+Faworyt!A26</f>
        <v>Horný profil:</v>
      </c>
      <c r="B25" s="8" t="e">
        <f>+VLOOKUP(O8,data!$C$196:$D$215,2,0)</f>
        <v>#N/A</v>
      </c>
      <c r="C25" s="38" t="e">
        <f>+VLOOKUP(B25,cennik!$A:$G,2,FALSE)</f>
        <v>#N/A</v>
      </c>
      <c r="D25" s="8">
        <v>1</v>
      </c>
      <c r="E25" s="207" t="e">
        <f>+VLOOKUP(B25,cennik!$A:$G,3,FALSE)</f>
        <v>#N/A</v>
      </c>
      <c r="F25" s="91" t="e">
        <f>+E25*D25</f>
        <v>#N/A</v>
      </c>
      <c r="G25" s="92" t="e">
        <f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J25" s="191" t="e">
        <f>IF(D25&gt;0,IF(VLOOKUP(B25,cennik!A:L,12,FALSE)="O",1,""),"")</f>
        <v>#N/A</v>
      </c>
      <c r="L25" s="6"/>
    </row>
    <row r="26" spans="1:12" ht="12.75" customHeight="1" x14ac:dyDescent="0.2">
      <c r="A26" s="7" t="str">
        <f>+Faworyt!A27</f>
        <v>spodný profil:</v>
      </c>
      <c r="B26" s="16" t="e">
        <f>+VLOOKUP(O6,data!$C$4:$D$83,2,0)</f>
        <v>#N/A</v>
      </c>
      <c r="C26" s="25" t="e">
        <f>IF($B$26=data!$D$64,texty!$A$239,+VLOOKUP($B$26,cennik!$A$3:$G$9999,2,FALSE))</f>
        <v>#N/A</v>
      </c>
      <c r="D26" s="17">
        <v>1</v>
      </c>
      <c r="E26" s="91" t="e">
        <f>IF(B26=data!$D$73,0,+VLOOKUP(B26,cennik!$A$3:$G$9999,3,FALSE))</f>
        <v>#N/A</v>
      </c>
      <c r="F26" s="91" t="e">
        <f t="shared" ref="F26" si="0">+E26*D26</f>
        <v>#N/A</v>
      </c>
      <c r="G26" s="92" t="e">
        <f t="shared" ref="G26" si="1">+F26*(100-$G$23)/100</f>
        <v>#N/A</v>
      </c>
      <c r="H26" s="24" t="str">
        <f>cennik!$B$2</f>
        <v>EUR</v>
      </c>
      <c r="I26" s="469" t="str">
        <f>IFERROR(IF((VLOOKUP(B26,cennik!A:L,12,0))="O",texty!$A$250,""),"")</f>
        <v/>
      </c>
      <c r="K26" s="191" t="e">
        <f>IF(D26&gt;0,IF(VLOOKUP(B26,cennik!A:L,12,FALSE)="O",1,""),"")</f>
        <v>#N/A</v>
      </c>
      <c r="L26" s="6"/>
    </row>
    <row r="27" spans="1:12" ht="12.75" customHeight="1" x14ac:dyDescent="0.2">
      <c r="A27" s="72" t="str">
        <f>+Faworyt!A28</f>
        <v>krycí profil (maska):</v>
      </c>
      <c r="B27" s="8" t="e">
        <f>+VLOOKUP(O6,data!$C$105:$D$195,2,0)</f>
        <v>#N/A</v>
      </c>
      <c r="C27" s="25" t="e">
        <f>IF($B$27=data!$D$64,texty!$A$239,+VLOOKUP($B$27,cennik!$A$3:$G$9999,2,FALSE))</f>
        <v>#N/A</v>
      </c>
      <c r="D27" s="8">
        <v>1</v>
      </c>
      <c r="E27" s="91" t="e">
        <f>IF(B27=data!$D$73,0,+VLOOKUP(B27,cennik!$A$3:$G$9999,3,FALSE))</f>
        <v>#N/A</v>
      </c>
      <c r="F27" s="91" t="e">
        <f t="shared" ref="F27" si="2">+E27*D27</f>
        <v>#N/A</v>
      </c>
      <c r="G27" s="92" t="e">
        <f t="shared" ref="G27" si="3">+F27*(100-$G$23)/100</f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  <c r="K27" s="191"/>
      <c r="L27" s="6"/>
    </row>
    <row r="28" spans="1:12" ht="12.75" customHeight="1" x14ac:dyDescent="0.2">
      <c r="A28" s="7" t="str">
        <f>+Faworyt!A29</f>
        <v>horný vozík</v>
      </c>
      <c r="B28" s="71">
        <v>228023</v>
      </c>
      <c r="C28" s="38" t="str">
        <f>+VLOOKUP(B28,cennik!$A:$G,2,FALSE)</f>
        <v>SEVROLL 10196 Focus horný vozík 18mm 2ks</v>
      </c>
      <c r="D28" s="17">
        <f>IF((D41+D42)&gt;D4,0,D4-(D42+D41))</f>
        <v>0</v>
      </c>
      <c r="E28" s="207">
        <f>+VLOOKUP(B28,cennik!$A:$G,3,FALSE)</f>
        <v>3.9014199999999999</v>
      </c>
      <c r="F28" s="91">
        <f>+E28*D28</f>
        <v>0</v>
      </c>
      <c r="G28" s="92">
        <f>+F28*(100-$G$23)/100</f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">
      <c r="A29" s="7" t="str">
        <f>+Faworyt!A30</f>
        <v>spodný vozík</v>
      </c>
      <c r="B29" s="16">
        <f>IF(F4=Ergo!M63,362316,229440)</f>
        <v>229440</v>
      </c>
      <c r="C29" s="25" t="str">
        <f>+VLOOKUP(B29,cennik!$A:$G,2,FALSE)</f>
        <v>SEVROLL 10198 spodný vozík WD 18C HI-TEC - 2ks</v>
      </c>
      <c r="D29" s="17">
        <f>+D4</f>
        <v>0</v>
      </c>
      <c r="E29" s="207">
        <f>+VLOOKUP(B29,cennik!$A:$G,3,FALSE)</f>
        <v>5.1863999999999999</v>
      </c>
      <c r="F29" s="91">
        <f>+E29*D29</f>
        <v>0</v>
      </c>
      <c r="G29" s="92">
        <f>+F29*(100-$G$23)/100</f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">
      <c r="A30" s="7" t="str">
        <f>+Faworyt!A31</f>
        <v>dorazový kartáč</v>
      </c>
      <c r="B30" s="16">
        <v>229433</v>
      </c>
      <c r="C30" s="38" t="str">
        <f>+VLOOKUP(B30,cennik!$A:$G,2,FALSE)</f>
        <v>SEVROLL dorazová kefa zásuvná 4,8x4mm sivá</v>
      </c>
      <c r="D30" s="17">
        <f>CEILING((B4*D4*2/1000),1)</f>
        <v>0</v>
      </c>
      <c r="E30" s="207">
        <f>+VLOOKUP(B30,cennik!$A:$G,3,FALSE)</f>
        <v>0.13</v>
      </c>
      <c r="F30" s="91">
        <f>+E30*D30</f>
        <v>0</v>
      </c>
      <c r="G30" s="92">
        <f>+F30*(100-$G$23)/100</f>
        <v>0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">
      <c r="A31" s="7" t="str">
        <f>+Faworyt!A32</f>
        <v>úchytková lišta</v>
      </c>
      <c r="B31" s="16" t="e">
        <f>+VLOOKUP(P7,data!$C$682:$D$685,2,0)</f>
        <v>#N/A</v>
      </c>
      <c r="C31" s="38" t="e">
        <f>+VLOOKUP(B31,cennik!$A:$G,2,FALSE)</f>
        <v>#N/A</v>
      </c>
      <c r="D31" s="17">
        <f>IF(B9&lt;=1347,D4*2/2,D4*2)</f>
        <v>0</v>
      </c>
      <c r="E31" s="207" t="e">
        <f>+VLOOKUP(B31,cennik!$A:$G,3,FALSE)</f>
        <v>#N/A</v>
      </c>
      <c r="F31" s="91" t="e">
        <f>+E31*D31</f>
        <v>#N/A</v>
      </c>
      <c r="G31" s="92" t="e">
        <f>+F31*(100-$G$23)/100</f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">
      <c r="A32" s="7"/>
      <c r="B32" s="16"/>
      <c r="C32" s="25"/>
      <c r="D32" s="17"/>
      <c r="E32" s="91"/>
      <c r="F32" s="91"/>
      <c r="G32" s="91"/>
      <c r="H32" s="92"/>
      <c r="I32" s="469" t="str">
        <f>IFERROR(IF((VLOOKUP(B32,cennik!A:L,12,0))="O",texty!$A$250,""),"")</f>
        <v/>
      </c>
      <c r="J32" s="181"/>
      <c r="K32" s="191"/>
      <c r="L32" s="6"/>
    </row>
    <row r="33" spans="1:12" ht="12.75" customHeight="1" x14ac:dyDescent="0.2">
      <c r="A33" s="131" t="str">
        <f>+Faworyt!A34</f>
        <v>Voliteľné príslušenstvo:</v>
      </c>
      <c r="B33" s="16"/>
      <c r="C33" s="25"/>
      <c r="D33" s="478" t="str">
        <f>+Faworyt!D34</f>
        <v>zadajte počet:</v>
      </c>
      <c r="E33" s="91"/>
      <c r="F33" s="91"/>
      <c r="G33" s="91"/>
      <c r="H33" s="92"/>
      <c r="I33" s="469" t="str">
        <f>IFERROR(IF((VLOOKUP(B33,cennik!A:L,12,0))="O",texty!$A$250,""),"")</f>
        <v/>
      </c>
      <c r="J33" s="181"/>
      <c r="K33" s="191"/>
      <c r="L33" s="6"/>
    </row>
    <row r="34" spans="1:12" ht="12.75" customHeight="1" x14ac:dyDescent="0.2">
      <c r="A34" s="7" t="str">
        <f>texty!$A$88</f>
        <v>pozicionér do horného vedenia</v>
      </c>
      <c r="B34" s="187">
        <v>298035</v>
      </c>
      <c r="C34" s="38" t="str">
        <f>+VLOOKUP(B34,cennik!$A:$G,2,FALSE)</f>
        <v>SEVROLL 20326 Fix pozicionér pre horný vozík transparentný</v>
      </c>
      <c r="D34" s="29"/>
      <c r="E34" s="207">
        <f>+VLOOKUP(B34,cennik!$A:$G,3,FALSE)</f>
        <v>1.0837300000000001</v>
      </c>
      <c r="F34" s="105">
        <f>+E34*D34</f>
        <v>0</v>
      </c>
      <c r="G34" s="104">
        <f t="shared" ref="G34:G56" si="4">+F34*(100-$F$23)/100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">
      <c r="A35" s="7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SEVROLL 20080 pozicionér spodného vozíka HI-TEC</v>
      </c>
      <c r="D35" s="29"/>
      <c r="E35" s="207">
        <f>+VLOOKUP(B35,cennik!$A:$G,3,FALSE)</f>
        <v>0.30964000000000003</v>
      </c>
      <c r="F35" s="105">
        <f t="shared" ref="F35:F56" si="5">+E35*D35</f>
        <v>0</v>
      </c>
      <c r="G35" s="104">
        <f t="shared" si="4"/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">
      <c r="A36" s="422" t="str">
        <f>texty!$A$228</f>
        <v> Tlmič dorazu MINI do 25 kg (pár)</v>
      </c>
      <c r="B36" s="16">
        <v>318662</v>
      </c>
      <c r="C36" s="25" t="str">
        <f>+VLOOKUP(B36,cennik!$A:$G,2,FALSE)</f>
        <v>SEVROLL 20368-SV tlmič dorazu Mini SV25 (14-25kg)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4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">
      <c r="A37" s="422" t="str">
        <f>texty!$A$229</f>
        <v> Tlmič dorazu MINI do 40 kg (pár)</v>
      </c>
      <c r="B37" s="24">
        <v>283956</v>
      </c>
      <c r="C37" s="25" t="str">
        <f>+VLOOKUP(B37,cennik!$A:$G,2,FALSE)</f>
        <v>SEVROLL 20258-SV tlmič dorazu Mini SV40 (25 - 40kg)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4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">
      <c r="A38" s="422" t="str">
        <f>texty!$A$230</f>
        <v> Tlmič dorazu MINI do 60 kg (pár)</v>
      </c>
      <c r="B38" s="24">
        <v>351743</v>
      </c>
      <c r="C38" s="25" t="str">
        <f>+VLOOKUP(B38,cennik!$A:$G,2,FALSE)</f>
        <v>SEVROLL 20339-SV tlmič dorazu Mini SV60 (40 - 60kg)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4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">
      <c r="A39" s="422" t="str">
        <f>texty!$A$231</f>
        <v> Tlmič pre stredné krídlo do 25 kg</v>
      </c>
      <c r="B39" s="24">
        <v>318663</v>
      </c>
      <c r="C39" s="25" t="str">
        <f>+VLOOKUP(B39,cennik!$A:$G,2,FALSE)</f>
        <v>SEVROLL 20363-SV tlmič Central 10/18mm obojstranný 25kg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4"/>
        <v>0</v>
      </c>
      <c r="H39" s="24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">
      <c r="A40" s="422" t="str">
        <f>texty!$A$232</f>
        <v> Tlmič pre stredné krídlo do 40 kg</v>
      </c>
      <c r="B40" s="24">
        <v>283955</v>
      </c>
      <c r="C40" s="25" t="str">
        <f>+VLOOKUP(B40,cennik!$A:$G,2,FALSE)</f>
        <v>SEVROLL 20319-SV tlmič Central 10/18mm obojstranný 25-40kg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4"/>
        <v>0</v>
      </c>
      <c r="H40" s="24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 L+P</v>
      </c>
      <c r="D41" s="29"/>
      <c r="E41" s="207">
        <f>+VLOOKUP(B41,cennik!$A:$G,3,FALSE)</f>
        <v>0</v>
      </c>
      <c r="F41" s="105">
        <f>+E41*D41</f>
        <v>0</v>
      </c>
      <c r="G41" s="104">
        <f t="shared" si="4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6"/>
    </row>
    <row r="42" spans="1:12" ht="12.75" customHeight="1" x14ac:dyDescent="0.2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4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">
      <c r="A43" s="7" t="str">
        <f>texty!$A$196</f>
        <v>Spona dorazovej kefky</v>
      </c>
      <c r="B43" s="16">
        <v>223569</v>
      </c>
      <c r="C43" s="38" t="str">
        <f>+VLOOKUP(B43,cennik!$A:$G,2,FALSE)</f>
        <v>SEVROLL 20223 spona dorazovej kefky</v>
      </c>
      <c r="D43" s="29"/>
      <c r="E43" s="207">
        <f>+VLOOKUP(B43,cennik!$A:$G,3,FALSE)</f>
        <v>7.1209999999999996E-2</v>
      </c>
      <c r="F43" s="105">
        <f t="shared" si="5"/>
        <v>0</v>
      </c>
      <c r="G43" s="104">
        <f t="shared" si="4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">
      <c r="A44" s="145" t="str">
        <f>texty!$A$114</f>
        <v>spojovací profil H18-3metre</v>
      </c>
      <c r="B44" s="16" t="e">
        <f>+VLOOKUP($P$7,data!$C$537:$D$547,2,0)</f>
        <v>#N/A</v>
      </c>
      <c r="C44" s="38" t="e">
        <f>+VLOOKUP(B44,cennik!$A:$G,2,FALSE)</f>
        <v>#N/A</v>
      </c>
      <c r="D44" s="29"/>
      <c r="E44" s="207" t="e">
        <f>+VLOOKUP(B44,cennik!$A:$G,3,FALSE)</f>
        <v>#N/A</v>
      </c>
      <c r="F44" s="105" t="e">
        <f t="shared" si="5"/>
        <v>#N/A</v>
      </c>
      <c r="G44" s="104" t="e">
        <f t="shared" si="4"/>
        <v>#N/A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">
      <c r="A45" s="145" t="str">
        <f>texty!$A$115</f>
        <v>spojovací T profil - 3metre /s drážkou/</v>
      </c>
      <c r="B45" s="16" t="e">
        <f>+VLOOKUP($P$7,data!$C$548:$D$557,2,0)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 t="shared" si="5"/>
        <v>#N/A</v>
      </c>
      <c r="G45" s="104" t="e">
        <f t="shared" si="4"/>
        <v>#N/A</v>
      </c>
      <c r="H45" s="24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">
      <c r="A46" s="145" t="str">
        <f>texty!$A$116</f>
        <v>spojovací T profil - 3metre /s lemom/</v>
      </c>
      <c r="B46" s="16" t="e">
        <f>+VLOOKUP($P$7,data!$C$558:$D$567,2,0)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5"/>
        <v>#N/A</v>
      </c>
      <c r="G46" s="104" t="e">
        <f t="shared" si="4"/>
        <v>#N/A</v>
      </c>
      <c r="H46" s="24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">
      <c r="A47" s="145" t="str">
        <f>texty!$A$117</f>
        <v>"U" profil na DTD 18mm - 3 metre /hladký/</v>
      </c>
      <c r="B47" s="6" t="e">
        <f>+VLOOKUP($P$7,data!$C$568:$D$578,2,0)</f>
        <v>#N/A</v>
      </c>
      <c r="C47" s="38" t="e">
        <f>+VLOOKUP(B47,cennik!$A:$G,2,FALSE)</f>
        <v>#N/A</v>
      </c>
      <c r="D47" s="29"/>
      <c r="E47" s="207" t="e">
        <f>+VLOOKUP(B47,cennik!$A:$G,3,FALSE)</f>
        <v>#N/A</v>
      </c>
      <c r="F47" s="105" t="e">
        <f t="shared" si="5"/>
        <v>#N/A</v>
      </c>
      <c r="G47" s="104" t="e">
        <f t="shared" si="4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">
      <c r="A48" s="145" t="str">
        <f>texty!$A$118</f>
        <v>"U" profil na DTD 18mm - 3 metre /lem/</v>
      </c>
      <c r="B48" s="16" t="e">
        <f>+VLOOKUP($P$7,data!$C$578:$D$588,2,0)</f>
        <v>#N/A</v>
      </c>
      <c r="C48" s="38" t="e">
        <f>IF(B48=data!$D$64,texty!$A$239,+VLOOKUP(B48,cennik!$A$3:$G$9999,2,FALSE))</f>
        <v>#N/A</v>
      </c>
      <c r="D48" s="29"/>
      <c r="E48" s="91" t="e">
        <f>IF(B48=data!$D$73,0,+VLOOKUP(B48,cennik!$A$3:$G$9999,3,FALSE))</f>
        <v>#N/A</v>
      </c>
      <c r="F48" s="91" t="e">
        <f t="shared" si="5"/>
        <v>#N/A</v>
      </c>
      <c r="G48" s="104" t="e">
        <f t="shared" si="4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3"/>
    </row>
    <row r="49" spans="1:14" ht="12.75" customHeight="1" x14ac:dyDescent="0.2">
      <c r="A49" s="145" t="str">
        <f>texty!$A$119</f>
        <v>uholník mini 11x17mm - 1,7m</v>
      </c>
      <c r="B49" s="6" t="e">
        <f>+VLOOKUP($P$7,data!$C$589:$D$599,2,0)</f>
        <v>#N/A</v>
      </c>
      <c r="C49" s="38" t="e">
        <f>IF(B49=data!$D$64,texty!$A$239,+VLOOKUP(B49,cennik!$A$3:$G$9999,2,FALSE))</f>
        <v>#N/A</v>
      </c>
      <c r="D49" s="29"/>
      <c r="E49" s="91" t="e">
        <f>IF(B49=data!$D$73,0,+VLOOKUP(B49,cennik!$A$3:$G$9999,3,FALSE))</f>
        <v>#N/A</v>
      </c>
      <c r="F49" s="91" t="e">
        <f>+E49*D49</f>
        <v>#N/A</v>
      </c>
      <c r="G49" s="104" t="e">
        <f t="shared" si="4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4" ht="12.75" customHeight="1" x14ac:dyDescent="0.2">
      <c r="A50" s="145" t="str">
        <f>texty!$A$120</f>
        <v>uholník mini 11x17mm - 2,35m</v>
      </c>
      <c r="B50" s="6" t="e">
        <f>+VLOOKUP($P$7,data!$C$600:$D$610,2,0)</f>
        <v>#N/A</v>
      </c>
      <c r="C50" s="38" t="e">
        <f>IF(B50=data!$D$64,texty!$A$239,+VLOOKUP(B50,cennik!$A$3:$G$9999,2,FALSE))</f>
        <v>#N/A</v>
      </c>
      <c r="D50" s="29"/>
      <c r="E50" s="91" t="e">
        <f>IF(B50=data!$D$73,0,+VLOOKUP(B50,cennik!$A$3:$G$9999,3,FALSE))</f>
        <v>#N/A</v>
      </c>
      <c r="F50" s="91" t="e">
        <f>+E50*D50</f>
        <v>#N/A</v>
      </c>
      <c r="G50" s="104" t="e">
        <f t="shared" si="4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4" ht="12.75" customHeight="1" x14ac:dyDescent="0.2">
      <c r="A51" s="145" t="str">
        <f>texty!$A$121</f>
        <v>uholník mini 11x17mm - 3m</v>
      </c>
      <c r="B51" s="15" t="e">
        <f>+VLOOKUP($P$7,data!$C$611:$D$621,2,0)</f>
        <v>#N/A</v>
      </c>
      <c r="C51" s="38" t="e">
        <f>IF(B51=data!$D$64,texty!$A$239,+VLOOKUP(B51,cennik!$A$3:$G$9999,2,FALSE))</f>
        <v>#N/A</v>
      </c>
      <c r="D51" s="29"/>
      <c r="E51" s="91" t="e">
        <f>IF(B51=data!$D$73,0,+VLOOKUP(B51,cennik!$A$3:$G$9999,3,FALSE))</f>
        <v>#N/A</v>
      </c>
      <c r="F51" s="91" t="e">
        <f>+E51*D51</f>
        <v>#N/A</v>
      </c>
      <c r="G51" s="104" t="e">
        <f t="shared" si="4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</row>
    <row r="52" spans="1:14" ht="12.75" customHeight="1" x14ac:dyDescent="0.2">
      <c r="A52" s="145" t="str">
        <f>texty!$A$122</f>
        <v>uholník K2 19x18mm - 1,7m</v>
      </c>
      <c r="B52" s="24" t="e">
        <f>+VLOOKUP($P$7,data!$C$622:$D$631,2,0)</f>
        <v>#N/A</v>
      </c>
      <c r="C52" s="38" t="e">
        <f>IF(B52=data!$D$64,texty!$A$239,+VLOOKUP(B52,cennik!$A$3:$G$907,2,FALSE))</f>
        <v>#N/A</v>
      </c>
      <c r="D52" s="29"/>
      <c r="E52" s="91" t="e">
        <f>IF(B52=data!$D$73,0,+VLOOKUP(B52,cennik!$A$3:$G$907,3,FALSE))</f>
        <v>#N/A</v>
      </c>
      <c r="F52" s="91" t="e">
        <f>+E52*D52</f>
        <v>#N/A</v>
      </c>
      <c r="G52" s="104" t="e">
        <f t="shared" si="4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  <c r="L52" s="6"/>
    </row>
    <row r="53" spans="1:14" ht="12.75" customHeight="1" x14ac:dyDescent="0.2">
      <c r="A53" s="145" t="str">
        <f>texty!$A$123</f>
        <v>uholník K2 19x18mm - 2,35m</v>
      </c>
      <c r="B53" s="16" t="e">
        <f>+VLOOKUP($P$7,data!$C$632:$D$641,2,0)</f>
        <v>#N/A</v>
      </c>
      <c r="C53" s="38" t="e">
        <f>IF(B53=data!$D$64,texty!$A$239,+VLOOKUP(B53,cennik!$A$3:$G$907,2,FALSE))</f>
        <v>#N/A</v>
      </c>
      <c r="D53" s="30"/>
      <c r="E53" s="91" t="e">
        <f>IF(B53=data!$D$73,0,+VLOOKUP(B53,cennik!$A$3:$G$907,3,FALSE))</f>
        <v>#N/A</v>
      </c>
      <c r="F53" s="91" t="e">
        <f t="shared" si="5"/>
        <v>#N/A</v>
      </c>
      <c r="G53" s="104" t="e">
        <f t="shared" si="4"/>
        <v>#N/A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4" ht="12.75" customHeight="1" x14ac:dyDescent="0.2">
      <c r="A54" s="145" t="str">
        <f>texty!$A$124</f>
        <v>uholník K2 19x18mm - 3,00m</v>
      </c>
      <c r="B54" s="16" t="e">
        <f>+VLOOKUP($P$7,data!$C$642:$D$651,2,0)</f>
        <v>#N/A</v>
      </c>
      <c r="C54" s="38" t="e">
        <f>IF(B54=data!$D$64,texty!$A$239,+VLOOKUP(B54,cennik!$A$3:$G$907,2,FALSE))</f>
        <v>#N/A</v>
      </c>
      <c r="D54" s="30"/>
      <c r="E54" s="91" t="e">
        <f>IF(B54=data!$D$73,0,+VLOOKUP(B54,cennik!$A$3:$G$907,3,FALSE))</f>
        <v>#N/A</v>
      </c>
      <c r="F54" s="91" t="e">
        <f t="shared" si="5"/>
        <v>#N/A</v>
      </c>
      <c r="G54" s="104" t="e">
        <f t="shared" si="4"/>
        <v>#N/A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4" ht="12.75" customHeight="1" x14ac:dyDescent="0.2">
      <c r="A55" s="422" t="str">
        <f>texty!$A$240</f>
        <v>zámok posuvných dverí</v>
      </c>
      <c r="B55" s="24">
        <v>216363</v>
      </c>
      <c r="C55" s="38" t="str">
        <f>+VLOOKUP(B55,cennik!$A:$G,2,FALSE)</f>
        <v>SEVROLL 20356 zámok na posuvné dvere 10/18mm</v>
      </c>
      <c r="D55" s="29"/>
      <c r="E55" s="207">
        <f>+VLOOKUP(B55,cennik!$A:$G,3,FALSE)</f>
        <v>15.72176</v>
      </c>
      <c r="F55" s="105">
        <f t="shared" si="5"/>
        <v>0</v>
      </c>
      <c r="G55" s="104">
        <f t="shared" si="4"/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">
      <c r="A56" s="7" t="str">
        <f>texty!$A$112</f>
        <v>protiprachový kartáč samolepiaci</v>
      </c>
      <c r="B56" s="24">
        <v>308639</v>
      </c>
      <c r="C56" s="25" t="str">
        <f>+VLOOKUP(B56,cennik!$A:$G,2,FALSE)</f>
        <v>SEVROLL protiprachový kartáč samolep. 6,7x13mm</v>
      </c>
      <c r="D56" s="29"/>
      <c r="E56" s="207">
        <f>+VLOOKUP(B56,cennik!$A:$G,3,FALSE)</f>
        <v>0.29721999999999998</v>
      </c>
      <c r="F56" s="105">
        <f t="shared" si="5"/>
        <v>0</v>
      </c>
      <c r="G56" s="104">
        <f t="shared" si="4"/>
        <v>0</v>
      </c>
      <c r="H56" s="6" t="str">
        <f>cennik!$B$2</f>
        <v>EUR</v>
      </c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K56" s="5"/>
      <c r="L56" s="6"/>
    </row>
    <row r="57" spans="1:14" ht="12.75" customHeight="1" x14ac:dyDescent="0.2">
      <c r="A57" s="7"/>
      <c r="B57" s="24"/>
      <c r="C57" s="25"/>
      <c r="D57" s="272"/>
      <c r="E57" s="91"/>
      <c r="F57" s="91"/>
      <c r="G57" s="96"/>
      <c r="H57" s="92"/>
      <c r="J57" s="181"/>
      <c r="K57" s="181"/>
      <c r="L57" s="6"/>
    </row>
    <row r="58" spans="1:14" ht="15" x14ac:dyDescent="0.2">
      <c r="A58" s="271" t="str">
        <f>texty!$A$190</f>
        <v>Ďalšie príslušenstvo</v>
      </c>
      <c r="B58" s="272"/>
      <c r="C58" s="272"/>
      <c r="D58" s="272"/>
      <c r="E58" s="272"/>
      <c r="F58" s="272"/>
      <c r="G58" s="272"/>
      <c r="H58" s="272"/>
      <c r="I58" s="272"/>
      <c r="J58" s="272"/>
      <c r="K58" s="134"/>
      <c r="L58" s="6"/>
    </row>
    <row r="59" spans="1:14" ht="12.75" customHeight="1" x14ac:dyDescent="0.2">
      <c r="A59" s="271" t="str">
        <f>texty!$A$244</f>
        <v>Technický nákres tohoto systému</v>
      </c>
      <c r="C59" s="40"/>
      <c r="D59" s="78" t="str">
        <f>+Faworyt!D61</f>
        <v>CELKOM  (bez DPH)</v>
      </c>
      <c r="E59" s="115"/>
      <c r="F59" s="116" t="e">
        <f>SUM(F25:F56)</f>
        <v>#N/A</v>
      </c>
      <c r="G59" s="116" t="e">
        <f>SUM(G25:G56)</f>
        <v>#N/A</v>
      </c>
      <c r="H59" s="6" t="str">
        <f>cennik!$B$2</f>
        <v>EUR</v>
      </c>
      <c r="J59" s="181"/>
      <c r="K59" s="181"/>
      <c r="L59" s="6"/>
    </row>
    <row r="60" spans="1:14" ht="12.75" customHeight="1" x14ac:dyDescent="0.2">
      <c r="A60" s="75" t="str">
        <f>System10!$A$67</f>
        <v>Vaša poznámka:</v>
      </c>
      <c r="B60" s="661"/>
      <c r="C60" s="662"/>
      <c r="D60" s="662"/>
      <c r="E60" s="662"/>
      <c r="F60" s="662"/>
      <c r="G60" s="663"/>
      <c r="H60" s="6"/>
      <c r="L60" s="6"/>
    </row>
    <row r="61" spans="1:14" ht="12.75" customHeight="1" x14ac:dyDescent="0.2">
      <c r="A61" s="659">
        <f>profil!$U$15</f>
        <v>0</v>
      </c>
      <c r="B61" s="649"/>
      <c r="C61" s="649"/>
      <c r="D61" s="649"/>
      <c r="E61" s="649"/>
      <c r="F61" s="649"/>
      <c r="G61" s="649"/>
      <c r="H61" s="649"/>
      <c r="L61" s="6"/>
    </row>
    <row r="62" spans="1:14" ht="12.75" customHeight="1" x14ac:dyDescent="0.2">
      <c r="A62" s="650">
        <f>IF(N62=1,texty!$A$215,IF(J62&gt;0,texty!$A$214,""))</f>
        <v>0</v>
      </c>
      <c r="B62" s="650"/>
      <c r="C62" s="650"/>
      <c r="D62" s="650"/>
      <c r="E62" s="650"/>
      <c r="F62" s="650"/>
      <c r="G62" s="650"/>
      <c r="H62" s="650"/>
      <c r="J62" s="6" t="e">
        <f>SUM(J25:J56)</f>
        <v>#N/A</v>
      </c>
      <c r="K62" s="5"/>
      <c r="L62" s="6"/>
      <c r="N62" s="5">
        <f>IF(ISERROR(J62),1,0)</f>
        <v>1</v>
      </c>
    </row>
    <row r="63" spans="1:14" ht="12.75" customHeight="1" x14ac:dyDescent="0.2">
      <c r="L63" s="5" t="str">
        <f>texty!A128</f>
        <v xml:space="preserve">strieborná </v>
      </c>
      <c r="M63" s="21" t="s">
        <v>987</v>
      </c>
    </row>
    <row r="64" spans="1:14" ht="12.75" customHeight="1" x14ac:dyDescent="0.2">
      <c r="L64" s="5" t="str">
        <f>texty!A130</f>
        <v>oliva</v>
      </c>
      <c r="M64" s="21" t="s">
        <v>43</v>
      </c>
    </row>
    <row r="65" spans="12:12" ht="12.75" customHeight="1" x14ac:dyDescent="0.2">
      <c r="L65" s="5" t="str">
        <f>data!$J$5</f>
        <v>zlatá</v>
      </c>
    </row>
    <row r="66" spans="12:12" ht="12.75" customHeight="1" x14ac:dyDescent="0.2">
      <c r="L66" s="5" t="str">
        <f>data!$J$17</f>
        <v>čierna mat</v>
      </c>
    </row>
    <row r="67" spans="12:12" ht="12.75" customHeight="1" x14ac:dyDescent="0.2"/>
    <row r="68" spans="12:12" ht="12.75" customHeight="1" x14ac:dyDescent="0.2"/>
  </sheetData>
  <sheetProtection algorithmName="SHA-512" hashValue="DBYNDKgsKJ/ntGq551KwrO+OgkZnhPzSC8q96ojWPCQQBaUwByzdh459T95Ctb1VqHPkrQSqvAOLXflc1BHgyA==" saltValue="KMIOwMnJydqzb+7dku07+Q==" spinCount="100000" sheet="1" objects="1" scenarios="1" selectLockedCell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A11">
    <cfRule type="expression" dxfId="76" priority="3">
      <formula>SUM($D$39:$D$40)&gt;0</formula>
    </cfRule>
  </conditionalFormatting>
  <conditionalFormatting sqref="D6">
    <cfRule type="expression" dxfId="74" priority="7">
      <formula>$D$4=4</formula>
    </cfRule>
    <cfRule type="expression" dxfId="73" priority="8">
      <formula>$D$4&lt;&gt;4</formula>
    </cfRule>
  </conditionalFormatting>
  <conditionalFormatting sqref="G4">
    <cfRule type="expression" dxfId="72" priority="6">
      <formula>$D$4=4</formula>
    </cfRule>
  </conditionalFormatting>
  <conditionalFormatting sqref="I18:I19">
    <cfRule type="expression" dxfId="7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:F6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$M$63:$M$64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7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7.140625" style="5" customWidth="1"/>
    <col min="2" max="2" width="15.7109375" style="5" customWidth="1"/>
    <col min="3" max="3" width="46.42578125" style="5" bestFit="1" customWidth="1"/>
    <col min="4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-7.8</v>
      </c>
    </row>
    <row r="2" spans="1:16" ht="18.75" customHeight="1" x14ac:dyDescent="0.2">
      <c r="A2" s="523" t="s">
        <v>582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",5,".",67)</f>
        <v>katalóg kovania 2018 str. 5.67</v>
      </c>
      <c r="B3" s="420" t="str">
        <f>CONCATENATE(texty!A34," / max.          2 742 mm /")</f>
        <v>výška / max.          2 742 mm /</v>
      </c>
      <c r="C3" s="421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20" t="str">
        <f>texty!A38</f>
        <v>typ spodného vedenia</v>
      </c>
      <c r="G3" s="6"/>
      <c r="H3" s="6"/>
      <c r="L3" s="6"/>
    </row>
    <row r="4" spans="1:16" ht="18" customHeight="1" x14ac:dyDescent="0.2">
      <c r="A4" s="10" t="str">
        <f>+Faworyt!A4</f>
        <v>VNÚTORNÝ ROZMER SKRINE:</v>
      </c>
      <c r="B4" s="56"/>
      <c r="C4" s="56"/>
      <c r="D4" s="22"/>
      <c r="E4" s="22"/>
      <c r="F4" s="458"/>
      <c r="G4" s="647"/>
      <c r="H4" s="647"/>
      <c r="I4" s="647"/>
      <c r="K4" s="190"/>
      <c r="L4" s="8"/>
    </row>
    <row r="5" spans="1:16" ht="18" customHeight="1" x14ac:dyDescent="0.2">
      <c r="A5" s="10"/>
      <c r="B5" s="664" t="str">
        <f>+Faworyt!B5</f>
        <v>vypíšte týchto 5 políčok !!! Údaje v mm</v>
      </c>
      <c r="C5" s="664"/>
      <c r="D5" s="664"/>
      <c r="E5" s="664"/>
      <c r="F5" s="471"/>
      <c r="G5" s="647"/>
      <c r="H5" s="647"/>
      <c r="I5" s="647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M6" s="23" t="str">
        <f>CONCATENATE(M5,"-",E4)</f>
        <v>1700-</v>
      </c>
      <c r="N6" s="21"/>
      <c r="O6" s="23" t="str">
        <f>CONCATENATE(O5,"-",E4,", ",F4)</f>
        <v xml:space="preserve">1700-, </v>
      </c>
    </row>
    <row r="7" spans="1:16" ht="12.75" customHeight="1" x14ac:dyDescent="0.2">
      <c r="A7" s="10" t="str">
        <f>+Faworyt!A7</f>
        <v>krídlo dverí:</v>
      </c>
      <c r="B7" s="67">
        <f>+B4-42</f>
        <v>-42</v>
      </c>
      <c r="C7" s="68" t="e">
        <f>+((C4-3+28*(D4-1))/D4+IF(AND(D4=4,D6=2),M1,0))</f>
        <v>#DIV/0!</v>
      </c>
      <c r="D7" s="8"/>
      <c r="E7" s="8"/>
      <c r="F7" s="8"/>
      <c r="G7" s="647"/>
      <c r="H7" s="647"/>
      <c r="I7" s="647"/>
      <c r="L7" s="6"/>
      <c r="O7" s="17">
        <f>IF(C4&lt;1701,1700,IF(C4&lt;2351,2350,IF(C4&lt;3001,3000,IF(C4&lt;4051,4050,6000))))</f>
        <v>1700</v>
      </c>
      <c r="P7" s="21">
        <f>+E4</f>
        <v>0</v>
      </c>
    </row>
    <row r="8" spans="1:16" ht="12.75" customHeight="1" x14ac:dyDescent="0.2">
      <c r="A8" s="10" t="str">
        <f>+Faworyt!A8</f>
        <v>rozmer výplne 18mm:</v>
      </c>
      <c r="B8" s="67">
        <f>+B7-2</f>
        <v>-44</v>
      </c>
      <c r="C8" s="497" t="e">
        <f>+C7-3</f>
        <v>#DIV/0!</v>
      </c>
      <c r="D8" s="8"/>
      <c r="E8" s="8"/>
      <c r="F8" s="8"/>
      <c r="G8" s="51"/>
      <c r="H8" s="6"/>
      <c r="L8" s="6"/>
      <c r="O8" s="23" t="str">
        <f>CONCATENATE(O7,"-",E4)</f>
        <v>1700-</v>
      </c>
      <c r="P8" s="21"/>
    </row>
    <row r="9" spans="1:16" ht="12.75" customHeight="1" x14ac:dyDescent="0.2">
      <c r="A9" s="10" t="str">
        <f>texty!$A$51</f>
        <v>Dĺžka úchytkového profilu (+2 mm)</v>
      </c>
      <c r="B9" s="496">
        <f>B8+2</f>
        <v>-42</v>
      </c>
      <c r="C9" s="489"/>
      <c r="D9" s="8"/>
      <c r="E9" s="8"/>
      <c r="F9" s="8"/>
      <c r="G9" s="5" t="str">
        <f>Faworyt!G8</f>
        <v>Maximálna hmotnosť krídla je 50 kg</v>
      </c>
      <c r="H9" s="6"/>
      <c r="L9" s="37"/>
      <c r="M9" s="36"/>
    </row>
    <row r="10" spans="1:16" ht="12.75" customHeight="1" x14ac:dyDescent="0.2">
      <c r="A10" s="168" t="str">
        <f>texty!A$64</f>
        <v>Pri tejto zostave nie je možné použiť kombináciu so sklom / zrkadlom</v>
      </c>
      <c r="B10" s="70"/>
      <c r="C10" s="66"/>
      <c r="D10" s="8"/>
      <c r="E10" s="8"/>
      <c r="F10" s="8"/>
      <c r="G10" s="49"/>
      <c r="H10" s="6"/>
      <c r="O10" s="17"/>
      <c r="P10" s="21"/>
    </row>
    <row r="11" spans="1:16" ht="25.5" x14ac:dyDescent="0.2">
      <c r="A11" s="635" t="str">
        <f>IF(SUM(D38:D39)&gt;0,texty!A246,"")</f>
        <v/>
      </c>
      <c r="B11" s="635"/>
      <c r="C11" s="498" t="str">
        <f>texty!A78</f>
        <v>dodatočné odpočty výšky vypočítaných výplní pri použití deliacich profilov výplne: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">
      <c r="A12" s="635"/>
      <c r="B12" s="635"/>
      <c r="C12" s="66"/>
      <c r="D12" s="8"/>
      <c r="H12" s="6"/>
      <c r="L12" s="6"/>
    </row>
    <row r="13" spans="1:16" ht="12.75" customHeight="1" x14ac:dyDescent="0.2">
      <c r="A13" s="188"/>
      <c r="B13" s="64"/>
      <c r="C13" s="164"/>
      <c r="D13" s="8"/>
      <c r="E13" s="8"/>
      <c r="F13" s="8"/>
      <c r="G13" s="6"/>
      <c r="H13" s="6"/>
      <c r="L13" s="6"/>
    </row>
    <row r="14" spans="1:16" ht="12.75" customHeight="1" x14ac:dyDescent="0.2">
      <c r="A14" s="10"/>
      <c r="B14" s="8"/>
      <c r="C14" s="12"/>
      <c r="D14" s="8"/>
      <c r="E14" s="8"/>
      <c r="F14" s="8"/>
      <c r="G14" s="6"/>
      <c r="H14" s="6"/>
      <c r="L14" s="6"/>
    </row>
    <row r="15" spans="1:16" ht="12.75" customHeight="1" x14ac:dyDescent="0.2">
      <c r="A15" s="7"/>
      <c r="B15" s="8"/>
      <c r="C15" s="12"/>
      <c r="D15" s="8"/>
      <c r="E15" s="8"/>
      <c r="F15" s="8"/>
      <c r="G15" s="6"/>
      <c r="H15" s="6"/>
      <c r="I15" s="638" t="s">
        <v>993</v>
      </c>
      <c r="L15" s="6"/>
    </row>
    <row r="16" spans="1:16" ht="12.75" customHeight="1" x14ac:dyDescent="0.2">
      <c r="A16" s="7"/>
      <c r="B16" s="8"/>
      <c r="C16" s="12"/>
      <c r="D16" s="8"/>
      <c r="E16" s="8"/>
      <c r="F16" s="8"/>
      <c r="G16" s="6"/>
      <c r="H16" s="6"/>
      <c r="I16" s="638"/>
      <c r="L16" s="6"/>
    </row>
    <row r="17" spans="1:12" ht="14.25" customHeight="1" x14ac:dyDescent="0.2">
      <c r="A17" s="7"/>
      <c r="B17" s="8"/>
      <c r="C17" s="27"/>
      <c r="D17" s="8"/>
      <c r="E17" s="8"/>
      <c r="F17" s="8"/>
      <c r="G17" s="6"/>
      <c r="H17" s="6"/>
      <c r="I17" s="639" t="s">
        <v>994</v>
      </c>
      <c r="L17" s="6"/>
    </row>
    <row r="18" spans="1:12" ht="14.25" customHeight="1" x14ac:dyDescent="0.2">
      <c r="A18" s="7"/>
      <c r="B18" s="8"/>
      <c r="C18" s="27"/>
      <c r="D18" s="8"/>
      <c r="E18" s="8"/>
      <c r="F18" s="8"/>
      <c r="G18" s="6"/>
      <c r="H18" s="6"/>
      <c r="I18" s="639"/>
      <c r="L18" s="6"/>
    </row>
    <row r="19" spans="1:12" ht="14.25" customHeight="1" x14ac:dyDescent="0.2">
      <c r="A19" s="509" t="s">
        <v>1021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">
      <c r="A21" s="7"/>
      <c r="B21" s="8"/>
      <c r="C21" s="8"/>
      <c r="D21" s="13"/>
      <c r="E21" s="8"/>
      <c r="F21" s="6"/>
      <c r="G21" s="134" t="str">
        <f>+Faworyt!G23</f>
        <v>partnerská zľava:</v>
      </c>
      <c r="H21" s="6"/>
      <c r="L21" s="6"/>
    </row>
    <row r="22" spans="1:12" ht="12.75" customHeight="1" x14ac:dyDescent="0.2">
      <c r="A22" s="131" t="str">
        <f>+Faworyt!A24</f>
        <v>Objednávacie kódy, ceny:</v>
      </c>
      <c r="B22" s="8"/>
      <c r="C22" s="8"/>
      <c r="D22" s="8"/>
      <c r="E22" s="8"/>
      <c r="F22" s="6"/>
      <c r="G22" s="120">
        <f>profil!C15</f>
        <v>0</v>
      </c>
      <c r="H22" s="6" t="s">
        <v>57</v>
      </c>
      <c r="L22" s="6"/>
    </row>
    <row r="23" spans="1:12" s="82" customFormat="1" ht="12.75" customHeight="1" x14ac:dyDescent="0.2">
      <c r="A23" s="80"/>
      <c r="B23" s="81" t="str">
        <f>+Faworyt!B25</f>
        <v>kód</v>
      </c>
      <c r="C23" s="81" t="str">
        <f>+Faworyt!C25</f>
        <v>názov</v>
      </c>
      <c r="D23" s="81" t="str">
        <f>+Faworyt!D25</f>
        <v>ks</v>
      </c>
      <c r="E23" s="81" t="str">
        <f>+Faworyt!E25</f>
        <v>cena/ks</v>
      </c>
      <c r="F23" s="18" t="str">
        <f>+Faworyt!F25</f>
        <v>cena celkom</v>
      </c>
      <c r="G23" s="18" t="str">
        <f>+Faworyt!G25</f>
        <v>celkom netto:</v>
      </c>
      <c r="H23" s="18"/>
      <c r="I23" s="18" t="str">
        <f>texty!A29</f>
        <v>Poznámka:</v>
      </c>
      <c r="J23" s="18"/>
      <c r="L23" s="18"/>
    </row>
    <row r="24" spans="1:12" ht="12.75" customHeight="1" x14ac:dyDescent="0.2">
      <c r="A24" s="7" t="str">
        <f>+Faworyt!A26</f>
        <v>Horný profil:</v>
      </c>
      <c r="B24" s="8" t="e">
        <f>+VLOOKUP(O8,data!$C$196:$D$235,2,0)</f>
        <v>#N/A</v>
      </c>
      <c r="C24" s="38" t="e">
        <f>+VLOOKUP(B24,cennik!$A:$G,2,FALSE)</f>
        <v>#N/A</v>
      </c>
      <c r="D24" s="8">
        <v>1</v>
      </c>
      <c r="E24" s="207" t="e">
        <f>+VLOOKUP(B24,cennik!$A:$G,3,FALSE)</f>
        <v>#N/A</v>
      </c>
      <c r="F24" s="91" t="e">
        <f>+E24*D24</f>
        <v>#N/A</v>
      </c>
      <c r="G24" s="92" t="e">
        <f>+F24*(100-$G$22)/100</f>
        <v>#N/A</v>
      </c>
      <c r="H24" s="6" t="str">
        <f>cennik!$B$2</f>
        <v>EUR</v>
      </c>
      <c r="I24" s="469" t="str">
        <f>IFERROR(IF((VLOOKUP(B24,cennik!A:L,12,0))="O",texty!$A$250,""),"")</f>
        <v/>
      </c>
      <c r="J24" s="191" t="e">
        <f>IF(D24&gt;0,IF(VLOOKUP(B24,cennik!A:L,12,FALSE)="O",1,""),"")</f>
        <v>#N/A</v>
      </c>
      <c r="L24" s="6"/>
    </row>
    <row r="25" spans="1:12" ht="12.75" customHeight="1" x14ac:dyDescent="0.2">
      <c r="A25" s="7" t="str">
        <f>+Faworyt!A27</f>
        <v>spodný profil:</v>
      </c>
      <c r="B25" s="8" t="e">
        <f>+VLOOKUP(O6,data!$C$4:$D$83,2,0)</f>
        <v>#N/A</v>
      </c>
      <c r="C25" s="38" t="e">
        <f>+VLOOKUP(B25,cennik!$A:$G,2,FALSE)</f>
        <v>#N/A</v>
      </c>
      <c r="D25" s="8">
        <v>1</v>
      </c>
      <c r="E25" s="207" t="e">
        <f>+VLOOKUP(B25,cennik!$A:$G,3,FALSE)</f>
        <v>#N/A</v>
      </c>
      <c r="F25" s="91" t="e">
        <f>+E25*D25</f>
        <v>#N/A</v>
      </c>
      <c r="G25" s="92" t="e">
        <f t="shared" ref="G25:G26" si="0">+F25*(100-$G$22)/100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J25" s="191" t="e">
        <f>IF(D25&gt;0,IF(VLOOKUP(B25,cennik!A:L,12,FALSE)="O",1,""),"")</f>
        <v>#N/A</v>
      </c>
      <c r="L25" s="6"/>
    </row>
    <row r="26" spans="1:12" ht="12.75" customHeight="1" x14ac:dyDescent="0.2">
      <c r="A26" s="72" t="str">
        <f>+Faworyt!A28</f>
        <v>krycí profil (maska):</v>
      </c>
      <c r="B26" s="8" t="e">
        <f>+VLOOKUP(O6,data!$C$105:$D$195,2,0)</f>
        <v>#N/A</v>
      </c>
      <c r="C26" s="25" t="e">
        <f>IF($B$26=data!$D$64,texty!$A$239,+VLOOKUP($B$26,cennik!$A$3:$G$907,2,FALSE))</f>
        <v>#N/A</v>
      </c>
      <c r="D26" s="8">
        <v>1</v>
      </c>
      <c r="E26" s="91" t="e">
        <f>IF(B26=data!$D$73,0,+VLOOKUP(B26,cennik!$A$3:$G$907,3,FALSE))</f>
        <v>#N/A</v>
      </c>
      <c r="F26" s="91" t="e">
        <f t="shared" ref="F26" si="1">+E26*D26</f>
        <v>#N/A</v>
      </c>
      <c r="G26" s="92" t="e">
        <f t="shared" si="0"/>
        <v>#N/A</v>
      </c>
      <c r="H26" s="6" t="str">
        <f>cennik!$B$2</f>
        <v>EUR</v>
      </c>
      <c r="I26" s="469" t="str">
        <f>IFERROR(IF((VLOOKUP(B26,cennik!A:L,12,0))="O",texty!$A$250,""),"")</f>
        <v/>
      </c>
      <c r="J26" s="191" t="e">
        <f>IF(D26&gt;0,IF(VLOOKUP(B26,cennik!A:L,12,FALSE)="O",1,""),"")</f>
        <v>#N/A</v>
      </c>
      <c r="L26" s="6"/>
    </row>
    <row r="27" spans="1:12" ht="12.75" customHeight="1" x14ac:dyDescent="0.2">
      <c r="A27" s="7" t="str">
        <f>+Faworyt!A29</f>
        <v>horný vozík</v>
      </c>
      <c r="B27" s="71">
        <v>228023</v>
      </c>
      <c r="C27" s="38" t="str">
        <f>+VLOOKUP(B27,cennik!$A:$G,2,FALSE)</f>
        <v>SEVROLL 10196 Focus horný vozík 18mm 2ks</v>
      </c>
      <c r="D27" s="17">
        <f>IF((D41+D40)&gt;D4,0,D4-(D40+D41))</f>
        <v>0</v>
      </c>
      <c r="E27" s="207">
        <f>+VLOOKUP(B27,cennik!$A:$G,3,FALSE)</f>
        <v>3.9014199999999999</v>
      </c>
      <c r="F27" s="91">
        <f>+E27*D27</f>
        <v>0</v>
      </c>
      <c r="G27" s="92">
        <f>+F27*(100-$G$22)/100</f>
        <v>0</v>
      </c>
      <c r="H27" s="6" t="str">
        <f>cennik!$B$2</f>
        <v>EUR</v>
      </c>
      <c r="I27" s="469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">
      <c r="A28" s="7" t="str">
        <f>+Faworyt!A30</f>
        <v>spodný vozík</v>
      </c>
      <c r="B28" s="16">
        <f>IF(F4=M63,362316,229440)</f>
        <v>229440</v>
      </c>
      <c r="C28" s="38" t="str">
        <f>+VLOOKUP(B28,cennik!$A:$G,2,FALSE)</f>
        <v>SEVROLL 10198 spodný vozík WD 18C HI-TEC - 2ks</v>
      </c>
      <c r="D28" s="17">
        <f>+D4</f>
        <v>0</v>
      </c>
      <c r="E28" s="207">
        <f>+VLOOKUP(B28,cennik!$A:$G,3,FALSE)</f>
        <v>5.1863999999999999</v>
      </c>
      <c r="F28" s="91">
        <f>+E28*D28</f>
        <v>0</v>
      </c>
      <c r="G28" s="92">
        <f>+F28*(100-$G$22)/100</f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">
      <c r="A29" s="7" t="str">
        <f>+Faworyt!A31</f>
        <v>dorazový kartáč</v>
      </c>
      <c r="B29" s="16">
        <v>89131</v>
      </c>
      <c r="C29" s="38" t="str">
        <f>+VLOOKUP(B29,cennik!$A:$G,2,FALSE)</f>
        <v>SEVROLL dorazový kartáč samolepiaci 6,7x4mm</v>
      </c>
      <c r="D29" s="17">
        <f>CEILING((B4*D4*2/1000),1)</f>
        <v>0</v>
      </c>
      <c r="E29" s="207">
        <f>+VLOOKUP(B29,cennik!$A:$G,3,FALSE)</f>
        <v>0.17854</v>
      </c>
      <c r="F29" s="91">
        <f>+E29*D29</f>
        <v>0</v>
      </c>
      <c r="G29" s="92">
        <f>+F29*(100-$G$22)/100</f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">
      <c r="A30" s="7" t="str">
        <f>+Faworyt!A32</f>
        <v>úchytková lišta</v>
      </c>
      <c r="B30" s="16" t="e">
        <f>+VLOOKUP(P7,data!$C$757:$D$758,2,0)</f>
        <v>#N/A</v>
      </c>
      <c r="C30" s="38" t="e">
        <f>+VLOOKUP(B30,cennik!$A:$G,2,FALSE)</f>
        <v>#N/A</v>
      </c>
      <c r="D30" s="17">
        <f>IF(B9&lt;=1347,D4*2/2,D4*2)</f>
        <v>0</v>
      </c>
      <c r="E30" s="207" t="e">
        <f>+VLOOKUP(B30,cennik!$A:$G,3,FALSE)</f>
        <v>#N/A</v>
      </c>
      <c r="F30" s="91" t="e">
        <f>+E30*D30</f>
        <v>#N/A</v>
      </c>
      <c r="G30" s="92" t="e">
        <f>+F30*(100-$G$22)/100</f>
        <v>#N/A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">
      <c r="A31" s="7"/>
      <c r="B31" s="16"/>
      <c r="C31" s="25"/>
      <c r="D31" s="17"/>
      <c r="E31" s="91"/>
      <c r="F31" s="91"/>
      <c r="G31" s="92"/>
      <c r="H31" s="6"/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">
      <c r="A32" s="131" t="str">
        <f>+Faworyt!A34</f>
        <v>Voliteľné príslušenstvo:</v>
      </c>
      <c r="B32" s="16"/>
      <c r="C32" s="25"/>
      <c r="D32" s="478" t="str">
        <f>+Faworyt!D34</f>
        <v>zadajte počet:</v>
      </c>
      <c r="E32" s="91"/>
      <c r="F32" s="91"/>
      <c r="G32" s="92"/>
      <c r="H32" s="6"/>
      <c r="I32" s="469" t="str">
        <f>IFERROR(IF((VLOOKUP(B32,cennik!A:L,12,0))="O",texty!$A$250,""),"")</f>
        <v/>
      </c>
      <c r="J32" s="191"/>
      <c r="L32" s="6"/>
    </row>
    <row r="33" spans="1:12" ht="12.75" customHeight="1" x14ac:dyDescent="0.2">
      <c r="A33" s="7" t="str">
        <f>texty!$A$88</f>
        <v>pozicionér do horného vedenia</v>
      </c>
      <c r="B33" s="187">
        <v>298035</v>
      </c>
      <c r="C33" s="38" t="str">
        <f>+VLOOKUP(B33,cennik!$A:$G,2,FALSE)</f>
        <v>SEVROLL 20326 Fix pozicionér pre horný vozík transparentný</v>
      </c>
      <c r="D33" s="29"/>
      <c r="E33" s="207">
        <f>+VLOOKUP(B33,cennik!$A:$G,3,FALSE)</f>
        <v>1.0837300000000001</v>
      </c>
      <c r="F33" s="105">
        <f>+E33*D33</f>
        <v>0</v>
      </c>
      <c r="G33" s="104">
        <f t="shared" ref="G33:G55" si="2">+F33*(100-$F$22)/100</f>
        <v>0</v>
      </c>
      <c r="H33" s="6" t="str">
        <f>cennik!$B$2</f>
        <v>EUR</v>
      </c>
      <c r="I33" s="469" t="str">
        <f>IFERROR(IF((VLOOKUP(B33,cennik!A:L,12,0))="O",texty!$A$250,""),"")</f>
        <v/>
      </c>
      <c r="J33" s="191" t="str">
        <f>IF(D33&gt;0,IF(VLOOKUP(B33,cennik!A:L,12,FALSE)="O",1,""),"")</f>
        <v/>
      </c>
      <c r="K33" s="5"/>
      <c r="L33" s="6"/>
    </row>
    <row r="34" spans="1:12" ht="12.75" customHeight="1" x14ac:dyDescent="0.2">
      <c r="A34" s="7" t="str">
        <f>texty!$A$111</f>
        <v xml:space="preserve">pozicionér </v>
      </c>
      <c r="B34" s="16">
        <f>IF(F4="Gemini",387424,89063)</f>
        <v>89063</v>
      </c>
      <c r="C34" s="38" t="str">
        <f>+VLOOKUP(B34,cennik!$A:$G,2,FALSE)</f>
        <v>SEVROLL 20080 pozicionér spodného vozíka HI-TEC</v>
      </c>
      <c r="D34" s="29"/>
      <c r="E34" s="207">
        <f>+VLOOKUP(B34,cennik!$A:$G,3,FALSE)</f>
        <v>0.30964000000000003</v>
      </c>
      <c r="F34" s="105">
        <f t="shared" ref="F34:F55" si="3">+E34*D34</f>
        <v>0</v>
      </c>
      <c r="G34" s="104">
        <f t="shared" si="2"/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">
      <c r="A35" s="422" t="str">
        <f>texty!$A$228</f>
        <v> Tlmič dorazu MINI do 25 kg (pár)</v>
      </c>
      <c r="B35" s="16">
        <v>318662</v>
      </c>
      <c r="C35" s="25" t="str">
        <f>+VLOOKUP(B35,cennik!$A:$G,2,FALSE)</f>
        <v>SEVROLL 20368-SV tlmič dorazu Mini SV25 (14-25kg)</v>
      </c>
      <c r="D35" s="373"/>
      <c r="E35" s="91">
        <f>+VLOOKUP(B35,cennik!$A:$G,3,FALSE)</f>
        <v>22.75825</v>
      </c>
      <c r="F35" s="96">
        <f>+CEILING(D35,1)*E35</f>
        <v>0</v>
      </c>
      <c r="G35" s="104">
        <f t="shared" si="2"/>
        <v>0</v>
      </c>
      <c r="H35" s="24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">
      <c r="A36" s="422" t="str">
        <f>texty!$A$229</f>
        <v> Tlmič dorazu MINI do 40 kg (pár)</v>
      </c>
      <c r="B36" s="24">
        <v>283956</v>
      </c>
      <c r="C36" s="25" t="str">
        <f>+VLOOKUP(B36,cennik!$A:$G,2,FALSE)</f>
        <v>SEVROLL 20258-SV tlmič dorazu Mini SV40 (25 - 40kg)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2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">
      <c r="A37" s="422" t="str">
        <f>texty!$A$230</f>
        <v> Tlmič dorazu MINI do 60 kg (pár)</v>
      </c>
      <c r="B37" s="24">
        <v>351743</v>
      </c>
      <c r="C37" s="25" t="str">
        <f>+VLOOKUP(B37,cennik!$A:$G,2,FALSE)</f>
        <v>SEVROLL 20339-SV tlmič dorazu Mini SV60 (40 - 60kg)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2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">
      <c r="A38" s="422" t="str">
        <f>texty!$A$231</f>
        <v> Tlmič pre stredné krídlo do 25 kg</v>
      </c>
      <c r="B38" s="24">
        <v>318663</v>
      </c>
      <c r="C38" s="25" t="str">
        <f>+VLOOKUP(B38,cennik!$A:$G,2,FALSE)</f>
        <v>SEVROLL 20363-SV tlmič Central 10/18mm obojstranný 25kg</v>
      </c>
      <c r="D38" s="373"/>
      <c r="E38" s="91">
        <f>+VLOOKUP(B38,cennik!$A:$G,3,FALSE)</f>
        <v>48.741869999999999</v>
      </c>
      <c r="F38" s="96">
        <f>+CEILING(D38,1)*E38</f>
        <v>0</v>
      </c>
      <c r="G38" s="104">
        <f t="shared" si="2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">
      <c r="A39" s="422" t="str">
        <f>texty!$A$232</f>
        <v> Tlmič pre stredné krídlo do 40 kg</v>
      </c>
      <c r="B39" s="24">
        <v>283955</v>
      </c>
      <c r="C39" s="25" t="str">
        <f>+VLOOKUP(B39,cennik!$A:$G,2,FALSE)</f>
        <v>SEVROLL 20319-SV tlmič Central 10/18mm obojstranný 25-40kg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2"/>
        <v>0</v>
      </c>
      <c r="H39" s="24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">
      <c r="A40" s="7" t="str">
        <f>texty!$A$97</f>
        <v>tlmič dorazu (pár) 25 kg</v>
      </c>
      <c r="B40" s="24">
        <v>227185</v>
      </c>
      <c r="C40" s="38" t="str">
        <f>+VLOOKUP(B40,cennik!$A:$G,2,FALSE)</f>
        <v>K-SEVROLL tlmič dorazu 10/18mm 14-25kg L+P</v>
      </c>
      <c r="D40" s="29"/>
      <c r="E40" s="207">
        <f>+VLOOKUP(B40,cennik!$A:$G,3,FALSE)</f>
        <v>0</v>
      </c>
      <c r="F40" s="105">
        <f>+E40*D40</f>
        <v>0</v>
      </c>
      <c r="G40" s="104">
        <f t="shared" si="2"/>
        <v>0</v>
      </c>
      <c r="H40" s="6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">
      <c r="A41" s="7" t="str">
        <f>texty!$A$98</f>
        <v>tlmič dorazu (pár) 50 kg</v>
      </c>
      <c r="B41" s="24">
        <v>227187</v>
      </c>
      <c r="C41" s="38" t="str">
        <f>+VLOOKUP(B41,cennik!$A:$G,2,FALSE)</f>
        <v>K-SEVROLL tlmič dorazu 10/18mm 25-50kg L+P</v>
      </c>
      <c r="D41" s="29"/>
      <c r="E41" s="207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3"/>
    </row>
    <row r="42" spans="1:12" ht="12.75" customHeight="1" x14ac:dyDescent="0.2">
      <c r="A42" s="7" t="str">
        <f>texty!$A$196</f>
        <v>Spona dorazovej kefky</v>
      </c>
      <c r="B42" s="16">
        <v>223569</v>
      </c>
      <c r="C42" s="38" t="str">
        <f>+VLOOKUP(B42,cennik!$A:$G,2,FALSE)</f>
        <v>SEVROLL 20223 spona dorazovej kefky</v>
      </c>
      <c r="D42" s="29"/>
      <c r="E42" s="207">
        <f>+VLOOKUP(B42,cennik!$A:$G,3,FALSE)</f>
        <v>7.1209999999999996E-2</v>
      </c>
      <c r="F42" s="105">
        <f t="shared" si="3"/>
        <v>0</v>
      </c>
      <c r="G42" s="104">
        <f t="shared" si="2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">
      <c r="A43" s="145" t="str">
        <f>texty!$A$114</f>
        <v>spojovací profil H18-3metre</v>
      </c>
      <c r="B43" s="16" t="e">
        <f>+VLOOKUP($P$7,data!$C$537:$D$547,2,0)</f>
        <v>#N/A</v>
      </c>
      <c r="C43" s="38" t="e">
        <f>+VLOOKUP(B43,cennik!$A:$G,2,FALSE)</f>
        <v>#N/A</v>
      </c>
      <c r="D43" s="29"/>
      <c r="E43" s="207" t="e">
        <f>+VLOOKUP(B43,cennik!$A:$G,3,FALSE)</f>
        <v>#N/A</v>
      </c>
      <c r="F43" s="105" t="e">
        <f t="shared" si="3"/>
        <v>#N/A</v>
      </c>
      <c r="G43" s="104" t="e">
        <f t="shared" si="2"/>
        <v>#N/A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">
      <c r="A44" s="145" t="str">
        <f>texty!$A$115</f>
        <v>spojovací T profil - 3metre /s drážkou/</v>
      </c>
      <c r="B44" s="16" t="e">
        <f>+VLOOKUP($P$7,data!$C$548:$D$557,2,0)</f>
        <v>#N/A</v>
      </c>
      <c r="C44" s="38" t="e">
        <f>IF(B44=data!$D$64,texty!$A$239,+VLOOKUP(B44,cennik!$A$3:$G$907,2,FALSE))</f>
        <v>#N/A</v>
      </c>
      <c r="D44" s="29"/>
      <c r="E44" s="91" t="e">
        <f>IF(B44=data!$D$73,0,+VLOOKUP(B44,cennik!$A$3:$G$907,3,FALSE))</f>
        <v>#N/A</v>
      </c>
      <c r="F44" s="91" t="e">
        <f t="shared" si="3"/>
        <v>#N/A</v>
      </c>
      <c r="G44" s="104" t="e">
        <f t="shared" si="2"/>
        <v>#N/A</v>
      </c>
      <c r="H44" s="24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">
      <c r="A45" s="145" t="str">
        <f>texty!$A$116</f>
        <v>spojovací T profil - 3metre /s lemom/</v>
      </c>
      <c r="B45" s="16" t="e">
        <f>+VLOOKUP($P$7,data!$C$558:$D$567,2,0)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 t="shared" si="3"/>
        <v>#N/A</v>
      </c>
      <c r="G45" s="104" t="e">
        <f t="shared" si="2"/>
        <v>#N/A</v>
      </c>
      <c r="H45" s="24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">
      <c r="A46" s="145" t="str">
        <f>texty!$A$117</f>
        <v>"U" profil na DTD 18mm - 3 metre /hladký/</v>
      </c>
      <c r="B46" s="6" t="e">
        <f>+VLOOKUP($P$7,data!$C$568:$D$578,2,0)</f>
        <v>#N/A</v>
      </c>
      <c r="C46" s="38" t="e">
        <f>+VLOOKUP(B46,cennik!$A:$G,2,FALSE)</f>
        <v>#N/A</v>
      </c>
      <c r="D46" s="29"/>
      <c r="E46" s="207" t="e">
        <f>+VLOOKUP(B46,cennik!$A:$G,3,FALSE)</f>
        <v>#N/A</v>
      </c>
      <c r="F46" s="105" t="e">
        <f t="shared" si="3"/>
        <v>#N/A</v>
      </c>
      <c r="G46" s="104" t="e">
        <f t="shared" si="2"/>
        <v>#N/A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">
      <c r="A47" s="145" t="str">
        <f>texty!$A$118</f>
        <v>"U" profil na DTD 18mm - 3 metre /lem/</v>
      </c>
      <c r="B47" s="16" t="e">
        <f>+VLOOKUP($P$7,data!$C$578:$D$588,2,0)</f>
        <v>#N/A</v>
      </c>
      <c r="C47" s="38" t="e">
        <f>IF(B47=data!$D$64,texty!$A$239,+VLOOKUP(B47,cennik!$A$3:$G$907,2,FALSE))</f>
        <v>#N/A</v>
      </c>
      <c r="D47" s="29"/>
      <c r="E47" s="91" t="e">
        <f>IF(B47=data!$D$73,0,+VLOOKUP(B47,cennik!$A$3:$G$907,3,FALSE))</f>
        <v>#N/A</v>
      </c>
      <c r="F47" s="91" t="e">
        <f t="shared" si="3"/>
        <v>#N/A</v>
      </c>
      <c r="G47" s="104" t="e">
        <f t="shared" si="2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">
      <c r="A48" s="145" t="str">
        <f>texty!$A$119</f>
        <v>uholník mini 11x17mm - 1,7m</v>
      </c>
      <c r="B48" s="6" t="e">
        <f>+VLOOKUP($P$7,data!$C$589:$D$599,2,0)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>+E48*D48</f>
        <v>#N/A</v>
      </c>
      <c r="G48" s="104" t="e">
        <f t="shared" si="2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6"/>
    </row>
    <row r="49" spans="1:14" ht="12.75" customHeight="1" x14ac:dyDescent="0.2">
      <c r="A49" s="145" t="str">
        <f>texty!$A$120</f>
        <v>uholník mini 11x17mm - 2,35m</v>
      </c>
      <c r="B49" s="6" t="e">
        <f>+VLOOKUP($P$7,data!$C$600:$D$610,2,0)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>+E49*D49</f>
        <v>#N/A</v>
      </c>
      <c r="G49" s="104" t="e">
        <f t="shared" si="2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4" ht="12.75" customHeight="1" x14ac:dyDescent="0.2">
      <c r="A50" s="145" t="str">
        <f>texty!$A$121</f>
        <v>uholník mini 11x17mm - 3m</v>
      </c>
      <c r="B50" s="15" t="e">
        <f>+VLOOKUP($P$7,data!$C$611:$D$621,2,0)</f>
        <v>#N/A</v>
      </c>
      <c r="C50" s="38" t="e">
        <f>IF(B50=data!$D$64,texty!$A$239,+VLOOKUP(B50,cennik!$A$3:$G$907,2,FALSE))</f>
        <v>#N/A</v>
      </c>
      <c r="D50" s="29"/>
      <c r="E50" s="91" t="e">
        <f>IF(B50=data!$D$73,0,+VLOOKUP(B50,cennik!$A$3:$G$907,3,FALSE))</f>
        <v>#N/A</v>
      </c>
      <c r="F50" s="91" t="e">
        <f>+E50*D50</f>
        <v>#N/A</v>
      </c>
      <c r="G50" s="104" t="e">
        <f t="shared" si="2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</row>
    <row r="51" spans="1:14" ht="12.75" customHeight="1" x14ac:dyDescent="0.2">
      <c r="A51" s="145" t="str">
        <f>texty!$A$122</f>
        <v>uholník K2 19x18mm - 1,7m</v>
      </c>
      <c r="B51" s="24" t="e">
        <f>+VLOOKUP($P$7,data!$C$622:$D$631,2,0)</f>
        <v>#N/A</v>
      </c>
      <c r="C51" s="38" t="e">
        <f>IF(B51=data!$D$64,texty!$A$239,+VLOOKUP(B51,cennik!$A$3:$G$907,2,FALSE))</f>
        <v>#N/A</v>
      </c>
      <c r="D51" s="29"/>
      <c r="E51" s="91" t="e">
        <f>IF(B51=data!$D$73,0,+VLOOKUP(B51,cennik!$A$3:$G$907,3,FALSE))</f>
        <v>#N/A</v>
      </c>
      <c r="F51" s="91" t="e">
        <f>+E51*D51</f>
        <v>#N/A</v>
      </c>
      <c r="G51" s="104" t="e">
        <f t="shared" si="2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  <c r="L51" s="6"/>
    </row>
    <row r="52" spans="1:14" ht="12.75" customHeight="1" x14ac:dyDescent="0.2">
      <c r="A52" s="145" t="str">
        <f>texty!$A$123</f>
        <v>uholník K2 19x18mm - 2,35m</v>
      </c>
      <c r="B52" s="16" t="e">
        <f>+VLOOKUP($P$7,data!$C$632:$D$641,2,0)</f>
        <v>#N/A</v>
      </c>
      <c r="C52" s="38" t="e">
        <f>IF(B52=data!$D$64,texty!$A$239,+VLOOKUP(B52,cennik!$A$3:$G$907,2,FALSE))</f>
        <v>#N/A</v>
      </c>
      <c r="D52" s="30"/>
      <c r="E52" s="91" t="e">
        <f>IF(B52=data!$D$73,0,+VLOOKUP(B52,cennik!$A$3:$G$907,3,FALSE))</f>
        <v>#N/A</v>
      </c>
      <c r="F52" s="91" t="e">
        <f t="shared" si="3"/>
        <v>#N/A</v>
      </c>
      <c r="G52" s="104" t="e">
        <f t="shared" si="2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  <c r="L52" s="6"/>
    </row>
    <row r="53" spans="1:14" ht="12.75" customHeight="1" x14ac:dyDescent="0.2">
      <c r="A53" s="145" t="str">
        <f>texty!$A$124</f>
        <v>uholník K2 19x18mm - 3,00m</v>
      </c>
      <c r="B53" s="16" t="e">
        <f>+VLOOKUP($P$7,data!$C$642:$D$651,2,0)</f>
        <v>#N/A</v>
      </c>
      <c r="C53" s="38" t="e">
        <f>IF(B53=data!$D$64,texty!$A$239,+VLOOKUP(B53,cennik!$A$3:$G$907,2,FALSE))</f>
        <v>#N/A</v>
      </c>
      <c r="D53" s="30"/>
      <c r="E53" s="91" t="e">
        <f>IF(B53=data!$D$73,0,+VLOOKUP(B53,cennik!$A$3:$G$907,3,FALSE))</f>
        <v>#N/A</v>
      </c>
      <c r="F53" s="91" t="e">
        <f t="shared" si="3"/>
        <v>#N/A</v>
      </c>
      <c r="G53" s="104" t="e">
        <f t="shared" si="2"/>
        <v>#N/A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4" ht="12.75" customHeight="1" x14ac:dyDescent="0.2">
      <c r="A54" s="422" t="str">
        <f>texty!$A$240</f>
        <v>zámok posuvných dverí</v>
      </c>
      <c r="B54" s="24">
        <v>216363</v>
      </c>
      <c r="C54" s="38" t="str">
        <f>+VLOOKUP(B54,cennik!$A:$G,2,FALSE)</f>
        <v>SEVROLL 20356 zámok na posuvné dvere 10/18mm</v>
      </c>
      <c r="D54" s="29"/>
      <c r="E54" s="207">
        <f>+VLOOKUP(B54,cennik!$A:$G,3,FALSE)</f>
        <v>15.72176</v>
      </c>
      <c r="F54" s="105">
        <f t="shared" si="3"/>
        <v>0</v>
      </c>
      <c r="G54" s="104">
        <f t="shared" si="2"/>
        <v>0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4" ht="12.75" customHeight="1" x14ac:dyDescent="0.2">
      <c r="A55" s="7" t="str">
        <f>texty!$A$112</f>
        <v>protiprachový kartáč samolepiaci</v>
      </c>
      <c r="B55" s="24">
        <v>308639</v>
      </c>
      <c r="C55" s="25" t="str">
        <f>+VLOOKUP(B55,cennik!$A:$G,2,FALSE)</f>
        <v>SEVROLL protiprachový kartáč samolep. 6,7x13mm</v>
      </c>
      <c r="D55" s="29"/>
      <c r="E55" s="207">
        <f>+VLOOKUP(B55,cennik!$A:$G,3,FALSE)</f>
        <v>0.29721999999999998</v>
      </c>
      <c r="F55" s="105">
        <f t="shared" si="3"/>
        <v>0</v>
      </c>
      <c r="G55" s="104">
        <f t="shared" si="2"/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">
      <c r="A56" s="7"/>
      <c r="B56" s="24"/>
      <c r="C56" s="25"/>
      <c r="D56" s="207"/>
      <c r="E56" s="207"/>
      <c r="F56" s="105"/>
      <c r="G56" s="104"/>
      <c r="H56" s="6"/>
      <c r="I56" s="181"/>
      <c r="J56" s="191"/>
      <c r="K56" s="5"/>
      <c r="L56" s="6"/>
    </row>
    <row r="57" spans="1:14" ht="15" x14ac:dyDescent="0.2">
      <c r="A57" s="271" t="str">
        <f>texty!$A$190</f>
        <v>Ďalšie príslušenstvo</v>
      </c>
      <c r="B57" s="272"/>
      <c r="C57" s="272"/>
      <c r="D57" s="272"/>
      <c r="E57" s="272"/>
      <c r="F57" s="272"/>
      <c r="G57" s="272"/>
      <c r="H57" s="272"/>
      <c r="I57" s="272"/>
      <c r="J57" s="272"/>
      <c r="K57" s="134"/>
      <c r="L57" s="6"/>
    </row>
    <row r="58" spans="1:14" ht="12.75" customHeight="1" x14ac:dyDescent="0.2">
      <c r="A58" s="271" t="str">
        <f>texty!$A$244</f>
        <v>Technický nákres tohoto systému</v>
      </c>
      <c r="C58" s="40"/>
      <c r="D58" s="78" t="str">
        <f>+Faworyt!D61</f>
        <v>CELKOM  (bez DPH)</v>
      </c>
      <c r="E58" s="115"/>
      <c r="F58" s="116" t="e">
        <f>SUM(F24:F55)</f>
        <v>#N/A</v>
      </c>
      <c r="G58" s="116" t="e">
        <f>SUM(G24:G55)</f>
        <v>#N/A</v>
      </c>
      <c r="H58" s="6" t="str">
        <f>cennik!$B$2</f>
        <v>EUR</v>
      </c>
      <c r="I58" s="5"/>
      <c r="L58" s="6"/>
    </row>
    <row r="59" spans="1:14" ht="12.75" customHeight="1" x14ac:dyDescent="0.2">
      <c r="A59" s="75" t="str">
        <f>System10!$A$67</f>
        <v>Vaša poznámka:</v>
      </c>
      <c r="B59" s="661"/>
      <c r="C59" s="662"/>
      <c r="D59" s="662"/>
      <c r="E59" s="662"/>
      <c r="F59" s="662"/>
      <c r="G59" s="663"/>
      <c r="H59" s="6"/>
      <c r="L59" s="6"/>
    </row>
    <row r="60" spans="1:14" ht="12.75" customHeight="1" x14ac:dyDescent="0.2">
      <c r="A60" s="659">
        <f>profil!$U$15</f>
        <v>0</v>
      </c>
      <c r="B60" s="649"/>
      <c r="C60" s="649"/>
      <c r="D60" s="649"/>
      <c r="E60" s="649"/>
      <c r="F60" s="649"/>
      <c r="G60" s="649"/>
      <c r="H60" s="649"/>
      <c r="L60" s="6"/>
    </row>
    <row r="61" spans="1:14" ht="12.75" customHeight="1" x14ac:dyDescent="0.2">
      <c r="A61" s="650">
        <f>IF(N61=1,texty!$A$215,IF(J61&gt;0,texty!$A$214,""))</f>
        <v>0</v>
      </c>
      <c r="B61" s="650"/>
      <c r="C61" s="650"/>
      <c r="D61" s="650"/>
      <c r="E61" s="650"/>
      <c r="F61" s="650"/>
      <c r="G61" s="650"/>
      <c r="H61" s="650"/>
      <c r="J61" s="6" t="e">
        <f>SUM(J24:J55)</f>
        <v>#N/A</v>
      </c>
      <c r="L61" s="6"/>
      <c r="N61" s="5">
        <f>IF(ISERROR(J61),1,0)</f>
        <v>1</v>
      </c>
    </row>
    <row r="62" spans="1:14" ht="12.75" customHeight="1" x14ac:dyDescent="0.2">
      <c r="A62" s="63"/>
      <c r="J62" s="49"/>
      <c r="L62" s="6"/>
    </row>
    <row r="63" spans="1:14" ht="12.75" customHeight="1" x14ac:dyDescent="0.2">
      <c r="L63" s="5" t="str">
        <f>texty!A128</f>
        <v xml:space="preserve">strieborná </v>
      </c>
      <c r="M63" s="21" t="s">
        <v>987</v>
      </c>
    </row>
    <row r="64" spans="1:14" ht="12.75" customHeight="1" x14ac:dyDescent="0.2">
      <c r="L64" s="5" t="str">
        <f>texty!A130</f>
        <v>oliva</v>
      </c>
      <c r="M64" s="21" t="s">
        <v>43</v>
      </c>
    </row>
    <row r="65" ht="12.75" customHeight="1" x14ac:dyDescent="0.2"/>
    <row r="66" ht="12.75" customHeight="1" x14ac:dyDescent="0.2"/>
    <row r="67" ht="12.75" customHeight="1" x14ac:dyDescent="0.2"/>
  </sheetData>
  <sheetProtection algorithmName="SHA-512" hashValue="iUaKWiL1IDWS3/n03mKrLIk2ANvky0nleoX/K5aHl7rvNTOCW+KTZAba3gjWEzCh3qzEgfG4ZhJqvTEgFFoelw==" saltValue="g8iGyRH7/Vr8kKf+9UaYRQ==" spinCount="100000" sheet="1" objects="1" scenarios="1" selectLockedCells="1"/>
  <mergeCells count="8">
    <mergeCell ref="A61:H61"/>
    <mergeCell ref="B5:E5"/>
    <mergeCell ref="A60:H60"/>
    <mergeCell ref="B59:G59"/>
    <mergeCell ref="G4:I7"/>
    <mergeCell ref="I15:I16"/>
    <mergeCell ref="I17:I18"/>
    <mergeCell ref="A11:B12"/>
  </mergeCells>
  <conditionalFormatting sqref="A11">
    <cfRule type="expression" dxfId="69" priority="3">
      <formula>SUM($D$38:$D$39)&gt;0</formula>
    </cfRule>
  </conditionalFormatting>
  <conditionalFormatting sqref="D6">
    <cfRule type="expression" dxfId="67" priority="7">
      <formula>$D$4=4</formula>
    </cfRule>
    <cfRule type="expression" dxfId="66" priority="8">
      <formula>$D$4&lt;&gt;4</formula>
    </cfRule>
  </conditionalFormatting>
  <conditionalFormatting sqref="G4">
    <cfRule type="expression" dxfId="65" priority="6">
      <formula>$D$4=4</formula>
    </cfRule>
  </conditionalFormatting>
  <conditionalFormatting sqref="I15:I16">
    <cfRule type="expression" dxfId="64" priority="4">
      <formula>$F$4=$M$64</formula>
    </cfRule>
  </conditionalFormatting>
  <conditionalFormatting sqref="I17:I18">
    <cfRule type="expression" dxfId="6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:F6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4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6.7109375" style="5" customWidth="1"/>
    <col min="2" max="2" width="15.7109375" style="5" customWidth="1"/>
    <col min="3" max="3" width="46.42578125" style="5" bestFit="1" customWidth="1"/>
    <col min="4" max="4" width="14.140625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-4.3</v>
      </c>
    </row>
    <row r="2" spans="1:16" ht="18.75" customHeight="1" x14ac:dyDescent="0.2">
      <c r="A2" s="523" t="s">
        <v>746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",5,".",67)</f>
        <v>katalóg kovania 2018 str. 5.67</v>
      </c>
      <c r="B3" s="420" t="str">
        <f>CONCATENATE(texty!A34," / max.         2 742 mm /")</f>
        <v>výška / max.         2 742 mm /</v>
      </c>
      <c r="C3" s="421" t="str">
        <f>CONCATENATE(texty!A35," / max 6 000 mm /")</f>
        <v>šírka / max 6 000 mm /</v>
      </c>
      <c r="D3" s="9" t="str">
        <f>+Faworyt!D3</f>
        <v>počet dverí:</v>
      </c>
      <c r="E3" s="9" t="str">
        <f>+Faworyt!E3</f>
        <v>farba</v>
      </c>
      <c r="F3" s="420" t="str">
        <f>texty!A38</f>
        <v>typ spodného vedenia</v>
      </c>
      <c r="G3" s="6"/>
      <c r="H3" s="6"/>
      <c r="L3" s="6"/>
    </row>
    <row r="4" spans="1:16" ht="18" customHeight="1" x14ac:dyDescent="0.2">
      <c r="A4" s="10" t="str">
        <f>+Faworyt!A4</f>
        <v>VNÚTORNÝ ROZMER SKRINE:</v>
      </c>
      <c r="B4" s="56"/>
      <c r="C4" s="56"/>
      <c r="D4" s="22"/>
      <c r="E4" s="22"/>
      <c r="F4" s="458"/>
      <c r="G4" s="647"/>
      <c r="H4" s="647"/>
      <c r="I4" s="647"/>
      <c r="K4" s="190"/>
      <c r="L4" s="8"/>
    </row>
    <row r="5" spans="1:16" ht="18" customHeight="1" x14ac:dyDescent="0.2">
      <c r="A5" s="10"/>
      <c r="B5" s="664" t="str">
        <f>+Faworyt!B5</f>
        <v>vypíšte týchto 5 políčok !!! Údaje v mm</v>
      </c>
      <c r="C5" s="664"/>
      <c r="D5" s="664"/>
      <c r="E5" s="664"/>
      <c r="F5" s="471"/>
      <c r="G5" s="647"/>
      <c r="H5" s="647"/>
      <c r="I5" s="647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M6" s="23" t="str">
        <f>CONCATENATE(M5,"-",E4)</f>
        <v>1700-</v>
      </c>
      <c r="N6" s="21"/>
      <c r="O6" s="23" t="str">
        <f>CONCATENATE(O5,"-",E4,", ",F4)</f>
        <v xml:space="preserve">1700-, </v>
      </c>
    </row>
    <row r="7" spans="1:16" ht="12.75" customHeight="1" x14ac:dyDescent="0.2">
      <c r="A7" s="10" t="str">
        <f>+Faworyt!A7</f>
        <v>krídlo dverí:</v>
      </c>
      <c r="B7" s="67">
        <f>+B4-42</f>
        <v>-42</v>
      </c>
      <c r="C7" s="68" t="e">
        <f>+((C4+17*(D4-1))/D4+IF(AND(D4=4,D6=2),M1,0))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>
        <f>+E4</f>
        <v>0</v>
      </c>
    </row>
    <row r="8" spans="1:16" ht="12.75" customHeight="1" x14ac:dyDescent="0.2">
      <c r="A8" s="10" t="str">
        <f>CONCATENATE(+Faworyt!A8,"")</f>
        <v>rozmer výplne 18mm:</v>
      </c>
      <c r="B8" s="67">
        <f>+B7-2</f>
        <v>-44</v>
      </c>
      <c r="C8" s="497" t="e">
        <f>+C7-7</f>
        <v>#DIV/0!</v>
      </c>
      <c r="D8" s="8"/>
      <c r="E8" s="8"/>
      <c r="F8" s="8"/>
      <c r="G8" s="5" t="str">
        <f>Faworyt!G8</f>
        <v>Maximálna hmotnosť krídla je 50 kg</v>
      </c>
      <c r="H8" s="6"/>
      <c r="L8" s="6"/>
      <c r="O8" s="23" t="str">
        <f>CONCATENATE(O7,"-",E4)</f>
        <v>1700-</v>
      </c>
      <c r="P8" s="21"/>
    </row>
    <row r="9" spans="1:16" ht="12.75" customHeight="1" x14ac:dyDescent="0.2">
      <c r="A9" s="10" t="str">
        <f>texty!$A$51</f>
        <v>Dĺžka úchytkového profilu (+2 mm)</v>
      </c>
      <c r="B9" s="67">
        <f>B8+2</f>
        <v>-42</v>
      </c>
      <c r="C9" s="499"/>
      <c r="D9" s="8"/>
      <c r="E9" s="8"/>
      <c r="F9" s="8"/>
      <c r="G9" s="51"/>
      <c r="H9" s="6"/>
      <c r="L9" s="37"/>
      <c r="M9" s="36"/>
    </row>
    <row r="10" spans="1:16" ht="12.75" customHeight="1" x14ac:dyDescent="0.2">
      <c r="B10" s="486" t="str">
        <f>texty!$A$64</f>
        <v>Pri tejto zostave nie je možné použiť kombináciu so sklom / zrkadlom</v>
      </c>
      <c r="C10" s="85"/>
      <c r="D10" s="8"/>
      <c r="E10" s="8"/>
      <c r="F10" s="8"/>
      <c r="G10" s="49"/>
      <c r="H10" s="6"/>
      <c r="O10" s="17"/>
      <c r="P10" s="21"/>
    </row>
    <row r="11" spans="1:16" ht="25.5" x14ac:dyDescent="0.2">
      <c r="A11" s="635" t="str">
        <f>IF(SUM(D37:D38)&gt;0,texty!A246,"")</f>
        <v/>
      </c>
      <c r="B11" s="635"/>
      <c r="C11" s="500" t="str">
        <f>texty!A78</f>
        <v>dodatočné odpočty výšky vypočítaných výplní pri použití deliacich profilov výplne: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">
      <c r="A12" s="635"/>
      <c r="B12" s="635"/>
      <c r="C12" s="66"/>
      <c r="D12" s="8"/>
      <c r="H12" s="6"/>
      <c r="L12" s="6"/>
    </row>
    <row r="13" spans="1:16" ht="12.75" customHeight="1" x14ac:dyDescent="0.2">
      <c r="A13" s="188"/>
      <c r="B13" s="64"/>
      <c r="C13" s="164"/>
      <c r="D13" s="8"/>
      <c r="E13" s="8"/>
      <c r="F13" s="8"/>
      <c r="G13" s="6"/>
      <c r="H13" s="6"/>
      <c r="L13" s="6"/>
    </row>
    <row r="14" spans="1:16" ht="12.75" customHeight="1" x14ac:dyDescent="0.2">
      <c r="A14" s="10"/>
      <c r="B14" s="8"/>
      <c r="C14" s="12"/>
      <c r="D14" s="8"/>
      <c r="E14" s="8"/>
      <c r="F14" s="8"/>
      <c r="G14" s="6"/>
      <c r="H14" s="6"/>
      <c r="I14" s="638" t="s">
        <v>993</v>
      </c>
      <c r="L14" s="6"/>
    </row>
    <row r="15" spans="1:16" ht="12.75" customHeight="1" x14ac:dyDescent="0.2">
      <c r="A15" s="7"/>
      <c r="B15" s="8"/>
      <c r="C15" s="12"/>
      <c r="D15" s="8"/>
      <c r="E15" s="8"/>
      <c r="F15" s="8"/>
      <c r="G15" s="6"/>
      <c r="H15" s="6"/>
      <c r="I15" s="638"/>
      <c r="L15" s="6"/>
    </row>
    <row r="16" spans="1:16" ht="12.75" customHeight="1" x14ac:dyDescent="0.2">
      <c r="A16" s="7"/>
      <c r="B16" s="8"/>
      <c r="C16" s="12"/>
      <c r="D16" s="8"/>
      <c r="E16" s="8"/>
      <c r="F16" s="8"/>
      <c r="G16" s="6"/>
      <c r="H16" s="6"/>
      <c r="I16" s="639" t="s">
        <v>994</v>
      </c>
      <c r="L16" s="6"/>
    </row>
    <row r="17" spans="1:12" ht="14.25" customHeight="1" x14ac:dyDescent="0.2">
      <c r="B17" s="8"/>
      <c r="C17" s="27"/>
      <c r="D17" s="8"/>
      <c r="E17" s="8"/>
      <c r="F17" s="8"/>
      <c r="G17" s="6"/>
      <c r="H17" s="6"/>
      <c r="I17" s="639"/>
      <c r="L17" s="6"/>
    </row>
    <row r="18" spans="1:12" ht="14.25" customHeight="1" x14ac:dyDescent="0.2">
      <c r="A18" s="7"/>
      <c r="B18" s="8"/>
      <c r="C18" s="27"/>
      <c r="D18" s="8"/>
      <c r="E18" s="8"/>
      <c r="F18" s="8"/>
      <c r="G18" s="6"/>
      <c r="H18" s="6"/>
      <c r="L18" s="6"/>
    </row>
    <row r="19" spans="1:12" ht="14.25" customHeight="1" x14ac:dyDescent="0.2">
      <c r="A19" s="509" t="s">
        <v>1021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">
      <c r="A20" s="7"/>
      <c r="B20" s="8"/>
      <c r="C20" s="8"/>
      <c r="D20" s="13"/>
      <c r="E20" s="8"/>
      <c r="F20" s="6"/>
      <c r="G20" s="134" t="str">
        <f>+Faworyt!G23</f>
        <v>partnerská zľava:</v>
      </c>
      <c r="H20" s="6"/>
      <c r="L20" s="6"/>
    </row>
    <row r="21" spans="1:12" ht="12.75" customHeight="1" x14ac:dyDescent="0.2">
      <c r="A21" s="131" t="str">
        <f>+Faworyt!A24</f>
        <v>Objednávacie kódy, ceny:</v>
      </c>
      <c r="B21" s="8"/>
      <c r="C21" s="8"/>
      <c r="D21" s="8"/>
      <c r="E21" s="8"/>
      <c r="F21" s="6"/>
      <c r="G21" s="120">
        <f>profil!C15</f>
        <v>0</v>
      </c>
      <c r="H21" s="6" t="s">
        <v>57</v>
      </c>
      <c r="L21" s="6"/>
    </row>
    <row r="22" spans="1:12" s="82" customFormat="1" ht="12.75" customHeight="1" x14ac:dyDescent="0.2">
      <c r="A22" s="80"/>
      <c r="B22" s="81" t="str">
        <f>+Faworyt!B25</f>
        <v>kód</v>
      </c>
      <c r="C22" s="81" t="str">
        <f>+Faworyt!C25</f>
        <v>názov</v>
      </c>
      <c r="D22" s="81" t="str">
        <f>+Faworyt!D25</f>
        <v>ks</v>
      </c>
      <c r="E22" s="81" t="str">
        <f>+Faworyt!E25</f>
        <v>cena/ks</v>
      </c>
      <c r="F22" s="18" t="str">
        <f>+Faworyt!F25</f>
        <v>cena celkom</v>
      </c>
      <c r="G22" s="18" t="str">
        <f>+Faworyt!G25</f>
        <v>celkom netto:</v>
      </c>
      <c r="H22" s="18"/>
      <c r="I22" s="18" t="str">
        <f>texty!A29</f>
        <v>Poznámka:</v>
      </c>
      <c r="J22" s="18"/>
      <c r="L22" s="18"/>
    </row>
    <row r="23" spans="1:12" ht="12.75" customHeight="1" x14ac:dyDescent="0.2">
      <c r="A23" s="7" t="str">
        <f>+Faworyt!A26</f>
        <v>Horný profil:</v>
      </c>
      <c r="B23" s="8" t="e">
        <f>+VLOOKUP(O8,data!$C$196:$D$215,2,0)</f>
        <v>#N/A</v>
      </c>
      <c r="C23" s="38" t="e">
        <f>+VLOOKUP(B23,cennik!$A:$G,2,FALSE)</f>
        <v>#N/A</v>
      </c>
      <c r="D23" s="8">
        <v>1</v>
      </c>
      <c r="E23" s="207" t="e">
        <f>+VLOOKUP(B23,cennik!$A:$G,3,FALSE)</f>
        <v>#N/A</v>
      </c>
      <c r="F23" s="91" t="e">
        <f>+E23*D23</f>
        <v>#N/A</v>
      </c>
      <c r="G23" s="92" t="e">
        <f>+F23*(100-$G$21)/100</f>
        <v>#N/A</v>
      </c>
      <c r="H23" s="6" t="str">
        <f>cennik!$B$2</f>
        <v>EUR</v>
      </c>
      <c r="I23" s="469" t="str">
        <f>IFERROR(IF((VLOOKUP(B23,cennik!A:L,12,0))="O",texty!$A$250,""),"")</f>
        <v/>
      </c>
      <c r="J23" s="191" t="e">
        <f>IF(D23&gt;0,IF(VLOOKUP(B23,cennik!A:L,12,FALSE)="O",1,""),"")</f>
        <v>#N/A</v>
      </c>
      <c r="L23" s="6"/>
    </row>
    <row r="24" spans="1:12" ht="12.75" customHeight="1" x14ac:dyDescent="0.2">
      <c r="A24" s="7" t="str">
        <f>+Faworyt!A27</f>
        <v>spodný profil:</v>
      </c>
      <c r="B24" s="8" t="e">
        <f>+VLOOKUP(O6,data!$C$4:$D$83,2,0)</f>
        <v>#N/A</v>
      </c>
      <c r="C24" s="38" t="e">
        <f>+VLOOKUP(B24,cennik!$A:$G,2,FALSE)</f>
        <v>#N/A</v>
      </c>
      <c r="D24" s="8">
        <v>1</v>
      </c>
      <c r="E24" s="207" t="e">
        <f>+VLOOKUP(B24,cennik!$A:$G,3,FALSE)</f>
        <v>#N/A</v>
      </c>
      <c r="F24" s="91" t="e">
        <f>+E24*D24</f>
        <v>#N/A</v>
      </c>
      <c r="G24" s="92" t="e">
        <f t="shared" ref="G24:G25" si="0">+F24*(100-$G$21)/100</f>
        <v>#N/A</v>
      </c>
      <c r="H24" s="6" t="str">
        <f>cennik!$B$2</f>
        <v>EUR</v>
      </c>
      <c r="I24" s="469" t="str">
        <f>IFERROR(IF((VLOOKUP(B24,cennik!A:L,12,0))="O",texty!$A$250,""),"")</f>
        <v/>
      </c>
      <c r="J24" s="191" t="e">
        <f>IF(D24&gt;0,IF(VLOOKUP(B24,cennik!A:L,12,FALSE)="O",1,""),"")</f>
        <v>#N/A</v>
      </c>
      <c r="L24" s="6"/>
    </row>
    <row r="25" spans="1:12" ht="12.75" customHeight="1" x14ac:dyDescent="0.2">
      <c r="A25" s="72" t="str">
        <f>+Faworyt!A28</f>
        <v>krycí profil (maska):</v>
      </c>
      <c r="B25" s="8" t="e">
        <f>+VLOOKUP(O6,data!$C$105:$D$195,2,0)</f>
        <v>#N/A</v>
      </c>
      <c r="C25" s="25" t="e">
        <f>IF($B$25=data!$D$64,texty!$A$239,+VLOOKUP($B$25,cennik!$A$3:$G$907,2,FALSE))</f>
        <v>#N/A</v>
      </c>
      <c r="D25" s="8">
        <v>1</v>
      </c>
      <c r="E25" s="91" t="e">
        <f>IF(B25=data!$D$73,0,+VLOOKUP(B25,cennik!$A$3:$G$907,3,FALSE))</f>
        <v>#N/A</v>
      </c>
      <c r="F25" s="91" t="e">
        <f t="shared" ref="F25" si="1">+E25*D25</f>
        <v>#N/A</v>
      </c>
      <c r="G25" s="92" t="e">
        <f t="shared" si="0"/>
        <v>#N/A</v>
      </c>
      <c r="H25" s="6" t="str">
        <f>cennik!$B$2</f>
        <v>EUR</v>
      </c>
      <c r="I25" s="469" t="str">
        <f>IFERROR(IF((VLOOKUP(B25,cennik!A:L,12,0))="O",texty!$A$250,""),"")</f>
        <v/>
      </c>
      <c r="J25" s="191" t="e">
        <f>IF(D25&gt;0,IF(VLOOKUP(B25,cennik!A:L,12,FALSE)="O",1,""),"")</f>
        <v>#N/A</v>
      </c>
      <c r="L25" s="6"/>
    </row>
    <row r="26" spans="1:12" ht="12.75" customHeight="1" x14ac:dyDescent="0.2">
      <c r="A26" s="7" t="str">
        <f>+Faworyt!A29</f>
        <v>horný vozík</v>
      </c>
      <c r="B26" s="71">
        <v>228023</v>
      </c>
      <c r="C26" s="38" t="str">
        <f>+VLOOKUP(B26,cennik!$A:$G,2,FALSE)</f>
        <v>SEVROLL 10196 Focus horný vozík 18mm 2ks</v>
      </c>
      <c r="D26" s="17">
        <f>IF((D40+D39)&gt;D4,0,D4-(D39+D40))</f>
        <v>0</v>
      </c>
      <c r="E26" s="207">
        <f>+VLOOKUP(B26,cennik!$A:$G,3,FALSE)</f>
        <v>3.9014199999999999</v>
      </c>
      <c r="F26" s="91">
        <f>+E26*D26</f>
        <v>0</v>
      </c>
      <c r="G26" s="92">
        <f>+F26*(100-$G$21)/100</f>
        <v>0</v>
      </c>
      <c r="H26" s="6" t="str">
        <f>cennik!$B$2</f>
        <v>EUR</v>
      </c>
      <c r="I26" s="469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">
      <c r="A27" s="7" t="str">
        <f>+Faworyt!A30</f>
        <v>spodný vozík</v>
      </c>
      <c r="B27" s="16">
        <f>IF(F4=M62,362316,229440)</f>
        <v>229440</v>
      </c>
      <c r="C27" s="38" t="str">
        <f>+VLOOKUP(B27,cennik!$A:$G,2,FALSE)</f>
        <v>SEVROLL 10198 spodný vozík WD 18C HI-TEC - 2ks</v>
      </c>
      <c r="D27" s="17">
        <f>+D4</f>
        <v>0</v>
      </c>
      <c r="E27" s="207">
        <f>+VLOOKUP(B27,cennik!$A:$G,3,FALSE)</f>
        <v>5.1863999999999999</v>
      </c>
      <c r="F27" s="91">
        <f>+E27*D27</f>
        <v>0</v>
      </c>
      <c r="G27" s="92">
        <f>+F27*(100-$G$21)/100</f>
        <v>0</v>
      </c>
      <c r="H27" s="6" t="str">
        <f>cennik!$B$2</f>
        <v>EUR</v>
      </c>
      <c r="I27" s="469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">
      <c r="A28" s="7" t="str">
        <f>+Faworyt!A31</f>
        <v>dorazový kartáč</v>
      </c>
      <c r="B28" s="16">
        <v>229433</v>
      </c>
      <c r="C28" s="38" t="str">
        <f>+VLOOKUP(B28,cennik!$A:$G,2,FALSE)</f>
        <v>SEVROLL dorazová kefa zásuvná 4,8x4mm sivá</v>
      </c>
      <c r="D28" s="17">
        <f>CEILING((B4*D4*2/1000),1)</f>
        <v>0</v>
      </c>
      <c r="E28" s="207">
        <f>+VLOOKUP(B28,cennik!$A:$G,3,FALSE)</f>
        <v>0.13</v>
      </c>
      <c r="F28" s="91">
        <f>+E28*D28</f>
        <v>0</v>
      </c>
      <c r="G28" s="92">
        <f>+F28*(100-$G$21)/100</f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">
      <c r="A29" s="7" t="str">
        <f>+Faworyt!A32</f>
        <v>úchytková lišta</v>
      </c>
      <c r="B29" s="16">
        <v>233428</v>
      </c>
      <c r="C29" s="38" t="str">
        <f>+VLOOKUP(B29,cennik!$A:$G,2,FALSE)</f>
        <v>Sevroll 85003 Fiona II úchytová lišta 2,7m strieborná</v>
      </c>
      <c r="D29" s="17">
        <f>IF(B9&lt;=1285,D4*2/2,D4*2)</f>
        <v>0</v>
      </c>
      <c r="E29" s="207">
        <f>+VLOOKUP(B29,cennik!$A:$G,3,FALSE)</f>
        <v>12.6914</v>
      </c>
      <c r="F29" s="91">
        <f>+E29*D29</f>
        <v>0</v>
      </c>
      <c r="G29" s="92">
        <f>+F29*(100-$G$21)/100</f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">
      <c r="A30" s="7"/>
      <c r="B30" s="16"/>
      <c r="C30" s="25"/>
      <c r="D30" s="17"/>
      <c r="E30" s="91"/>
      <c r="F30" s="91"/>
      <c r="G30" s="92"/>
      <c r="H30" s="6"/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">
      <c r="A31" s="131" t="str">
        <f>+Faworyt!A34</f>
        <v>Voliteľné príslušenstvo:</v>
      </c>
      <c r="B31" s="16"/>
      <c r="C31" s="25"/>
      <c r="D31" s="478" t="str">
        <f>+Faworyt!D34</f>
        <v>zadajte počet:</v>
      </c>
      <c r="E31" s="91"/>
      <c r="F31" s="91"/>
      <c r="G31" s="92"/>
      <c r="H31" s="6"/>
      <c r="I31" s="469" t="str">
        <f>IFERROR(IF((VLOOKUP(B31,cennik!A:L,12,0))="O",texty!$A$250,""),"")</f>
        <v/>
      </c>
      <c r="J31" s="191"/>
      <c r="L31" s="6"/>
    </row>
    <row r="32" spans="1:12" ht="12.75" customHeight="1" x14ac:dyDescent="0.2">
      <c r="A32" s="7" t="str">
        <f>texty!$A$88</f>
        <v>pozicionér do horného vedenia</v>
      </c>
      <c r="B32" s="187">
        <v>298035</v>
      </c>
      <c r="C32" s="38" t="str">
        <f>+VLOOKUP(B32,cennik!$A:$G,2,FALSE)</f>
        <v>SEVROLL 20326 Fix pozicionér pre horný vozík transparentný</v>
      </c>
      <c r="D32" s="29"/>
      <c r="E32" s="207">
        <f>+VLOOKUP(B32,cennik!$A:$G,3,FALSE)</f>
        <v>1.0837300000000001</v>
      </c>
      <c r="F32" s="105">
        <f>+E32*D32</f>
        <v>0</v>
      </c>
      <c r="G32" s="104">
        <f t="shared" ref="G32:G54" si="2">+F32*(100-$F$21)/100</f>
        <v>0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">
      <c r="A33" s="7" t="str">
        <f>texty!$A$111</f>
        <v xml:space="preserve">pozicionér </v>
      </c>
      <c r="B33" s="16">
        <f>IF(F4="Gemini",387424,89063)</f>
        <v>89063</v>
      </c>
      <c r="C33" s="38" t="str">
        <f>+VLOOKUP(B33,cennik!$A:$G,2,FALSE)</f>
        <v>SEVROLL 20080 pozicionér spodného vozíka HI-TEC</v>
      </c>
      <c r="D33" s="29"/>
      <c r="E33" s="207">
        <f>+VLOOKUP(B33,cennik!$A:$G,3,FALSE)</f>
        <v>0.30964000000000003</v>
      </c>
      <c r="F33" s="105">
        <f t="shared" ref="F33:F54" si="3">+E33*D33</f>
        <v>0</v>
      </c>
      <c r="G33" s="104">
        <f t="shared" si="2"/>
        <v>0</v>
      </c>
      <c r="H33" s="6" t="str">
        <f>cennik!$B$2</f>
        <v>EUR</v>
      </c>
      <c r="I33" s="469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</row>
    <row r="34" spans="1:12" ht="12.75" customHeight="1" x14ac:dyDescent="0.2">
      <c r="A34" s="422" t="str">
        <f>texty!$A$228</f>
        <v> Tlmič dorazu MINI do 25 kg (pár)</v>
      </c>
      <c r="B34" s="16">
        <v>318662</v>
      </c>
      <c r="C34" s="25" t="str">
        <f>+VLOOKUP(B34,cennik!$A:$G,2,FALSE)</f>
        <v>SEVROLL 20368-SV tlmič dorazu Mini SV25 (14-25kg)</v>
      </c>
      <c r="D34" s="373"/>
      <c r="E34" s="91">
        <f>+VLOOKUP(B34,cennik!$A:$G,3,FALSE)</f>
        <v>22.75825</v>
      </c>
      <c r="F34" s="96">
        <f>+CEILING(D34,1)*E34</f>
        <v>0</v>
      </c>
      <c r="G34" s="104">
        <f t="shared" si="2"/>
        <v>0</v>
      </c>
      <c r="H34" s="24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">
      <c r="A35" s="422" t="str">
        <f>texty!$A$229</f>
        <v> Tlmič dorazu MINI do 40 kg (pár)</v>
      </c>
      <c r="B35" s="24">
        <v>283956</v>
      </c>
      <c r="C35" s="25" t="str">
        <f>+VLOOKUP(B35,cennik!$A:$G,2,FALSE)</f>
        <v>SEVROLL 20258-SV tlmič dorazu Mini SV40 (25 - 40kg)</v>
      </c>
      <c r="D35" s="373"/>
      <c r="E35" s="91">
        <f>+VLOOKUP(B35,cennik!$A:$G,3,FALSE)</f>
        <v>22.75825</v>
      </c>
      <c r="F35" s="96">
        <f>+CEILING(D35,1)*E35</f>
        <v>0</v>
      </c>
      <c r="G35" s="104">
        <f t="shared" si="2"/>
        <v>0</v>
      </c>
      <c r="H35" s="24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">
      <c r="A36" s="422" t="str">
        <f>texty!$A$230</f>
        <v> Tlmič dorazu MINI do 60 kg (pár)</v>
      </c>
      <c r="B36" s="24">
        <v>351743</v>
      </c>
      <c r="C36" s="25" t="str">
        <f>+VLOOKUP(B36,cennik!$A:$G,2,FALSE)</f>
        <v>SEVROLL 20339-SV tlmič dorazu Mini SV60 (40 - 60kg)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2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">
      <c r="A37" s="422" t="str">
        <f>texty!$A$231</f>
        <v> Tlmič pre stredné krídlo do 25 kg</v>
      </c>
      <c r="B37" s="24">
        <v>318663</v>
      </c>
      <c r="C37" s="25" t="str">
        <f>+VLOOKUP(B37,cennik!$A:$G,2,FALSE)</f>
        <v>SEVROLL 20363-SV tlmič Central 10/18mm obojstranný 25kg</v>
      </c>
      <c r="D37" s="373"/>
      <c r="E37" s="91">
        <f>+VLOOKUP(B37,cennik!$A:$G,3,FALSE)</f>
        <v>48.741869999999999</v>
      </c>
      <c r="F37" s="96">
        <f>+CEILING(D37,1)*E37</f>
        <v>0</v>
      </c>
      <c r="G37" s="104">
        <f t="shared" si="2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">
      <c r="A38" s="422" t="str">
        <f>texty!$A$232</f>
        <v> Tlmič pre stredné krídlo do 40 kg</v>
      </c>
      <c r="B38" s="24">
        <v>283955</v>
      </c>
      <c r="C38" s="25" t="str">
        <f>+VLOOKUP(B38,cennik!$A:$G,2,FALSE)</f>
        <v>SEVROLL 20319-SV tlmič Central 10/18mm obojstranný 25-40kg</v>
      </c>
      <c r="D38" s="373"/>
      <c r="E38" s="91">
        <f>+VLOOKUP(B38,cennik!$A:$G,3,FALSE)</f>
        <v>48.741869999999999</v>
      </c>
      <c r="F38" s="96">
        <f>+CEILING(D38,1)*E38</f>
        <v>0</v>
      </c>
      <c r="G38" s="104">
        <f t="shared" si="2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">
      <c r="A39" s="7" t="str">
        <f>texty!$A$97</f>
        <v>tlmič dorazu (pár) 25 kg</v>
      </c>
      <c r="B39" s="24">
        <v>227185</v>
      </c>
      <c r="C39" s="38" t="str">
        <f>+VLOOKUP(B39,cennik!$A:$G,2,FALSE)</f>
        <v>K-SEVROLL tlmič dorazu 10/18mm 14-25kg L+P</v>
      </c>
      <c r="D39" s="29"/>
      <c r="E39" s="207">
        <f>+VLOOKUP(B39,cennik!$A:$G,3,FALSE)</f>
        <v>0</v>
      </c>
      <c r="F39" s="105">
        <f>+E39*D39</f>
        <v>0</v>
      </c>
      <c r="G39" s="104">
        <f t="shared" si="2"/>
        <v>0</v>
      </c>
      <c r="H39" s="6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</row>
    <row r="40" spans="1:12" ht="12.75" customHeight="1" x14ac:dyDescent="0.2">
      <c r="A40" s="7" t="str">
        <f>texty!$A$98</f>
        <v>tlmič dorazu (pár) 50 kg</v>
      </c>
      <c r="B40" s="24">
        <v>227187</v>
      </c>
      <c r="C40" s="38" t="str">
        <f>+VLOOKUP(B40,cennik!$A:$G,2,FALSE)</f>
        <v>K-SEVROLL tlmič dorazu 10/18mm 25-50kg L+P</v>
      </c>
      <c r="D40" s="29"/>
      <c r="E40" s="207">
        <f>+VLOOKUP(B40,cennik!$A:$G,3,FALSE)</f>
        <v>0</v>
      </c>
      <c r="F40" s="105">
        <f>+E40*D40</f>
        <v>0</v>
      </c>
      <c r="G40" s="104">
        <f t="shared" si="2"/>
        <v>0</v>
      </c>
      <c r="H40" s="6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L40" s="3"/>
    </row>
    <row r="41" spans="1:12" ht="12.75" customHeight="1" x14ac:dyDescent="0.2">
      <c r="A41" s="7" t="str">
        <f>texty!$A$196</f>
        <v>Spona dorazovej kefky</v>
      </c>
      <c r="B41" s="16">
        <v>223569</v>
      </c>
      <c r="C41" s="38" t="str">
        <f>+VLOOKUP(B41,cennik!$A:$G,2,FALSE)</f>
        <v>SEVROLL 20223 spona dorazovej kefky</v>
      </c>
      <c r="D41" s="29"/>
      <c r="E41" s="207">
        <f>+VLOOKUP(B41,cennik!$A:$G,3,FALSE)</f>
        <v>7.1209999999999996E-2</v>
      </c>
      <c r="F41" s="105">
        <f t="shared" si="3"/>
        <v>0</v>
      </c>
      <c r="G41" s="104">
        <f t="shared" si="2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L41" s="3"/>
    </row>
    <row r="42" spans="1:12" ht="12.75" customHeight="1" x14ac:dyDescent="0.2">
      <c r="A42" s="145" t="str">
        <f>texty!$A$114</f>
        <v>spojovací profil H18-3metre</v>
      </c>
      <c r="B42" s="16" t="e">
        <f>+VLOOKUP($P$7,data!$C$537:$D$547,2,0)</f>
        <v>#N/A</v>
      </c>
      <c r="C42" s="38" t="e">
        <f>+VLOOKUP(B42,cennik!$A:$G,2,FALSE)</f>
        <v>#N/A</v>
      </c>
      <c r="D42" s="29"/>
      <c r="E42" s="207" t="e">
        <f>+VLOOKUP(B42,cennik!$A:$G,3,FALSE)</f>
        <v>#N/A</v>
      </c>
      <c r="F42" s="105" t="e">
        <f t="shared" si="3"/>
        <v>#N/A</v>
      </c>
      <c r="G42" s="104" t="e">
        <f t="shared" si="2"/>
        <v>#N/A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L42" s="3"/>
    </row>
    <row r="43" spans="1:12" ht="12.75" customHeight="1" x14ac:dyDescent="0.2">
      <c r="A43" s="145" t="str">
        <f>texty!$A$115</f>
        <v>spojovací T profil - 3metre /s drážkou/</v>
      </c>
      <c r="B43" s="16" t="e">
        <f>+VLOOKUP($P$7,data!$C$548:$D$557,2,0)</f>
        <v>#N/A</v>
      </c>
      <c r="C43" s="38" t="e">
        <f>IF(B43=data!$D$64,texty!$A$239,+VLOOKUP(B43,cennik!$A$3:$G$907,2,FALSE))</f>
        <v>#N/A</v>
      </c>
      <c r="D43" s="29"/>
      <c r="E43" s="91" t="e">
        <f>IF(B43=data!$D$73,0,+VLOOKUP(B43,cennik!$A$3:$G$907,3,FALSE))</f>
        <v>#N/A</v>
      </c>
      <c r="F43" s="91" t="e">
        <f t="shared" si="3"/>
        <v>#N/A</v>
      </c>
      <c r="G43" s="104" t="e">
        <f t="shared" si="2"/>
        <v>#N/A</v>
      </c>
      <c r="H43" s="24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L43" s="3"/>
    </row>
    <row r="44" spans="1:12" ht="12.75" customHeight="1" x14ac:dyDescent="0.2">
      <c r="A44" s="145" t="str">
        <f>texty!$A$116</f>
        <v>spojovací T profil - 3metre /s lemom/</v>
      </c>
      <c r="B44" s="16" t="e">
        <f>+VLOOKUP($P$7,data!$C$558:$D$567,2,0)</f>
        <v>#N/A</v>
      </c>
      <c r="C44" s="38" t="e">
        <f>IF(B44=data!$D$64,texty!$A$239,+VLOOKUP(B44,cennik!$A$3:$G$907,2,FALSE))</f>
        <v>#N/A</v>
      </c>
      <c r="D44" s="29"/>
      <c r="E44" s="91" t="e">
        <f>IF(B44=data!$D$73,0,+VLOOKUP(B44,cennik!$A$3:$G$907,3,FALSE))</f>
        <v>#N/A</v>
      </c>
      <c r="F44" s="91" t="e">
        <f t="shared" si="3"/>
        <v>#N/A</v>
      </c>
      <c r="G44" s="104" t="e">
        <f t="shared" si="2"/>
        <v>#N/A</v>
      </c>
      <c r="H44" s="24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L44" s="3"/>
    </row>
    <row r="45" spans="1:12" ht="12.75" customHeight="1" x14ac:dyDescent="0.2">
      <c r="A45" s="145" t="str">
        <f>texty!$A$117</f>
        <v>"U" profil na DTD 18mm - 3 metre /hladký/</v>
      </c>
      <c r="B45" s="6" t="e">
        <f>+VLOOKUP($P$7,data!$C$568:$D$578,2,0)</f>
        <v>#N/A</v>
      </c>
      <c r="C45" s="38" t="e">
        <f>+VLOOKUP(B45,cennik!$A:$G,2,FALSE)</f>
        <v>#N/A</v>
      </c>
      <c r="D45" s="29"/>
      <c r="E45" s="207" t="e">
        <f>+VLOOKUP(B45,cennik!$A:$G,3,FALSE)</f>
        <v>#N/A</v>
      </c>
      <c r="F45" s="105" t="e">
        <f t="shared" si="3"/>
        <v>#N/A</v>
      </c>
      <c r="G45" s="104" t="e">
        <f t="shared" si="2"/>
        <v>#N/A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L45" s="3"/>
    </row>
    <row r="46" spans="1:12" ht="12.75" customHeight="1" x14ac:dyDescent="0.2">
      <c r="A46" s="145" t="str">
        <f>texty!$A$118</f>
        <v>"U" profil na DTD 18mm - 3 metre /lem/</v>
      </c>
      <c r="B46" s="16" t="e">
        <f>+VLOOKUP($P$7,data!$C$578:$D$588,2,0)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3"/>
        <v>#N/A</v>
      </c>
      <c r="G46" s="104" t="e">
        <f t="shared" si="2"/>
        <v>#N/A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L46" s="3"/>
    </row>
    <row r="47" spans="1:12" ht="12.75" customHeight="1" x14ac:dyDescent="0.2">
      <c r="A47" s="145" t="str">
        <f>texty!$A$119</f>
        <v>uholník mini 11x17mm - 1,7m</v>
      </c>
      <c r="B47" s="6" t="e">
        <f>+VLOOKUP($P$7,data!$C$589:$D$599,2,0)</f>
        <v>#N/A</v>
      </c>
      <c r="C47" s="38" t="e">
        <f>IF(B47=data!$D$64,texty!$A$239,+VLOOKUP(B47,cennik!$A$3:$G$907,2,FALSE))</f>
        <v>#N/A</v>
      </c>
      <c r="D47" s="29"/>
      <c r="E47" s="91" t="e">
        <f>IF(B47=data!$D$73,0,+VLOOKUP(B47,cennik!$A$3:$G$907,3,FALSE))</f>
        <v>#N/A</v>
      </c>
      <c r="F47" s="91" t="e">
        <f>+E47*D47</f>
        <v>#N/A</v>
      </c>
      <c r="G47" s="104" t="e">
        <f t="shared" si="2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</row>
    <row r="48" spans="1:12" ht="12.75" customHeight="1" x14ac:dyDescent="0.2">
      <c r="A48" s="145" t="str">
        <f>texty!$A$120</f>
        <v>uholník mini 11x17mm - 2,35m</v>
      </c>
      <c r="B48" s="6" t="e">
        <f>+VLOOKUP($P$7,data!$C$600:$D$610,2,0)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>+E48*D48</f>
        <v>#N/A</v>
      </c>
      <c r="G48" s="104" t="e">
        <f t="shared" si="2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</row>
    <row r="49" spans="1:14" ht="12.75" customHeight="1" x14ac:dyDescent="0.2">
      <c r="A49" s="145" t="str">
        <f>texty!$A$121</f>
        <v>uholník mini 11x17mm - 3m</v>
      </c>
      <c r="B49" s="15" t="e">
        <f>+VLOOKUP($P$7,data!$C$611:$D$621,2,0)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>+E49*D49</f>
        <v>#N/A</v>
      </c>
      <c r="G49" s="104" t="e">
        <f t="shared" si="2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">
      <c r="A50" s="145" t="str">
        <f>texty!$A$122</f>
        <v>uholník K2 19x18mm - 1,7m</v>
      </c>
      <c r="B50" s="24" t="e">
        <f>+VLOOKUP($P$7,data!$C$622:$D$631,2,0)</f>
        <v>#N/A</v>
      </c>
      <c r="C50" s="38" t="e">
        <f>IF(B50=data!$D$64,texty!$A$239,+VLOOKUP(B50,cennik!$A$3:$G$907,2,FALSE))</f>
        <v>#N/A</v>
      </c>
      <c r="D50" s="29"/>
      <c r="E50" s="91" t="e">
        <f>IF(B50=data!$D$73,0,+VLOOKUP(B50,cennik!$A$3:$G$907,3,FALSE))</f>
        <v>#N/A</v>
      </c>
      <c r="F50" s="91" t="e">
        <f>+E50*D50</f>
        <v>#N/A</v>
      </c>
      <c r="G50" s="104" t="e">
        <f t="shared" si="2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">
      <c r="A51" s="145" t="str">
        <f>texty!$A$123</f>
        <v>uholník K2 19x18mm - 2,35m</v>
      </c>
      <c r="B51" s="16" t="e">
        <f>+VLOOKUP($P$7,data!$C$632:$D$641,2,0)</f>
        <v>#N/A</v>
      </c>
      <c r="C51" s="38" t="e">
        <f>IF(B51=data!$D$64,texty!$A$239,+VLOOKUP(B51,cennik!$A$3:$G$907,2,FALSE))</f>
        <v>#N/A</v>
      </c>
      <c r="D51" s="30"/>
      <c r="E51" s="91" t="e">
        <f>IF(B51=data!$D$73,0,+VLOOKUP(B51,cennik!$A$3:$G$907,3,FALSE))</f>
        <v>#N/A</v>
      </c>
      <c r="F51" s="91" t="e">
        <f t="shared" si="3"/>
        <v>#N/A</v>
      </c>
      <c r="G51" s="104" t="e">
        <f t="shared" si="2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</row>
    <row r="52" spans="1:14" ht="12.75" customHeight="1" x14ac:dyDescent="0.2">
      <c r="A52" s="145" t="str">
        <f>texty!$A$124</f>
        <v>uholník K2 19x18mm - 3,00m</v>
      </c>
      <c r="B52" s="16" t="e">
        <f>+VLOOKUP($P$7,data!$C$642:$D$651,2,0)</f>
        <v>#N/A</v>
      </c>
      <c r="C52" s="38" t="e">
        <f>IF(B52=data!$D$64,texty!$A$239,+VLOOKUP(B52,cennik!$A$3:$G$907,2,FALSE))</f>
        <v>#N/A</v>
      </c>
      <c r="D52" s="30"/>
      <c r="E52" s="91" t="e">
        <f>IF(B52=data!$D$73,0,+VLOOKUP(B52,cennik!$A$3:$G$907,3,FALSE))</f>
        <v>#N/A</v>
      </c>
      <c r="F52" s="91" t="e">
        <f t="shared" si="3"/>
        <v>#N/A</v>
      </c>
      <c r="G52" s="104" t="e">
        <f t="shared" si="2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">
      <c r="A53" s="422" t="str">
        <f>texty!$A$240</f>
        <v>zámok posuvných dverí</v>
      </c>
      <c r="B53" s="24">
        <v>216363</v>
      </c>
      <c r="C53" s="38" t="str">
        <f>+VLOOKUP(B53,cennik!$A:$G,2,FALSE)</f>
        <v>SEVROLL 20356 zámok na posuvné dvere 10/18mm</v>
      </c>
      <c r="D53" s="29"/>
      <c r="E53" s="207">
        <f>+VLOOKUP(B53,cennik!$A:$G,3,FALSE)</f>
        <v>15.72176</v>
      </c>
      <c r="F53" s="105">
        <f t="shared" si="3"/>
        <v>0</v>
      </c>
      <c r="G53" s="104">
        <f t="shared" si="2"/>
        <v>0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">
      <c r="A54" s="7" t="str">
        <f>texty!$A$112</f>
        <v>protiprachový kartáč samolepiaci</v>
      </c>
      <c r="B54" s="24">
        <v>308639</v>
      </c>
      <c r="C54" s="25" t="str">
        <f>+VLOOKUP(B54,cennik!$A:$G,2,FALSE)</f>
        <v>SEVROLL protiprachový kartáč samolep. 6,7x13mm</v>
      </c>
      <c r="D54" s="29"/>
      <c r="E54" s="207">
        <f>+VLOOKUP(B54,cennik!$A:$G,3,FALSE)</f>
        <v>0.29721999999999998</v>
      </c>
      <c r="F54" s="105">
        <f t="shared" si="3"/>
        <v>0</v>
      </c>
      <c r="G54" s="104">
        <f t="shared" si="2"/>
        <v>0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">
      <c r="A55" s="7"/>
      <c r="B55" s="24"/>
      <c r="C55" s="25"/>
      <c r="D55" s="272"/>
      <c r="E55" s="207"/>
      <c r="F55" s="105"/>
      <c r="G55" s="104"/>
      <c r="H55" s="6"/>
      <c r="I55" s="181"/>
      <c r="J55" s="191"/>
      <c r="L55" s="6"/>
    </row>
    <row r="56" spans="1:14" ht="15" x14ac:dyDescent="0.2">
      <c r="A56" s="271" t="str">
        <f>texty!$A$190</f>
        <v>Ďalšie príslušenstvo</v>
      </c>
      <c r="B56" s="272"/>
      <c r="C56" s="272"/>
      <c r="D56" s="272"/>
      <c r="E56" s="272"/>
      <c r="F56" s="272"/>
      <c r="G56" s="272"/>
      <c r="H56" s="272"/>
      <c r="I56" s="272"/>
      <c r="J56" s="272"/>
      <c r="K56" s="134"/>
      <c r="L56" s="6"/>
    </row>
    <row r="57" spans="1:14" ht="12.75" customHeight="1" x14ac:dyDescent="0.2">
      <c r="A57" s="271" t="str">
        <f>texty!$A$244</f>
        <v>Technický nákres tohoto systému</v>
      </c>
      <c r="C57" s="40"/>
      <c r="D57" s="78" t="str">
        <f>+Faworyt!D61</f>
        <v>CELKOM  (bez DPH)</v>
      </c>
      <c r="E57" s="115"/>
      <c r="F57" s="116" t="e">
        <f>SUM(F23:F54)</f>
        <v>#N/A</v>
      </c>
      <c r="G57" s="116" t="e">
        <f>SUM(G23:G54)</f>
        <v>#N/A</v>
      </c>
      <c r="H57" s="6" t="str">
        <f>cennik!$B$2</f>
        <v>EUR</v>
      </c>
      <c r="L57" s="6"/>
    </row>
    <row r="58" spans="1:14" ht="12.75" customHeight="1" x14ac:dyDescent="0.2">
      <c r="A58" s="75" t="str">
        <f>System10!$A$67</f>
        <v>Vaša poznámka:</v>
      </c>
      <c r="B58" s="661"/>
      <c r="C58" s="662"/>
      <c r="D58" s="662"/>
      <c r="E58" s="662"/>
      <c r="F58" s="662"/>
      <c r="G58" s="663"/>
      <c r="H58" s="6"/>
      <c r="L58" s="6"/>
    </row>
    <row r="59" spans="1:14" ht="12.75" customHeight="1" x14ac:dyDescent="0.2">
      <c r="A59" s="659">
        <f>profil!$U$15</f>
        <v>0</v>
      </c>
      <c r="B59" s="649"/>
      <c r="C59" s="649"/>
      <c r="D59" s="649"/>
      <c r="E59" s="649"/>
      <c r="F59" s="649"/>
      <c r="G59" s="649"/>
      <c r="H59" s="649"/>
      <c r="L59" s="6"/>
    </row>
    <row r="60" spans="1:14" ht="12.75" customHeight="1" x14ac:dyDescent="0.2">
      <c r="A60" s="650">
        <f>IF(N60=1,texty!$A$215,IF(J60&gt;0,texty!$A$214,""))</f>
        <v>0</v>
      </c>
      <c r="B60" s="650"/>
      <c r="C60" s="650"/>
      <c r="D60" s="650"/>
      <c r="E60" s="650"/>
      <c r="F60" s="650"/>
      <c r="G60" s="650"/>
      <c r="H60" s="650"/>
      <c r="J60" s="6" t="e">
        <f>SUM(J23:J54)</f>
        <v>#N/A</v>
      </c>
      <c r="L60" s="6"/>
      <c r="N60" s="5">
        <f>IF(ISERROR(J60),1,0)</f>
        <v>1</v>
      </c>
    </row>
    <row r="61" spans="1:14" ht="12.75" customHeight="1" x14ac:dyDescent="0.2">
      <c r="A61" s="63"/>
      <c r="L61" s="6"/>
    </row>
    <row r="62" spans="1:14" ht="12.75" customHeight="1" x14ac:dyDescent="0.2">
      <c r="L62" s="5" t="str">
        <f>texty!A128</f>
        <v xml:space="preserve">strieborná </v>
      </c>
      <c r="M62" s="21" t="s">
        <v>987</v>
      </c>
    </row>
    <row r="63" spans="1:14" ht="12.75" customHeight="1" x14ac:dyDescent="0.2">
      <c r="M63" s="21" t="s">
        <v>43</v>
      </c>
    </row>
    <row r="64" spans="1:14" ht="12.75" customHeight="1" x14ac:dyDescent="0.2"/>
  </sheetData>
  <sheetProtection algorithmName="SHA-512" hashValue="oX7TaIVLZ2yRLXtFSum+QbDvYqjcoQBJpeAV1rBliXpU3DBtCqLqjvLa1f1bnKljKCdKyc/JhTveWQ7mbZ+S8w==" saltValue="iEvXP8eBh3YeRMuqWgz7zg==" spinCount="100000" sheet="1" objects="1" scenarios="1" selectLockedCells="1"/>
  <mergeCells count="8">
    <mergeCell ref="A60:H60"/>
    <mergeCell ref="B5:E5"/>
    <mergeCell ref="A59:H59"/>
    <mergeCell ref="B58:G58"/>
    <mergeCell ref="G4:I6"/>
    <mergeCell ref="I14:I15"/>
    <mergeCell ref="I16:I17"/>
    <mergeCell ref="A11:B12"/>
  </mergeCells>
  <conditionalFormatting sqref="A11">
    <cfRule type="expression" dxfId="62" priority="3">
      <formula>SUM($D$37:$D$38)&gt;0</formula>
    </cfRule>
  </conditionalFormatting>
  <conditionalFormatting sqref="D6">
    <cfRule type="expression" dxfId="60" priority="7">
      <formula>$D$4=4</formula>
    </cfRule>
    <cfRule type="expression" dxfId="59" priority="8">
      <formula>$D$4&lt;&gt;4</formula>
    </cfRule>
  </conditionalFormatting>
  <conditionalFormatting sqref="G4">
    <cfRule type="expression" dxfId="58" priority="6">
      <formula>$D$4=4</formula>
    </cfRule>
  </conditionalFormatting>
  <conditionalFormatting sqref="I14:I15">
    <cfRule type="expression" dxfId="57" priority="5">
      <formula>$F$4=$M$63</formula>
    </cfRule>
  </conditionalFormatting>
  <conditionalFormatting sqref="I16:I17">
    <cfRule type="expression" dxfId="5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:F6" xr:uid="{00000000-0002-0000-1E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5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5" customWidth="1"/>
    <col min="2" max="2" width="15.7109375" style="5" customWidth="1"/>
    <col min="3" max="3" width="46.42578125" style="5" bestFit="1" customWidth="1"/>
    <col min="4" max="4" width="14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-8.8000000000000007</v>
      </c>
    </row>
    <row r="2" spans="1:16" ht="18.75" customHeight="1" x14ac:dyDescent="0.2">
      <c r="A2" s="523" t="s">
        <v>82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",5,".",67)</f>
        <v>katalóg kovania 2018 str. 5.67</v>
      </c>
      <c r="B3" s="420" t="str">
        <f>CONCATENATE(texty!A34," / max.        2 742 mm /")</f>
        <v>výška / max.        2 742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420" t="str">
        <f>texty!A38</f>
        <v>typ spodného vedenia</v>
      </c>
      <c r="G3" s="6"/>
      <c r="H3" s="6"/>
      <c r="L3" s="6"/>
    </row>
    <row r="4" spans="1:16" ht="18" customHeight="1" x14ac:dyDescent="0.2">
      <c r="A4" s="10" t="str">
        <f>+System10!A4</f>
        <v>VNÚTORNÝ ROZMER SKRINE:</v>
      </c>
      <c r="B4" s="56"/>
      <c r="C4" s="56"/>
      <c r="D4" s="22"/>
      <c r="E4" s="22"/>
      <c r="F4" s="458"/>
      <c r="G4" s="647"/>
      <c r="H4" s="647"/>
      <c r="I4" s="647"/>
      <c r="K4" s="190"/>
      <c r="L4" s="8"/>
    </row>
    <row r="5" spans="1:16" ht="18" customHeight="1" x14ac:dyDescent="0.2">
      <c r="A5" s="10"/>
      <c r="B5" s="664" t="str">
        <f>+System10!B5</f>
        <v>vypíšte týchto 5 políčok !!! Údaje v mm</v>
      </c>
      <c r="C5" s="664"/>
      <c r="D5" s="664"/>
      <c r="E5" s="664"/>
      <c r="F5" s="471"/>
      <c r="G5" s="647"/>
      <c r="H5" s="647"/>
      <c r="I5" s="647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M6" s="23" t="str">
        <f>CONCATENATE(M5,"-",E4)</f>
        <v>1700-</v>
      </c>
      <c r="N6" s="21"/>
      <c r="O6" s="23" t="str">
        <f>CONCATENATE(O5,"-",E4,", ",F4)</f>
        <v xml:space="preserve">1700-, </v>
      </c>
    </row>
    <row r="7" spans="1:16" ht="12.75" customHeight="1" x14ac:dyDescent="0.2">
      <c r="A7" s="10" t="str">
        <f>texty!A47</f>
        <v>krídlo dverí:</v>
      </c>
      <c r="B7" s="57">
        <f>+B4-42</f>
        <v>-42</v>
      </c>
      <c r="C7" s="59" t="e">
        <f>+((C4-3+32*(D4-1))/D4+IF(AND(D4=4,D6=2),M1,0))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>
        <f>+E4</f>
        <v>0</v>
      </c>
    </row>
    <row r="8" spans="1:16" ht="12.75" customHeight="1" x14ac:dyDescent="0.2">
      <c r="A8" s="10" t="str">
        <f>texty!A48</f>
        <v>rozmer výplne 18mm:</v>
      </c>
      <c r="B8" s="57">
        <f>+B7-2</f>
        <v>-44</v>
      </c>
      <c r="C8" s="59" t="e">
        <f>+C7-7</f>
        <v>#DIV/0!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>1700-</v>
      </c>
      <c r="P8" s="21"/>
    </row>
    <row r="9" spans="1:16" ht="12.75" customHeight="1" x14ac:dyDescent="0.2">
      <c r="A9" s="10" t="str">
        <f>texty!A49</f>
        <v>rozmer výplne 12mm:</v>
      </c>
      <c r="B9" s="57">
        <f>+B8</f>
        <v>-44</v>
      </c>
      <c r="C9" s="59" t="e">
        <f>+C7-7</f>
        <v>#DIV/0!</v>
      </c>
      <c r="D9" s="8"/>
      <c r="E9" s="8"/>
      <c r="F9" s="8"/>
      <c r="G9" s="51"/>
      <c r="H9" s="6"/>
      <c r="L9" s="37"/>
      <c r="M9" s="36"/>
    </row>
    <row r="10" spans="1:16" ht="12.75" customHeight="1" x14ac:dyDescent="0.2">
      <c r="A10" s="10" t="str">
        <f>texty!A50</f>
        <v>rozmer zrkadla /na DTD 12mm/</v>
      </c>
      <c r="B10" s="61">
        <f>+B8-4</f>
        <v>-48</v>
      </c>
      <c r="C10" s="65" t="e">
        <f>+C9-4</f>
        <v>#DIV/0!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">
      <c r="A11" s="10" t="str">
        <f>texty!$A$51</f>
        <v>Dĺžka úchytkového profilu (+2 mm)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">
      <c r="A12" s="10"/>
      <c r="B12" s="170" t="e">
        <f>IF(B7&gt;2400,texty!A194,IF(C7&gt;700,texty!A194,""))</f>
        <v>#DIV/0!</v>
      </c>
      <c r="C12" s="85"/>
      <c r="D12" s="8"/>
      <c r="H12" s="6"/>
      <c r="L12" s="6"/>
    </row>
    <row r="13" spans="1:16" ht="25.5" x14ac:dyDescent="0.2">
      <c r="A13" s="635" t="str">
        <f>IF(SUM(D39:D40)&gt;0,texty!A246,"")</f>
        <v/>
      </c>
      <c r="B13" s="635"/>
      <c r="C13" s="501" t="str">
        <f>texty!A78</f>
        <v>dodatočné odpočty výšky vypočítaných výplní pri použití deliacich profilov výplne:</v>
      </c>
      <c r="D13" s="8"/>
      <c r="G13" s="6"/>
      <c r="L13" s="35"/>
    </row>
    <row r="14" spans="1:16" ht="17.25" customHeight="1" x14ac:dyDescent="0.2">
      <c r="A14" s="635"/>
      <c r="B14" s="635"/>
      <c r="C14" s="501"/>
      <c r="D14" s="8"/>
      <c r="G14" s="6"/>
      <c r="L14" s="35"/>
    </row>
    <row r="15" spans="1:16" x14ac:dyDescent="0.2">
      <c r="A15" s="7"/>
      <c r="B15" s="58"/>
      <c r="C15" s="501"/>
      <c r="D15" s="8"/>
      <c r="G15" s="6"/>
      <c r="L15" s="35"/>
    </row>
    <row r="16" spans="1:16" ht="12.75" customHeight="1" x14ac:dyDescent="0.2">
      <c r="A16" s="188"/>
      <c r="B16" s="64"/>
      <c r="C16" s="164"/>
      <c r="D16" s="8"/>
      <c r="E16" s="8"/>
      <c r="F16" s="8"/>
      <c r="G16" s="6"/>
      <c r="H16" s="6"/>
      <c r="I16" s="638" t="s">
        <v>993</v>
      </c>
      <c r="L16" s="6"/>
    </row>
    <row r="17" spans="1:12" ht="12.75" customHeight="1" x14ac:dyDescent="0.2">
      <c r="A17" s="10"/>
      <c r="B17" s="8"/>
      <c r="C17" s="12"/>
      <c r="D17" s="8"/>
      <c r="E17" s="8"/>
      <c r="F17" s="8"/>
      <c r="G17" s="6"/>
      <c r="H17" s="6"/>
      <c r="I17" s="638"/>
      <c r="L17" s="6"/>
    </row>
    <row r="18" spans="1:12" ht="12.75" customHeight="1" x14ac:dyDescent="0.2">
      <c r="A18" s="10"/>
      <c r="B18" s="8"/>
      <c r="C18" s="12"/>
      <c r="D18" s="8"/>
      <c r="E18" s="8"/>
      <c r="F18" s="8"/>
      <c r="G18" s="6"/>
      <c r="H18" s="6"/>
      <c r="I18" s="639" t="s">
        <v>994</v>
      </c>
      <c r="L18" s="6"/>
    </row>
    <row r="19" spans="1:12" ht="14.25" customHeight="1" x14ac:dyDescent="0.2">
      <c r="A19" s="10"/>
      <c r="B19" s="8"/>
      <c r="C19" s="27"/>
      <c r="D19" s="8"/>
      <c r="E19" s="8"/>
      <c r="F19" s="8"/>
      <c r="G19" s="6"/>
      <c r="H19" s="6"/>
      <c r="I19" s="639"/>
      <c r="L19" s="6"/>
    </row>
    <row r="20" spans="1:12" ht="16.5" customHeight="1" x14ac:dyDescent="0.2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">
      <c r="A21" s="485" t="s">
        <v>1013</v>
      </c>
      <c r="B21" s="506" t="s">
        <v>1020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">
      <c r="A22" s="7"/>
      <c r="B22" s="8"/>
      <c r="C22" s="8"/>
      <c r="D22" s="8"/>
      <c r="E22" s="8"/>
      <c r="F22" s="6"/>
      <c r="G22" s="134" t="str">
        <f>+System10!G25</f>
        <v>partnerská zľava:</v>
      </c>
      <c r="H22" s="6"/>
      <c r="L22" s="6"/>
    </row>
    <row r="23" spans="1:12" ht="12.75" customHeight="1" x14ac:dyDescent="0.2">
      <c r="A23" s="14" t="str">
        <f>+System10!$A$26</f>
        <v>Objednávacie kódy, ceny:</v>
      </c>
      <c r="B23" s="8"/>
      <c r="C23" s="8"/>
      <c r="D23" s="8"/>
      <c r="E23" s="8"/>
      <c r="F23" s="6"/>
      <c r="G23" s="120">
        <f>profil!C15</f>
        <v>0</v>
      </c>
      <c r="H23" s="6" t="s">
        <v>57</v>
      </c>
      <c r="L23" s="6"/>
    </row>
    <row r="24" spans="1:12" s="82" customFormat="1" ht="12.75" customHeight="1" x14ac:dyDescent="0.2">
      <c r="B24" s="81" t="str">
        <f>+System10!B27</f>
        <v>kód</v>
      </c>
      <c r="C24" s="81" t="str">
        <f>+System10!C27</f>
        <v>názov</v>
      </c>
      <c r="D24" s="81" t="str">
        <f>+System10!D27</f>
        <v>ks</v>
      </c>
      <c r="E24" s="81" t="str">
        <f>+System10!E27</f>
        <v>cena/ks</v>
      </c>
      <c r="F24" s="18" t="str">
        <f>+System10!F27</f>
        <v>cena celkom</v>
      </c>
      <c r="G24" s="18" t="str">
        <f>+System10!G27</f>
        <v>celkom netto:</v>
      </c>
      <c r="H24" s="18"/>
      <c r="I24" s="18" t="str">
        <f>texty!A29</f>
        <v>Poznámka:</v>
      </c>
      <c r="J24" s="18"/>
      <c r="L24" s="18"/>
    </row>
    <row r="25" spans="1:12" ht="12.75" customHeight="1" x14ac:dyDescent="0.2">
      <c r="A25" s="7" t="str">
        <f>+Faworyt!A26</f>
        <v>Horný profil:</v>
      </c>
      <c r="B25" s="8" t="e">
        <f>+VLOOKUP(O8,data!$C$196:$D$215,2,0)</f>
        <v>#N/A</v>
      </c>
      <c r="C25" s="38" t="e">
        <f>+VLOOKUP(B25,cennik!$A:$G,2,FALSE)</f>
        <v>#N/A</v>
      </c>
      <c r="D25" s="8">
        <v>1</v>
      </c>
      <c r="E25" s="207" t="e">
        <f>+VLOOKUP(B25,cennik!$A:$G,3,FALSE)</f>
        <v>#N/A</v>
      </c>
      <c r="F25" s="91" t="e">
        <f>+E25*D25</f>
        <v>#N/A</v>
      </c>
      <c r="G25" s="92" t="e">
        <f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J25" s="191" t="e">
        <f>IF(D25&gt;0,IF(VLOOKUP(B25,cennik!A:L,12,FALSE)="O",1,""),"")</f>
        <v>#N/A</v>
      </c>
      <c r="L25" s="6"/>
    </row>
    <row r="26" spans="1:12" ht="12.75" customHeight="1" x14ac:dyDescent="0.2">
      <c r="A26" s="7" t="str">
        <f>+Faworyt!A27</f>
        <v>spodný profil:</v>
      </c>
      <c r="B26" s="8" t="e">
        <f>+VLOOKUP(O6,data!$C$4:$D$83,2,0)</f>
        <v>#N/A</v>
      </c>
      <c r="C26" s="38" t="e">
        <f>+VLOOKUP(B26,cennik!$A:$G,2,FALSE)</f>
        <v>#N/A</v>
      </c>
      <c r="D26" s="8">
        <v>1</v>
      </c>
      <c r="E26" s="207" t="e">
        <f>+VLOOKUP(B26,cennik!$A:$G,3,FALSE)</f>
        <v>#N/A</v>
      </c>
      <c r="F26" s="91" t="e">
        <f>+E26*D26</f>
        <v>#N/A</v>
      </c>
      <c r="G26" s="92" t="e">
        <f t="shared" ref="G26:G31" si="0">+F26*(100-$G$23)/100</f>
        <v>#N/A</v>
      </c>
      <c r="H26" s="6" t="str">
        <f>cennik!$B$2</f>
        <v>EUR</v>
      </c>
      <c r="I26" s="469" t="str">
        <f>IFERROR(IF((VLOOKUP(B26,cennik!A:L,12,0))="O",texty!$A$250,""),"")</f>
        <v/>
      </c>
      <c r="J26" s="191" t="e">
        <f>IF(D26&gt;0,IF(VLOOKUP(B26,cennik!A:L,12,FALSE)="O",1,""),"")</f>
        <v>#N/A</v>
      </c>
      <c r="L26" s="6"/>
    </row>
    <row r="27" spans="1:12" ht="12.75" customHeight="1" x14ac:dyDescent="0.2">
      <c r="A27" s="72" t="str">
        <f>+Faworyt!A28</f>
        <v>krycí profil (maska):</v>
      </c>
      <c r="B27" s="8" t="e">
        <f>+VLOOKUP(O6,data!$C$105:$D$195,2,0)</f>
        <v>#N/A</v>
      </c>
      <c r="C27" s="25" t="e">
        <f>IF($B$27=data!$D$64,texty!$A$239,+VLOOKUP($B$27,cennik!$A$3:$G$907,2,FALSE))</f>
        <v>#N/A</v>
      </c>
      <c r="D27" s="8">
        <v>1</v>
      </c>
      <c r="E27" s="91" t="e">
        <f>IF(B27=data!$D$73,0,+VLOOKUP(B27,cennik!$A$3:$G$907,3,FALSE))</f>
        <v>#N/A</v>
      </c>
      <c r="F27" s="91" t="e">
        <f t="shared" ref="F27" si="1">+E27*D27</f>
        <v>#N/A</v>
      </c>
      <c r="G27" s="92" t="e">
        <f t="shared" si="0"/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  <c r="L27" s="6"/>
    </row>
    <row r="28" spans="1:12" ht="12.75" customHeight="1" x14ac:dyDescent="0.2">
      <c r="A28" s="7" t="str">
        <f>+Faworyt!A29</f>
        <v>horný vozík</v>
      </c>
      <c r="B28" s="71">
        <v>228023</v>
      </c>
      <c r="C28" s="38" t="str">
        <f>+VLOOKUP(B28,cennik!$A:$G,2,FALSE)</f>
        <v>SEVROLL 10196 Focus horný vozík 18mm 2ks</v>
      </c>
      <c r="D28" s="17">
        <f>IF((D42+D41)&gt;D4,0,D4-(D41+D42))</f>
        <v>0</v>
      </c>
      <c r="E28" s="207">
        <f>+VLOOKUP(B28,cennik!$A:$G,3,FALSE)</f>
        <v>3.9014199999999999</v>
      </c>
      <c r="F28" s="91">
        <f>+E28*D28</f>
        <v>0</v>
      </c>
      <c r="G28" s="92">
        <f t="shared" si="0"/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">
      <c r="A29" s="7" t="str">
        <f>+Faworyt!A30</f>
        <v>spodný vozík</v>
      </c>
      <c r="B29" s="16">
        <f>IF(F4=M62,362316,229440)</f>
        <v>229440</v>
      </c>
      <c r="C29" s="38" t="str">
        <f>+VLOOKUP(B29,cennik!$A:$G,2,FALSE)</f>
        <v>SEVROLL 10198 spodný vozík WD 18C HI-TEC - 2ks</v>
      </c>
      <c r="D29" s="17">
        <f>+D4</f>
        <v>0</v>
      </c>
      <c r="E29" s="207">
        <f>+VLOOKUP(B29,cennik!$A:$G,3,FALSE)</f>
        <v>5.1863999999999999</v>
      </c>
      <c r="F29" s="91">
        <f>+E29*D29</f>
        <v>0</v>
      </c>
      <c r="G29" s="92">
        <f t="shared" si="0"/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">
      <c r="A30" s="7" t="str">
        <f>texty!A89</f>
        <v>dorazový kartáč</v>
      </c>
      <c r="B30" s="16">
        <v>229433</v>
      </c>
      <c r="C30" s="38" t="str">
        <f>+VLOOKUP(B30,cennik!$A:$G,2,FALSE)</f>
        <v>SEVROLL dorazová kefa zásuvná 4,8x4mm sivá</v>
      </c>
      <c r="D30" s="17">
        <f>CEILING((B4*D4*2/1000),1)</f>
        <v>0</v>
      </c>
      <c r="E30" s="207">
        <f>+VLOOKUP(B30,cennik!$A:$G,3,FALSE)</f>
        <v>0.13</v>
      </c>
      <c r="F30" s="91">
        <f>+E30*D30</f>
        <v>0</v>
      </c>
      <c r="G30" s="92">
        <f t="shared" si="0"/>
        <v>0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">
      <c r="A31" s="7" t="str">
        <f>+Faworyt!A32</f>
        <v>úchytková lišta</v>
      </c>
      <c r="B31" s="16" t="e">
        <f>+VLOOKUP(P7,data!$C$686:$D$687,2,0)</f>
        <v>#N/A</v>
      </c>
      <c r="C31" s="38" t="e">
        <f>+VLOOKUP(B31,cennik!$A:$G,2,FALSE)</f>
        <v>#N/A</v>
      </c>
      <c r="D31" s="17">
        <f>IF(B11&lt;=1347,D4*2/2,D4*2)</f>
        <v>0</v>
      </c>
      <c r="E31" s="207" t="e">
        <f>+VLOOKUP(B31,cennik!$A:$G,3,FALSE)</f>
        <v>#N/A</v>
      </c>
      <c r="F31" s="91" t="e">
        <f>+E31*D31</f>
        <v>#N/A</v>
      </c>
      <c r="G31" s="92" t="e">
        <f t="shared" si="0"/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">
      <c r="A32" s="7"/>
      <c r="B32" s="16"/>
      <c r="C32" s="25"/>
      <c r="D32" s="17"/>
      <c r="E32" s="91"/>
      <c r="F32" s="91"/>
      <c r="G32" s="92"/>
      <c r="H32" s="6"/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s="128" customFormat="1" ht="12.75" customHeight="1" x14ac:dyDescent="0.2">
      <c r="A33" s="14" t="str">
        <f>texty!$A$66</f>
        <v>Voliteľné príslušenstvo:</v>
      </c>
      <c r="B33" s="123"/>
      <c r="C33" s="124"/>
      <c r="D33" s="477" t="str">
        <f>Faworyt!$D$34</f>
        <v>zadajte počet:</v>
      </c>
      <c r="E33" s="132"/>
      <c r="F33" s="132"/>
      <c r="G33" s="133"/>
      <c r="H33" s="127"/>
      <c r="I33" s="469" t="str">
        <f>IFERROR(IF((VLOOKUP(B33,cennik!A:L,12,0))="O",texty!$A$250,""),"")</f>
        <v/>
      </c>
      <c r="J33" s="191"/>
      <c r="L33" s="127"/>
    </row>
    <row r="34" spans="1:12" ht="12.75" customHeight="1" x14ac:dyDescent="0.2">
      <c r="A34" s="72" t="str">
        <f>texty!$A$88</f>
        <v>pozicionér do horného vedenia</v>
      </c>
      <c r="B34" s="187">
        <v>298035</v>
      </c>
      <c r="C34" s="38" t="str">
        <f>+VLOOKUP(B34,cennik!$A:$G,2,FALSE)</f>
        <v>SEVROLL 20326 Fix pozicionér pre horný vozík transparentný</v>
      </c>
      <c r="D34" s="29"/>
      <c r="E34" s="207">
        <f>+VLOOKUP(B34,cennik!$A:$G,3,FALSE)</f>
        <v>1.0837300000000001</v>
      </c>
      <c r="F34" s="105">
        <f>+E34*D34</f>
        <v>0</v>
      </c>
      <c r="G34" s="104">
        <f t="shared" ref="G34:G57" si="2">+F34*(100-$G$23)/100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">
      <c r="A35" s="72" t="str">
        <f>texty!$A$111</f>
        <v xml:space="preserve">pozicionér </v>
      </c>
      <c r="B35" s="16">
        <f>IF(F4="Gemini",387424,89063)</f>
        <v>89063</v>
      </c>
      <c r="C35" s="38" t="str">
        <f>+VLOOKUP(B35,cennik!$A:$G,2,FALSE)</f>
        <v>SEVROLL 20080 pozicionér spodného vozíka HI-TEC</v>
      </c>
      <c r="D35" s="29"/>
      <c r="E35" s="207">
        <f>+VLOOKUP(B35,cennik!$A:$G,3,FALSE)</f>
        <v>0.30964000000000003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">
      <c r="A36" s="72" t="str">
        <f>texty!$A$228</f>
        <v> Tlmič dorazu MINI do 25 kg (pár)</v>
      </c>
      <c r="B36" s="16">
        <v>318662</v>
      </c>
      <c r="C36" s="25" t="str">
        <f>+VLOOKUP(B36,cennik!$A:$G,2,FALSE)</f>
        <v>SEVROLL 20368-SV tlmič dorazu Mini SV25 (14-25kg)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2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">
      <c r="A37" s="72" t="str">
        <f>texty!$A$229</f>
        <v> Tlmič dorazu MINI do 40 kg (pár)</v>
      </c>
      <c r="B37" s="24">
        <v>283956</v>
      </c>
      <c r="C37" s="25" t="str">
        <f>+VLOOKUP(B37,cennik!$A:$G,2,FALSE)</f>
        <v>SEVROLL 20258-SV tlmič dorazu Mini SV40 (25 - 40kg)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2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">
      <c r="A38" s="72" t="str">
        <f>texty!$A$230</f>
        <v> Tlmič dorazu MINI do 60 kg (pár)</v>
      </c>
      <c r="B38" s="24">
        <v>351743</v>
      </c>
      <c r="C38" s="25" t="str">
        <f>+VLOOKUP(B38,cennik!$A:$G,2,FALSE)</f>
        <v>SEVROLL 20339-SV tlmič dorazu Mini SV60 (40 - 60kg)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2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">
      <c r="A39" s="72" t="str">
        <f>texty!$A$231</f>
        <v> Tlmič pre stredné krídlo do 25 kg</v>
      </c>
      <c r="B39" s="24">
        <v>318663</v>
      </c>
      <c r="C39" s="25" t="str">
        <f>+VLOOKUP(B39,cennik!$A:$G,2,FALSE)</f>
        <v>SEVROLL 20363-SV tlmič Central 10/18mm obojstranný 25kg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2"/>
        <v>0</v>
      </c>
      <c r="H39" s="24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</row>
    <row r="40" spans="1:12" ht="12.75" customHeight="1" x14ac:dyDescent="0.2">
      <c r="A40" s="72" t="str">
        <f>texty!$A$232</f>
        <v> Tlmič pre stredné krídlo do 40 kg</v>
      </c>
      <c r="B40" s="24">
        <v>283955</v>
      </c>
      <c r="C40" s="25" t="str">
        <f>+VLOOKUP(B40,cennik!$A:$G,2,FALSE)</f>
        <v>SEVROLL 20319-SV tlmič Central 10/18mm obojstranný 25-40kg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2"/>
        <v>0</v>
      </c>
      <c r="H40" s="24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</row>
    <row r="41" spans="1:12" ht="12.75" customHeight="1" x14ac:dyDescent="0.2">
      <c r="A41" s="72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 L+P</v>
      </c>
      <c r="D41" s="29"/>
      <c r="E41" s="207">
        <f>+VLOOKUP(B41,cennik!$A:$G,3,FALSE)</f>
        <v>0</v>
      </c>
      <c r="F41" s="105">
        <f>+E41*D41</f>
        <v>0</v>
      </c>
      <c r="G41" s="104">
        <f>+F41*(100-$G$23)/100</f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</row>
    <row r="42" spans="1:12" ht="12.75" customHeight="1" x14ac:dyDescent="0.2">
      <c r="A42" s="72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L42" s="3"/>
    </row>
    <row r="43" spans="1:12" ht="12.75" customHeight="1" x14ac:dyDescent="0.2">
      <c r="A43" s="72" t="str">
        <f>texty!$A$196</f>
        <v>Spona dorazovej kefky</v>
      </c>
      <c r="B43" s="16">
        <v>223569</v>
      </c>
      <c r="C43" s="38" t="str">
        <f>+VLOOKUP(B43,cennik!$A:$G,2,FALSE)</f>
        <v>SEVROLL 20223 spona dorazovej kefky</v>
      </c>
      <c r="D43" s="29"/>
      <c r="E43" s="207">
        <f>+VLOOKUP(B43,cennik!$A:$G,3,FALSE)</f>
        <v>7.1209999999999996E-2</v>
      </c>
      <c r="F43" s="105">
        <f t="shared" si="3"/>
        <v>0</v>
      </c>
      <c r="G43" s="104">
        <f t="shared" si="2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L43" s="3"/>
    </row>
    <row r="44" spans="1:12" ht="12.75" customHeight="1" x14ac:dyDescent="0.2">
      <c r="A44" s="72" t="str">
        <f>texty!$A$114</f>
        <v>spojovací profil H18-3metre</v>
      </c>
      <c r="B44" s="16" t="e">
        <f>+VLOOKUP($P$7,data!$C$537:$D$547,2,0)</f>
        <v>#N/A</v>
      </c>
      <c r="C44" s="38" t="e">
        <f>+VLOOKUP(B44,cennik!$A:$G,2,FALSE)</f>
        <v>#N/A</v>
      </c>
      <c r="D44" s="29"/>
      <c r="E44" s="207" t="e">
        <f>+VLOOKUP(B44,cennik!$A:$G,3,FALSE)</f>
        <v>#N/A</v>
      </c>
      <c r="F44" s="105" t="e">
        <f t="shared" si="3"/>
        <v>#N/A</v>
      </c>
      <c r="G44" s="104" t="e">
        <f t="shared" si="2"/>
        <v>#N/A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L44" s="3"/>
    </row>
    <row r="45" spans="1:12" ht="12.75" customHeight="1" x14ac:dyDescent="0.2">
      <c r="A45" s="72" t="str">
        <f>texty!$A$115</f>
        <v>spojovací T profil - 3metre /s drážkou/</v>
      </c>
      <c r="B45" s="16" t="e">
        <f>+VLOOKUP($P$7,data!$C$548:$D$557,2,0)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 t="shared" si="3"/>
        <v>#N/A</v>
      </c>
      <c r="G45" s="104" t="e">
        <f t="shared" si="2"/>
        <v>#N/A</v>
      </c>
      <c r="H45" s="24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L45" s="3"/>
    </row>
    <row r="46" spans="1:12" ht="12.75" customHeight="1" x14ac:dyDescent="0.2">
      <c r="A46" s="72" t="str">
        <f>texty!$A$116</f>
        <v>spojovací T profil - 3metre /s lemom/</v>
      </c>
      <c r="B46" s="16" t="e">
        <f>+VLOOKUP($P$7,data!$C$558:$D$567,2,0)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3"/>
        <v>#N/A</v>
      </c>
      <c r="G46" s="104" t="e">
        <f t="shared" si="2"/>
        <v>#N/A</v>
      </c>
      <c r="H46" s="24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L46" s="3"/>
    </row>
    <row r="47" spans="1:12" ht="12.75" customHeight="1" x14ac:dyDescent="0.2">
      <c r="A47" s="72" t="str">
        <f>texty!$A$117</f>
        <v>"U" profil na DTD 18mm - 3 metre /hladký/</v>
      </c>
      <c r="B47" s="6" t="e">
        <f>+VLOOKUP($P$7,data!$C$568:$D$578,2,0)</f>
        <v>#N/A</v>
      </c>
      <c r="C47" s="38" t="e">
        <f>+VLOOKUP(B47,cennik!$A:$G,2,FALSE)</f>
        <v>#N/A</v>
      </c>
      <c r="D47" s="29"/>
      <c r="E47" s="207" t="e">
        <f>+VLOOKUP(B47,cennik!$A:$G,3,FALSE)</f>
        <v>#N/A</v>
      </c>
      <c r="F47" s="105" t="e">
        <f t="shared" si="3"/>
        <v>#N/A</v>
      </c>
      <c r="G47" s="104" t="e">
        <f t="shared" si="2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L47" s="3"/>
    </row>
    <row r="48" spans="1:12" ht="12.75" customHeight="1" x14ac:dyDescent="0.2">
      <c r="A48" s="72" t="str">
        <f>texty!$A$118</f>
        <v>"U" profil na DTD 18mm - 3 metre /lem/</v>
      </c>
      <c r="B48" s="16" t="e">
        <f>+VLOOKUP($P$7,data!$C$578:$D$588,2,0)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 t="shared" si="3"/>
        <v>#N/A</v>
      </c>
      <c r="G48" s="104" t="e">
        <f t="shared" si="2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L48" s="3"/>
    </row>
    <row r="49" spans="1:14" ht="12.75" customHeight="1" x14ac:dyDescent="0.2">
      <c r="A49" s="72" t="str">
        <f>texty!$A$119</f>
        <v>uholník mini 11x17mm - 1,7m</v>
      </c>
      <c r="B49" s="6" t="e">
        <f>+VLOOKUP($P$7,data!$C$589:$D$599,2,0)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>+E49*D49</f>
        <v>#N/A</v>
      </c>
      <c r="G49" s="104" t="e">
        <f t="shared" si="2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">
      <c r="A50" s="72" t="str">
        <f>texty!$A$120</f>
        <v>uholník mini 11x17mm - 2,35m</v>
      </c>
      <c r="B50" s="6" t="e">
        <f>+VLOOKUP($P$7,data!$C$600:$D$610,2,0)</f>
        <v>#N/A</v>
      </c>
      <c r="C50" s="38" t="e">
        <f>IF(B50=data!$D$64,texty!$A$239,+VLOOKUP(B50,cennik!$A$3:$G$907,2,FALSE))</f>
        <v>#N/A</v>
      </c>
      <c r="D50" s="29"/>
      <c r="E50" s="91" t="e">
        <f>IF(B50=data!$D$73,0,+VLOOKUP(B50,cennik!$A$3:$G$907,3,FALSE))</f>
        <v>#N/A</v>
      </c>
      <c r="F50" s="91" t="e">
        <f>+E50*D50</f>
        <v>#N/A</v>
      </c>
      <c r="G50" s="104" t="e">
        <f t="shared" si="2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">
      <c r="A51" s="72" t="str">
        <f>texty!$A$121</f>
        <v>uholník mini 11x17mm - 3m</v>
      </c>
      <c r="B51" s="15" t="e">
        <f>+VLOOKUP($P$7,data!$C$611:$D$621,2,0)</f>
        <v>#N/A</v>
      </c>
      <c r="C51" s="38" t="e">
        <f>IF(B51=data!$D$64,texty!$A$239,+VLOOKUP(B51,cennik!$A$3:$G$907,2,FALSE))</f>
        <v>#N/A</v>
      </c>
      <c r="D51" s="29"/>
      <c r="E51" s="91" t="e">
        <f>IF(B51=data!$D$73,0,+VLOOKUP(B51,cennik!$A$3:$G$907,3,FALSE))</f>
        <v>#N/A</v>
      </c>
      <c r="F51" s="91" t="e">
        <f>+E51*D51</f>
        <v>#N/A</v>
      </c>
      <c r="G51" s="104" t="e">
        <f t="shared" si="2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</row>
    <row r="52" spans="1:14" ht="12.75" customHeight="1" x14ac:dyDescent="0.2">
      <c r="A52" s="72" t="str">
        <f>texty!$A$122</f>
        <v>uholník K2 19x18mm - 1,7m</v>
      </c>
      <c r="B52" s="24" t="e">
        <f>+VLOOKUP($P$7,data!$C$622:$D$631,2,0)</f>
        <v>#N/A</v>
      </c>
      <c r="C52" s="38" t="e">
        <f>IF(B52=data!$D$64,texty!$A$239,+VLOOKUP(B52,cennik!$A$3:$G$907,2,FALSE))</f>
        <v>#N/A</v>
      </c>
      <c r="D52" s="29"/>
      <c r="E52" s="91" t="e">
        <f>IF(B52=data!$D$73,0,+VLOOKUP(B52,cennik!$A$3:$G$907,3,FALSE))</f>
        <v>#N/A</v>
      </c>
      <c r="F52" s="91" t="e">
        <f>+E52*D52</f>
        <v>#N/A</v>
      </c>
      <c r="G52" s="104" t="e">
        <f t="shared" si="2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">
      <c r="A53" s="72" t="str">
        <f>texty!$A$123</f>
        <v>uholník K2 19x18mm - 2,35m</v>
      </c>
      <c r="B53" s="16" t="e">
        <f>+VLOOKUP($P$7,data!$C$632:$D$641,2,0)</f>
        <v>#N/A</v>
      </c>
      <c r="C53" s="38" t="e">
        <f>IF(B53=data!$D$64,texty!$A$239,+VLOOKUP(B53,cennik!$A$3:$G$907,2,FALSE))</f>
        <v>#N/A</v>
      </c>
      <c r="D53" s="30"/>
      <c r="E53" s="91" t="e">
        <f>IF(B53=data!$D$73,0,+VLOOKUP(B53,cennik!$A$3:$G$907,3,FALSE))</f>
        <v>#N/A</v>
      </c>
      <c r="F53" s="91" t="e">
        <f t="shared" si="3"/>
        <v>#N/A</v>
      </c>
      <c r="G53" s="104" t="e">
        <f t="shared" si="2"/>
        <v>#N/A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">
      <c r="A54" s="72" t="str">
        <f>texty!$A$124</f>
        <v>uholník K2 19x18mm - 3,00m</v>
      </c>
      <c r="B54" s="16" t="e">
        <f>+VLOOKUP($P$7,data!$C$642:$D$651,2,0)</f>
        <v>#N/A</v>
      </c>
      <c r="C54" s="38" t="e">
        <f>IF(B54=data!$D$64,texty!$A$239,+VLOOKUP(B54,cennik!$A$3:$G$907,2,FALSE))</f>
        <v>#N/A</v>
      </c>
      <c r="D54" s="30"/>
      <c r="E54" s="91" t="e">
        <f>IF(B54=data!$D$73,0,+VLOOKUP(B54,cennik!$A$3:$G$907,3,FALSE))</f>
        <v>#N/A</v>
      </c>
      <c r="F54" s="91" t="e">
        <f t="shared" si="3"/>
        <v>#N/A</v>
      </c>
      <c r="G54" s="104" t="e">
        <f t="shared" si="2"/>
        <v>#N/A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">
      <c r="A55" s="145" t="str">
        <f>texty!$A$241</f>
        <v>klínok pre dilatáciu výplne 16mm</v>
      </c>
      <c r="B55" s="16">
        <v>308631</v>
      </c>
      <c r="C55" s="38" t="str">
        <f>+VLOOKUP(B55,cennik!$A:$G,2,FALSE)</f>
        <v>SEVROLL 20252 klin pre lamino hrúbka 2mm (100 ks)</v>
      </c>
      <c r="D55" s="29"/>
      <c r="E55" s="207">
        <f>+VLOOKUP(B55,cennik!$A:$G,3,FALSE)</f>
        <v>8.7214100000000006</v>
      </c>
      <c r="F55" s="105">
        <f t="shared" si="3"/>
        <v>0</v>
      </c>
      <c r="G55" s="104">
        <f t="shared" si="2"/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">
      <c r="A56" s="72" t="str">
        <f>texty!$A$240</f>
        <v>zámok posuvných dverí</v>
      </c>
      <c r="B56" s="24">
        <v>216363</v>
      </c>
      <c r="C56" s="38" t="str">
        <f>+VLOOKUP(B56,cennik!$A:$G,2,FALSE)</f>
        <v>SEVROLL 20356 zámok na posuvné dvere 10/18mm</v>
      </c>
      <c r="D56" s="29"/>
      <c r="E56" s="207">
        <f>+VLOOKUP(B56,cennik!$A:$G,3,FALSE)</f>
        <v>15.72176</v>
      </c>
      <c r="F56" s="105">
        <f t="shared" si="3"/>
        <v>0</v>
      </c>
      <c r="G56" s="104">
        <f t="shared" si="2"/>
        <v>0</v>
      </c>
      <c r="H56" s="6" t="str">
        <f>cennik!$B$2</f>
        <v>EUR</v>
      </c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">
      <c r="A57" s="72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07">
        <f>+VLOOKUP(B57,cennik!$A:$G,3,FALSE)</f>
        <v>0.29721999999999998</v>
      </c>
      <c r="F57" s="105">
        <f t="shared" si="3"/>
        <v>0</v>
      </c>
      <c r="G57" s="104">
        <f t="shared" si="2"/>
        <v>0</v>
      </c>
      <c r="H57" s="6" t="str">
        <f>cennik!$B$2</f>
        <v>EUR</v>
      </c>
      <c r="I57" s="469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4" ht="12.75" customHeight="1" x14ac:dyDescent="0.2">
      <c r="A58" s="7"/>
      <c r="B58" s="24"/>
      <c r="C58" s="25"/>
      <c r="D58" s="207"/>
      <c r="E58" s="207"/>
      <c r="F58" s="105"/>
      <c r="G58" s="104"/>
      <c r="H58" s="6"/>
      <c r="I58" s="181"/>
      <c r="J58" s="191"/>
      <c r="L58" s="6"/>
    </row>
    <row r="59" spans="1:14" ht="15" x14ac:dyDescent="0.2">
      <c r="A59" s="271" t="str">
        <f>texty!$A$190</f>
        <v>Ďalšie príslušenstvo</v>
      </c>
      <c r="B59" s="272"/>
      <c r="C59" s="272"/>
      <c r="D59" s="272"/>
      <c r="E59" s="272"/>
      <c r="F59" s="272"/>
      <c r="G59" s="272"/>
      <c r="H59" s="272"/>
      <c r="I59" s="272"/>
      <c r="J59" s="272"/>
      <c r="K59" s="134"/>
      <c r="L59" s="6"/>
    </row>
    <row r="60" spans="1:14" ht="12.75" customHeight="1" x14ac:dyDescent="0.2">
      <c r="A60" s="271" t="str">
        <f>texty!$A$244</f>
        <v>Technický nákres tohoto systému</v>
      </c>
      <c r="B60" s="17"/>
      <c r="C60" s="25"/>
      <c r="D60" s="76" t="str">
        <f>Faworyt!D61</f>
        <v>CELKOM  (bez DPH)</v>
      </c>
      <c r="E60" s="114"/>
      <c r="F60" s="117" t="e">
        <f>SUM(F25:F57)</f>
        <v>#N/A</v>
      </c>
      <c r="G60" s="118" t="e">
        <f>SUM(G25:G57)</f>
        <v>#N/A</v>
      </c>
      <c r="H60" s="6" t="str">
        <f>cennik!$B$2</f>
        <v>EUR</v>
      </c>
      <c r="L60" s="6"/>
    </row>
    <row r="61" spans="1:14" ht="12.75" customHeight="1" x14ac:dyDescent="0.2">
      <c r="A61" s="75" t="str">
        <f>System10!$A$67</f>
        <v>Vaša poznámka:</v>
      </c>
      <c r="B61" s="661"/>
      <c r="C61" s="662"/>
      <c r="D61" s="662"/>
      <c r="E61" s="662"/>
      <c r="F61" s="662"/>
      <c r="G61" s="663"/>
      <c r="H61" s="6"/>
      <c r="L61" s="6"/>
    </row>
    <row r="62" spans="1:14" ht="12.75" customHeight="1" x14ac:dyDescent="0.2">
      <c r="A62" s="659">
        <f>profil!$U$15</f>
        <v>0</v>
      </c>
      <c r="B62" s="649"/>
      <c r="C62" s="649"/>
      <c r="D62" s="649"/>
      <c r="E62" s="649"/>
      <c r="F62" s="649"/>
      <c r="G62" s="649"/>
      <c r="H62" s="649"/>
      <c r="L62" s="6" t="str">
        <f>texty!A128</f>
        <v xml:space="preserve">strieborná </v>
      </c>
      <c r="M62" s="21" t="s">
        <v>987</v>
      </c>
    </row>
    <row r="63" spans="1:14" ht="12.75" customHeight="1" x14ac:dyDescent="0.2">
      <c r="A63" s="650">
        <f>IF(N63=1,texty!$A$215,IF(J63&gt;0,texty!$A$214,""))</f>
        <v>0</v>
      </c>
      <c r="B63" s="650"/>
      <c r="C63" s="650"/>
      <c r="D63" s="650"/>
      <c r="E63" s="650"/>
      <c r="F63" s="650"/>
      <c r="G63" s="650"/>
      <c r="H63" s="650"/>
      <c r="J63" s="6" t="e">
        <f>SUM(J25:J57)</f>
        <v>#N/A</v>
      </c>
      <c r="L63" s="6" t="str">
        <f>texty!A130</f>
        <v>oliva</v>
      </c>
      <c r="M63" s="21" t="s">
        <v>43</v>
      </c>
      <c r="N63" s="5">
        <f>IF(ISERROR(J63),1,0)</f>
        <v>1</v>
      </c>
    </row>
    <row r="64" spans="1:14" ht="12.75" customHeight="1" x14ac:dyDescent="0.2">
      <c r="A64" s="63"/>
    </row>
    <row r="65" ht="12.75" customHeight="1" x14ac:dyDescent="0.2"/>
  </sheetData>
  <sheetProtection algorithmName="SHA-512" hashValue="L50g7n24voRi3Yf2iYEjUwFFQnrYXS0UwoDhDrK9kzuCs/yo/Whyry/reHUhL6X6n2LA5UpJuzZl2m3l7nmk0A==" saltValue="gwC4NdUZFhAzXgiuB8+LNQ==" spinCount="100000" sheet="1" objects="1" scenarios="1" selectLockedCell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55" priority="3">
      <formula>SUM($D$39:$D$40)&gt;0</formula>
    </cfRule>
  </conditionalFormatting>
  <conditionalFormatting sqref="D6">
    <cfRule type="expression" dxfId="53" priority="9">
      <formula>$D$4=4</formula>
    </cfRule>
    <cfRule type="expression" dxfId="52" priority="10">
      <formula>$D$4&lt;&gt;4</formula>
    </cfRule>
  </conditionalFormatting>
  <conditionalFormatting sqref="G4">
    <cfRule type="expression" dxfId="51" priority="8">
      <formula>$D$4=4</formula>
    </cfRule>
  </conditionalFormatting>
  <conditionalFormatting sqref="I16:I17">
    <cfRule type="expression" dxfId="50" priority="4">
      <formula>$F$4=$M$63</formula>
    </cfRule>
  </conditionalFormatting>
  <conditionalFormatting sqref="I18:I19">
    <cfRule type="expression" dxfId="4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:F6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6">
    <pageSetUpPr fitToPage="1"/>
  </sheetPr>
  <dimension ref="A1:Q61"/>
  <sheetViews>
    <sheetView showGridLines="0" zoomScale="85" zoomScaleNormal="85" workbookViewId="0">
      <selection activeCell="B4" sqref="B4"/>
    </sheetView>
  </sheetViews>
  <sheetFormatPr defaultColWidth="0" defaultRowHeight="0" customHeight="1" zeroHeight="1" x14ac:dyDescent="0.2"/>
  <cols>
    <col min="1" max="1" width="37" style="5" customWidth="1"/>
    <col min="2" max="2" width="15.7109375" style="5" customWidth="1"/>
    <col min="3" max="3" width="46.42578125" style="5" bestFit="1" customWidth="1"/>
    <col min="4" max="4" width="14.140625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-10</v>
      </c>
    </row>
    <row r="2" spans="1:16" ht="18.75" customHeight="1" x14ac:dyDescent="0.2">
      <c r="A2" s="523" t="s">
        <v>601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",5,".",82)</f>
        <v>katalóg kovania 2018 str. 5.82</v>
      </c>
      <c r="B3" s="420" t="str">
        <f>CONCATENATE(texty!A34," / max.         2 742 mm /")</f>
        <v>výška / max.         2 742 mm /</v>
      </c>
      <c r="C3" s="421" t="str">
        <f>CONCATENATE(texty!A35," / max 3 600 mm /")</f>
        <v>šírka / max 3 600 mm /</v>
      </c>
      <c r="D3" s="9" t="str">
        <f>+System10!D3</f>
        <v>počet dverí:</v>
      </c>
      <c r="E3" s="9" t="str">
        <f>+System10!E3</f>
        <v>farba</v>
      </c>
      <c r="F3" s="9"/>
      <c r="G3" s="6"/>
      <c r="H3" s="6"/>
      <c r="L3" s="6"/>
    </row>
    <row r="4" spans="1:16" ht="18" customHeight="1" x14ac:dyDescent="0.2">
      <c r="A4" s="10" t="str">
        <f>+System10!A4</f>
        <v>VNÚTORNÝ ROZMER SKRINE:</v>
      </c>
      <c r="B4" s="56"/>
      <c r="C4" s="56"/>
      <c r="D4" s="22"/>
      <c r="E4" s="22"/>
      <c r="F4" s="9"/>
      <c r="G4" s="647"/>
      <c r="H4" s="647"/>
      <c r="I4" s="647"/>
      <c r="K4" s="190"/>
      <c r="L4" s="8"/>
    </row>
    <row r="5" spans="1:16" ht="18" customHeight="1" x14ac:dyDescent="0.2">
      <c r="A5" s="10"/>
      <c r="B5" s="664" t="str">
        <f>texty!A46</f>
        <v>vypíšte tieto 4 políčka !!! Údaje v mm</v>
      </c>
      <c r="C5" s="664"/>
      <c r="D5" s="664"/>
      <c r="E5" s="664"/>
      <c r="F5" s="471"/>
      <c r="G5" s="647"/>
      <c r="H5" s="647"/>
      <c r="I5" s="647"/>
      <c r="K5" s="190"/>
      <c r="L5" s="3"/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</row>
    <row r="7" spans="1:16" ht="12.75" customHeight="1" x14ac:dyDescent="0.2">
      <c r="A7" s="10" t="str">
        <f>texty!A47</f>
        <v>krídlo dverí:</v>
      </c>
      <c r="B7" s="57">
        <f>+B4-42</f>
        <v>-42</v>
      </c>
      <c r="C7" s="59" t="e">
        <f>+((C4+40*(D4-1))/D4)</f>
        <v>#DIV/0!</v>
      </c>
      <c r="D7" s="8"/>
      <c r="E7" s="8"/>
      <c r="F7" s="8"/>
      <c r="G7" s="647"/>
      <c r="H7" s="647"/>
      <c r="I7" s="647"/>
      <c r="L7" s="6"/>
      <c r="O7" s="17">
        <f>IF(C4&lt;1801,1800,IF(C4&lt;2701,2700,IF(C4&lt;3601,3600,texty!A178)))</f>
        <v>1800</v>
      </c>
      <c r="P7" s="21">
        <f>+E4</f>
        <v>0</v>
      </c>
    </row>
    <row r="8" spans="1:16" ht="12.75" customHeight="1" x14ac:dyDescent="0.2">
      <c r="A8" s="10" t="str">
        <f>texty!A48</f>
        <v>rozmer výplne 18mm:</v>
      </c>
      <c r="B8" s="57">
        <f>+B7-2</f>
        <v>-44</v>
      </c>
      <c r="C8" s="59" t="e">
        <f>+C7-3.5</f>
        <v>#DIV/0!</v>
      </c>
      <c r="D8" s="8"/>
      <c r="E8" s="8"/>
      <c r="F8" s="8"/>
      <c r="G8" s="51"/>
      <c r="H8" s="6"/>
      <c r="L8" s="6"/>
      <c r="O8" s="23" t="str">
        <f>CONCATENATE(O7,"-",E4)</f>
        <v>1800-</v>
      </c>
      <c r="P8" s="21"/>
    </row>
    <row r="9" spans="1:16" ht="12.75" customHeight="1" x14ac:dyDescent="0.2">
      <c r="A9" s="10" t="str">
        <f>texty!A49</f>
        <v>rozmer výplne 12mm:</v>
      </c>
      <c r="B9" s="57">
        <f>+B8</f>
        <v>-44</v>
      </c>
      <c r="C9" s="59" t="e">
        <f>+C7-3.5</f>
        <v>#DIV/0!</v>
      </c>
      <c r="D9" s="8"/>
      <c r="E9" s="8"/>
      <c r="F9" s="8"/>
      <c r="G9" s="3" t="str">
        <f>Faworyt!G8</f>
        <v>Maximálna hmotnosť krídla je 50 kg</v>
      </c>
      <c r="H9" s="6"/>
      <c r="L9" s="37"/>
      <c r="M9" s="36"/>
    </row>
    <row r="10" spans="1:16" ht="12.75" customHeight="1" x14ac:dyDescent="0.2">
      <c r="A10" s="10" t="str">
        <f>texty!A50</f>
        <v>rozmer zrkadla /na DTD 12mm/</v>
      </c>
      <c r="B10" s="61">
        <f>+B8-4</f>
        <v>-48</v>
      </c>
      <c r="C10" s="65" t="e">
        <f>+C9-6</f>
        <v>#DIV/0!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">
      <c r="A11" s="10" t="str">
        <f>texty!$A$51</f>
        <v>Dĺžka úchytkového profilu (+2 mm)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">
      <c r="A12" s="10"/>
      <c r="B12" s="170" t="e">
        <f>IF(B7&gt;2400,texty!A194,IF(C7&gt;700,texty!$A$194,""))</f>
        <v>#DIV/0!</v>
      </c>
      <c r="C12" s="85"/>
      <c r="D12" s="8"/>
      <c r="H12" s="6"/>
      <c r="L12" s="6"/>
    </row>
    <row r="13" spans="1:16" ht="25.5" x14ac:dyDescent="0.2">
      <c r="A13" s="635" t="str">
        <f>IF(SUM(D38:D39)&gt;0,texty!A246,"")</f>
        <v/>
      </c>
      <c r="B13" s="635"/>
      <c r="C13" s="501" t="str">
        <f>texty!A78</f>
        <v>dodatočné odpočty výšky vypočítaných výplní pri použití deliacich profilov výplne:</v>
      </c>
      <c r="D13" s="8"/>
      <c r="G13" s="6"/>
      <c r="L13" s="35"/>
    </row>
    <row r="14" spans="1:16" ht="12.75" x14ac:dyDescent="0.2">
      <c r="A14" s="635"/>
      <c r="B14" s="635"/>
      <c r="C14" s="501"/>
      <c r="D14" s="8"/>
      <c r="G14" s="6"/>
      <c r="L14" s="35"/>
    </row>
    <row r="15" spans="1:16" ht="12.75" x14ac:dyDescent="0.2">
      <c r="A15" s="7"/>
      <c r="B15" s="58"/>
      <c r="C15" s="501"/>
      <c r="D15" s="8"/>
      <c r="G15" s="6"/>
      <c r="L15" s="35"/>
    </row>
    <row r="16" spans="1:16" ht="12.75" customHeight="1" x14ac:dyDescent="0.2">
      <c r="A16" s="188"/>
      <c r="B16" s="64"/>
      <c r="C16" s="164"/>
      <c r="D16" s="8"/>
      <c r="E16" s="8"/>
      <c r="F16" s="8"/>
      <c r="G16" s="6"/>
      <c r="H16" s="6"/>
      <c r="L16" s="6"/>
    </row>
    <row r="17" spans="1:12" ht="12.75" customHeight="1" x14ac:dyDescent="0.2">
      <c r="A17" s="10"/>
      <c r="B17" s="8"/>
      <c r="C17" s="12"/>
      <c r="D17" s="8"/>
      <c r="E17" s="8"/>
      <c r="F17" s="8"/>
      <c r="G17" s="6"/>
      <c r="H17" s="6"/>
      <c r="L17" s="6"/>
    </row>
    <row r="18" spans="1:12" ht="12.75" customHeight="1" x14ac:dyDescent="0.2">
      <c r="A18" s="10"/>
      <c r="B18" s="8"/>
      <c r="C18" s="12"/>
      <c r="D18" s="8"/>
      <c r="E18" s="8"/>
      <c r="F18" s="8"/>
      <c r="G18" s="6"/>
      <c r="H18" s="6"/>
      <c r="L18" s="6"/>
    </row>
    <row r="19" spans="1:12" ht="14.25" customHeight="1" x14ac:dyDescent="0.2">
      <c r="A19" s="10"/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">
      <c r="A21" s="485" t="s">
        <v>1013</v>
      </c>
      <c r="B21" s="506" t="s">
        <v>1020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">
      <c r="A22" s="7"/>
      <c r="B22" s="8"/>
      <c r="C22" s="8"/>
      <c r="D22" s="8"/>
      <c r="E22" s="8"/>
      <c r="F22" s="6"/>
      <c r="G22" s="134" t="str">
        <f>+System10!G25</f>
        <v>partnerská zľava:</v>
      </c>
      <c r="H22" s="6"/>
      <c r="L22" s="6"/>
    </row>
    <row r="23" spans="1:12" ht="12.75" customHeight="1" x14ac:dyDescent="0.2">
      <c r="A23" s="14" t="str">
        <f>+System10!$A$26</f>
        <v>Objednávacie kódy, ceny:</v>
      </c>
      <c r="B23" s="8"/>
      <c r="C23" s="8"/>
      <c r="D23" s="8"/>
      <c r="E23" s="8"/>
      <c r="F23" s="6"/>
      <c r="G23" s="120">
        <f>profil!C15</f>
        <v>0</v>
      </c>
      <c r="H23" s="6" t="s">
        <v>57</v>
      </c>
      <c r="L23" s="6"/>
    </row>
    <row r="24" spans="1:12" s="82" customFormat="1" ht="12.75" customHeight="1" x14ac:dyDescent="0.2">
      <c r="B24" s="81" t="str">
        <f>+System10!B27</f>
        <v>kód</v>
      </c>
      <c r="C24" s="81" t="str">
        <f>+System10!C27</f>
        <v>názov</v>
      </c>
      <c r="D24" s="81" t="str">
        <f>+System10!D27</f>
        <v>ks</v>
      </c>
      <c r="E24" s="81" t="str">
        <f>+System10!E27</f>
        <v>cena/ks</v>
      </c>
      <c r="F24" s="18" t="str">
        <f>+System10!F27</f>
        <v>cena celkom</v>
      </c>
      <c r="G24" s="18" t="str">
        <f>+System10!G27</f>
        <v>celkom netto:</v>
      </c>
      <c r="H24" s="18"/>
      <c r="I24" s="18" t="str">
        <f>texty!A29</f>
        <v>Poznámka:</v>
      </c>
      <c r="J24" s="18"/>
      <c r="L24" s="18"/>
    </row>
    <row r="25" spans="1:12" ht="12.75" customHeight="1" x14ac:dyDescent="0.2">
      <c r="A25" s="7" t="str">
        <f>+Faworyt!A26</f>
        <v>Horný profil:</v>
      </c>
      <c r="B25" s="8" t="e">
        <f>+VLOOKUP(O8,data!$C$773:$D$775,2,0)</f>
        <v>#N/A</v>
      </c>
      <c r="C25" s="38" t="e">
        <f>+VLOOKUP(B25,cennik!$A:$G,2,FALSE)</f>
        <v>#N/A</v>
      </c>
      <c r="D25" s="8">
        <v>1</v>
      </c>
      <c r="E25" s="207" t="e">
        <f>+VLOOKUP(B25,cennik!$A:$G,3,FALSE)</f>
        <v>#N/A</v>
      </c>
      <c r="F25" s="91" t="e">
        <f t="shared" ref="F25:F30" si="0">+E25*D25</f>
        <v>#N/A</v>
      </c>
      <c r="G25" s="92" t="e">
        <f t="shared" ref="G25:G30" si="1"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J25" s="191" t="e">
        <f>IF(D25&gt;0,IF(VLOOKUP(B25,cennik!A:L,12,FALSE)="O",1,""),"")</f>
        <v>#N/A</v>
      </c>
      <c r="L25" s="6"/>
    </row>
    <row r="26" spans="1:12" ht="12.75" customHeight="1" x14ac:dyDescent="0.2">
      <c r="A26" s="7" t="str">
        <f>+Faworyt!A27</f>
        <v>spodný profil:</v>
      </c>
      <c r="B26" s="8" t="e">
        <f>+VLOOKUP(O8,data!$C$776:$D$778,2,0)</f>
        <v>#N/A</v>
      </c>
      <c r="C26" s="38" t="e">
        <f>+VLOOKUP(B26,cennik!$A:$G,2,FALSE)</f>
        <v>#N/A</v>
      </c>
      <c r="D26" s="8">
        <v>1</v>
      </c>
      <c r="E26" s="207" t="e">
        <f>+VLOOKUP(B26,cennik!$A:$G,3,FALSE)</f>
        <v>#N/A</v>
      </c>
      <c r="F26" s="91" t="e">
        <f t="shared" si="0"/>
        <v>#N/A</v>
      </c>
      <c r="G26" s="92" t="e">
        <f t="shared" si="1"/>
        <v>#N/A</v>
      </c>
      <c r="H26" s="6" t="str">
        <f>cennik!$B$2</f>
        <v>EUR</v>
      </c>
      <c r="I26" s="469" t="str">
        <f>IFERROR(IF((VLOOKUP(B26,cennik!A:L,12,0))="O",texty!$A$250,""),"")</f>
        <v/>
      </c>
      <c r="J26" s="191" t="e">
        <f>IF(D26&gt;0,IF(VLOOKUP(B26,cennik!A:L,12,FALSE)="O",1,""),"")</f>
        <v>#N/A</v>
      </c>
      <c r="L26" s="6"/>
    </row>
    <row r="27" spans="1:12" ht="12.75" customHeight="1" x14ac:dyDescent="0.2">
      <c r="A27" s="7" t="str">
        <f>+Faworyt!A29</f>
        <v>horný vozík</v>
      </c>
      <c r="B27" s="16">
        <v>228023</v>
      </c>
      <c r="C27" s="38" t="str">
        <f>+VLOOKUP(B27,cennik!$A:$G,2,FALSE)</f>
        <v>SEVROLL 10196 Focus horný vozík 18mm 2ks</v>
      </c>
      <c r="D27" s="17">
        <f>IF((D41+D40)&gt;D4,0,D4-(D40+D41))</f>
        <v>0</v>
      </c>
      <c r="E27" s="207">
        <f>+VLOOKUP(B27,cennik!$A:$G,3,FALSE)</f>
        <v>3.9014199999999999</v>
      </c>
      <c r="F27" s="91">
        <f t="shared" si="0"/>
        <v>0</v>
      </c>
      <c r="G27" s="92">
        <f t="shared" si="1"/>
        <v>0</v>
      </c>
      <c r="H27" s="6" t="str">
        <f>cennik!$B$2</f>
        <v>EUR</v>
      </c>
      <c r="I27" s="469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">
      <c r="A28" s="7" t="str">
        <f>+Faworyt!A30</f>
        <v>spodný vozík</v>
      </c>
      <c r="B28" s="16">
        <v>362316</v>
      </c>
      <c r="C28" s="38" t="str">
        <f>+VLOOKUP(B28,cennik!$A:$G,2,FALSE)</f>
        <v>SEVROLL 10237 2x spodný vozík pre lamino 18mm bez pozicionéru bez pružiny</v>
      </c>
      <c r="D28" s="17">
        <f>+D4</f>
        <v>0</v>
      </c>
      <c r="E28" s="207">
        <f>+VLOOKUP(B28,cennik!$A:$G,3,FALSE)</f>
        <v>4.8767699999999996</v>
      </c>
      <c r="F28" s="91">
        <f t="shared" si="0"/>
        <v>0</v>
      </c>
      <c r="G28" s="92">
        <f t="shared" si="1"/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">
      <c r="A29" s="7" t="str">
        <f>+Faworyt!A31</f>
        <v>dorazový kartáč</v>
      </c>
      <c r="B29" s="16">
        <v>89131</v>
      </c>
      <c r="C29" s="38" t="str">
        <f>+VLOOKUP(B29,cennik!$A:$G,2,FALSE)</f>
        <v>SEVROLL dorazový kartáč samolepiaci 6,7x4mm</v>
      </c>
      <c r="D29" s="17">
        <f>CEILING((B4*D4*2/1000),1)</f>
        <v>0</v>
      </c>
      <c r="E29" s="207">
        <f>+VLOOKUP(B29,cennik!$A:$G,3,FALSE)</f>
        <v>0.17854</v>
      </c>
      <c r="F29" s="91">
        <f t="shared" si="0"/>
        <v>0</v>
      </c>
      <c r="G29" s="92">
        <f t="shared" si="1"/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">
      <c r="A30" s="7" t="str">
        <f>+Faworyt!A32</f>
        <v>úchytková lišta</v>
      </c>
      <c r="B30" s="16" t="e">
        <f>+VLOOKUP(P7,data!$C$771:$D$771,2,0)</f>
        <v>#N/A</v>
      </c>
      <c r="C30" s="38" t="e">
        <f>+VLOOKUP(B30,cennik!$A:$G,2,FALSE)</f>
        <v>#N/A</v>
      </c>
      <c r="D30" s="17">
        <f>IF(B11&lt;=1347,D4*2/2,D4*2)</f>
        <v>0</v>
      </c>
      <c r="E30" s="207" t="e">
        <f>+VLOOKUP(B30,cennik!$A:$G,3,FALSE)</f>
        <v>#N/A</v>
      </c>
      <c r="F30" s="91" t="e">
        <f t="shared" si="0"/>
        <v>#N/A</v>
      </c>
      <c r="G30" s="92" t="e">
        <f t="shared" si="1"/>
        <v>#N/A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">
      <c r="A31" s="7"/>
      <c r="B31" s="16"/>
      <c r="C31" s="25"/>
      <c r="D31" s="17"/>
      <c r="E31" s="91"/>
      <c r="F31" s="91"/>
      <c r="G31" s="92"/>
      <c r="H31" s="6"/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s="128" customFormat="1" ht="12.75" customHeight="1" x14ac:dyDescent="0.2">
      <c r="A32" s="14" t="str">
        <f>texty!$A$66</f>
        <v>Voliteľné príslušenstvo:</v>
      </c>
      <c r="B32" s="123"/>
      <c r="C32" s="124"/>
      <c r="D32" s="477" t="str">
        <f>Faworyt!$D$34</f>
        <v>zadajte počet:</v>
      </c>
      <c r="E32" s="132"/>
      <c r="F32" s="132"/>
      <c r="G32" s="133"/>
      <c r="H32" s="127"/>
      <c r="I32" s="469" t="str">
        <f>IFERROR(IF((VLOOKUP(B32,cennik!A:L,12,0))="O",texty!$A$250,""),"")</f>
        <v/>
      </c>
      <c r="J32" s="191"/>
      <c r="L32" s="127"/>
    </row>
    <row r="33" spans="1:13" ht="12.75" customHeight="1" x14ac:dyDescent="0.2">
      <c r="A33" s="72" t="str">
        <f>texty!$A$88</f>
        <v>pozicionér do horného vedenia</v>
      </c>
      <c r="B33" s="187">
        <v>298035</v>
      </c>
      <c r="C33" s="38" t="str">
        <f>+VLOOKUP(B33,cennik!$A:$G,2,FALSE)</f>
        <v>SEVROLL 20326 Fix pozicionér pre horný vozík transparentný</v>
      </c>
      <c r="D33" s="29"/>
      <c r="E33" s="207">
        <f>+VLOOKUP(B33,cennik!$A:$G,3,FALSE)</f>
        <v>1.0837300000000001</v>
      </c>
      <c r="F33" s="105">
        <f>+E33*D33</f>
        <v>0</v>
      </c>
      <c r="G33" s="104">
        <f>+F33*(100-$H$21)/100</f>
        <v>0</v>
      </c>
      <c r="H33" s="6" t="str">
        <f>cennik!$B$2</f>
        <v>EUR</v>
      </c>
      <c r="I33" s="469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  <c r="M33" s="6"/>
    </row>
    <row r="34" spans="1:13" ht="12.75" customHeight="1" x14ac:dyDescent="0.2">
      <c r="A34" s="72" t="str">
        <f>texty!$A$111</f>
        <v xml:space="preserve">pozicionér </v>
      </c>
      <c r="B34" s="16">
        <v>89063</v>
      </c>
      <c r="C34" s="38" t="str">
        <f>+VLOOKUP(B34,cennik!$A:$G,2,FALSE)</f>
        <v>SEVROLL 20080 pozicionér spodného vozíka HI-TEC</v>
      </c>
      <c r="D34" s="29"/>
      <c r="E34" s="207">
        <f>+VLOOKUP(B34,cennik!$A:$G,3,FALSE)</f>
        <v>0.30964000000000003</v>
      </c>
      <c r="F34" s="105">
        <f>+E34*D34</f>
        <v>0</v>
      </c>
      <c r="G34" s="104">
        <f t="shared" ref="G34:G52" si="2">+F34*(100-$H$21)/100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  <c r="M34" s="6"/>
    </row>
    <row r="35" spans="1:13" ht="12.75" customHeight="1" x14ac:dyDescent="0.2">
      <c r="A35" s="72" t="str">
        <f>texty!$A$228</f>
        <v> Tlmič dorazu MINI do 25 kg (pár)</v>
      </c>
      <c r="B35" s="16">
        <v>318662</v>
      </c>
      <c r="C35" s="25" t="str">
        <f>+VLOOKUP(B35,cennik!$A:$G,2,FALSE)</f>
        <v>SEVROLL 20368-SV tlmič dorazu Mini SV25 (14-25kg)</v>
      </c>
      <c r="D35" s="373"/>
      <c r="E35" s="91">
        <f>+VLOOKUP(B35,cennik!$A:$G,3,FALSE)</f>
        <v>22.75825</v>
      </c>
      <c r="F35" s="96">
        <f>+CEILING(D35,1)*E35</f>
        <v>0</v>
      </c>
      <c r="G35" s="104">
        <f t="shared" si="2"/>
        <v>0</v>
      </c>
      <c r="H35" s="24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6"/>
    </row>
    <row r="36" spans="1:13" ht="12.75" customHeight="1" x14ac:dyDescent="0.2">
      <c r="A36" s="72" t="str">
        <f>texty!$A$229</f>
        <v> Tlmič dorazu MINI do 40 kg (pár)</v>
      </c>
      <c r="B36" s="24">
        <v>283956</v>
      </c>
      <c r="C36" s="25" t="str">
        <f>+VLOOKUP(B36,cennik!$A:$G,2,FALSE)</f>
        <v>SEVROLL 20258-SV tlmič dorazu Mini SV40 (25 - 40kg)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2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6"/>
    </row>
    <row r="37" spans="1:13" ht="12.75" customHeight="1" x14ac:dyDescent="0.2">
      <c r="A37" s="72" t="str">
        <f>texty!$A$230</f>
        <v> Tlmič dorazu MINI do 60 kg (pár)</v>
      </c>
      <c r="B37" s="24">
        <v>351743</v>
      </c>
      <c r="C37" s="25" t="str">
        <f>+VLOOKUP(B37,cennik!$A:$G,2,FALSE)</f>
        <v>SEVROLL 20339-SV tlmič dorazu Mini SV60 (40 - 60kg)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2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6"/>
    </row>
    <row r="38" spans="1:13" ht="12.75" customHeight="1" x14ac:dyDescent="0.2">
      <c r="A38" s="72" t="str">
        <f>texty!$A$231</f>
        <v> Tlmič pre stredné krídlo do 25 kg</v>
      </c>
      <c r="B38" s="24">
        <v>318663</v>
      </c>
      <c r="C38" s="25" t="str">
        <f>+VLOOKUP(B38,cennik!$A:$G,2,FALSE)</f>
        <v>SEVROLL 20363-SV tlmič Central 10/18mm obojstranný 25kg</v>
      </c>
      <c r="D38" s="373"/>
      <c r="E38" s="91">
        <f>+VLOOKUP(B38,cennik!$A:$G,3,FALSE)</f>
        <v>48.741869999999999</v>
      </c>
      <c r="F38" s="96">
        <f>+CEILING(D38,1)*E38</f>
        <v>0</v>
      </c>
      <c r="G38" s="104">
        <f t="shared" si="2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6"/>
    </row>
    <row r="39" spans="1:13" ht="12.75" customHeight="1" x14ac:dyDescent="0.2">
      <c r="A39" s="72" t="str">
        <f>texty!$A$232</f>
        <v> Tlmič pre stredné krídlo do 40 kg</v>
      </c>
      <c r="B39" s="24">
        <v>283955</v>
      </c>
      <c r="C39" s="25" t="str">
        <f>+VLOOKUP(B39,cennik!$A:$G,2,FALSE)</f>
        <v>SEVROLL 20319-SV tlmič Central 10/18mm obojstranný 25-40kg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2"/>
        <v>0</v>
      </c>
      <c r="H39" s="24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6"/>
    </row>
    <row r="40" spans="1:13" ht="12.75" customHeight="1" x14ac:dyDescent="0.2">
      <c r="A40" s="72" t="str">
        <f>texty!$A$97</f>
        <v>tlmič dorazu (pár) 25 kg</v>
      </c>
      <c r="B40" s="24">
        <v>227185</v>
      </c>
      <c r="C40" s="38" t="str">
        <f>+VLOOKUP(B40,cennik!$A:$G,2,FALSE)</f>
        <v>K-SEVROLL tlmič dorazu 10/18mm 14-25kg L+P</v>
      </c>
      <c r="D40" s="29"/>
      <c r="E40" s="207">
        <f>+VLOOKUP(B40,cennik!$A:$G,3,FALSE)</f>
        <v>0</v>
      </c>
      <c r="F40" s="105">
        <f t="shared" ref="F40:F49" si="3">+E40*D40</f>
        <v>0</v>
      </c>
      <c r="G40" s="104">
        <f t="shared" si="2"/>
        <v>0</v>
      </c>
      <c r="H40" s="6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6"/>
    </row>
    <row r="41" spans="1:13" ht="12.75" customHeight="1" x14ac:dyDescent="0.2">
      <c r="A41" s="72" t="str">
        <f>texty!$A$98</f>
        <v>tlmič dorazu (pár) 50 kg</v>
      </c>
      <c r="B41" s="24">
        <v>227187</v>
      </c>
      <c r="C41" s="38" t="str">
        <f>+VLOOKUP(B41,cennik!$A:$G,2,FALSE)</f>
        <v>K-SEVROLL tlmič dorazu 10/18mm 25-50kg L+P</v>
      </c>
      <c r="D41" s="29"/>
      <c r="E41" s="207">
        <f>+VLOOKUP(B41,cennik!$A:$G,3,FALSE)</f>
        <v>0</v>
      </c>
      <c r="F41" s="105">
        <f t="shared" si="3"/>
        <v>0</v>
      </c>
      <c r="G41" s="104">
        <f t="shared" si="2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3"/>
    </row>
    <row r="42" spans="1:13" ht="12.75" customHeight="1" x14ac:dyDescent="0.2">
      <c r="A42" s="72" t="str">
        <f>texty!$A$196</f>
        <v>Spona dorazovej kefky</v>
      </c>
      <c r="B42" s="16">
        <v>223569</v>
      </c>
      <c r="C42" s="38" t="str">
        <f>+VLOOKUP(B42,cennik!$A:$G,2,FALSE)</f>
        <v>SEVROLL 20223 spona dorazovej kefky</v>
      </c>
      <c r="D42" s="29"/>
      <c r="E42" s="207">
        <f>+VLOOKUP(B42,cennik!$A:$G,3,FALSE)</f>
        <v>7.1209999999999996E-2</v>
      </c>
      <c r="F42" s="105">
        <f t="shared" si="3"/>
        <v>0</v>
      </c>
      <c r="G42" s="104">
        <f t="shared" si="2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3"/>
    </row>
    <row r="43" spans="1:13" ht="12.75" customHeight="1" x14ac:dyDescent="0.2">
      <c r="A43" s="72" t="str">
        <f>texty!$A$114</f>
        <v>spojovací profil H18-3metre</v>
      </c>
      <c r="B43" s="16">
        <v>98015</v>
      </c>
      <c r="C43" s="38" t="str">
        <f>+VLOOKUP(B43,cennik!$A:$G,2,FALSE)</f>
        <v>Sevroll (Astin) spojovací H08 profil 3m strieborná</v>
      </c>
      <c r="D43" s="29"/>
      <c r="E43" s="207">
        <f>+VLOOKUP(B43,cennik!$A:$G,3,FALSE)</f>
        <v>10.270049999999999</v>
      </c>
      <c r="F43" s="91">
        <f t="shared" si="3"/>
        <v>0</v>
      </c>
      <c r="G43" s="92">
        <f>+F43*(100-$G$23)/100</f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3"/>
    </row>
    <row r="44" spans="1:13" ht="12.75" customHeight="1" x14ac:dyDescent="0.2">
      <c r="A44" s="72" t="str">
        <f>texty!$A$119</f>
        <v>uholník mini 11x17mm - 1,7m</v>
      </c>
      <c r="B44" s="15">
        <v>98011</v>
      </c>
      <c r="C44" s="38" t="str">
        <f>IF(B44=data!$D$64,texty!$A$239,+VLOOKUP(B44,cennik!$A$3:$G$979,2,FALSE))</f>
        <v>Sevroll (Astin)-UHOLNÍK 1,8M HLINÍK (22/1)</v>
      </c>
      <c r="D44" s="29"/>
      <c r="E44" s="91">
        <f>IF(B44=data!$D$73,0,+VLOOKUP(B44,cennik!$A$3:$G$979,3,FALSE))</f>
        <v>5.0315899999999996</v>
      </c>
      <c r="F44" s="91">
        <f t="shared" si="3"/>
        <v>0</v>
      </c>
      <c r="G44" s="104">
        <f t="shared" si="2"/>
        <v>0</v>
      </c>
      <c r="H44" s="6" t="str">
        <f>cennik!$B$2</f>
        <v>EUR</v>
      </c>
      <c r="I44" s="469" t="str">
        <f>IFERROR(IF((VLOOKUP(B44,cennik!A:L,12,0))="O",texty!$A$250,""),"")</f>
        <v>Na objednávku</v>
      </c>
      <c r="J44" s="191" t="str">
        <f>IF(D44&gt;0,IF(VLOOKUP(B44,cennik!A:L,12,FALSE)="O",1,""),"")</f>
        <v/>
      </c>
      <c r="L44" s="6"/>
      <c r="M44" s="6"/>
    </row>
    <row r="45" spans="1:13" ht="12.75" customHeight="1" x14ac:dyDescent="0.2">
      <c r="A45" s="72" t="str">
        <f>texty!$A$120</f>
        <v>uholník mini 11x17mm - 2,35m</v>
      </c>
      <c r="B45" s="15">
        <v>98012</v>
      </c>
      <c r="C45" s="38" t="str">
        <f>IF(B45=data!$D$64,texty!$A$239,+VLOOKUP(B45,cennik!$A$3:$G$979,2,FALSE))</f>
        <v>Sevroll (Astin) UHOLNÍK 2,7M str. (22/1)</v>
      </c>
      <c r="D45" s="29"/>
      <c r="E45" s="91">
        <f>IF(B45=data!$D$73,0,+VLOOKUP(B45,cennik!$A$3:$G$979,3,FALSE))</f>
        <v>7.8957199999999998</v>
      </c>
      <c r="F45" s="91">
        <f t="shared" si="3"/>
        <v>0</v>
      </c>
      <c r="G45" s="104">
        <f t="shared" si="2"/>
        <v>0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6"/>
    </row>
    <row r="46" spans="1:13" ht="12.75" customHeight="1" x14ac:dyDescent="0.2">
      <c r="A46" s="72" t="str">
        <f>texty!$A$121</f>
        <v>uholník mini 11x17mm - 3m</v>
      </c>
      <c r="B46" s="15">
        <v>98013</v>
      </c>
      <c r="C46" s="38" t="str">
        <f>IF(B46=data!$D$64,texty!$A$239,+VLOOKUP(B46,cennik!$A$3:$G$979,2,FALSE))</f>
        <v>Sevroll (Astin)-UHOLNÍK 3,6M HLINÍK (22/1)</v>
      </c>
      <c r="D46" s="29"/>
      <c r="E46" s="91">
        <f>IF(B46=data!$D$73,0,+VLOOKUP(B46,cennik!$A$3:$G$979,3,FALSE))</f>
        <v>10.39861</v>
      </c>
      <c r="F46" s="91">
        <f t="shared" si="3"/>
        <v>0</v>
      </c>
      <c r="G46" s="104">
        <f t="shared" si="2"/>
        <v>0</v>
      </c>
      <c r="H46" s="6" t="str">
        <f>cennik!$B$2</f>
        <v>EUR</v>
      </c>
      <c r="I46" s="469" t="str">
        <f>IFERROR(IF((VLOOKUP(B46,cennik!A:L,12,0))="O",texty!$A$250,""),"")</f>
        <v>Na objednávku</v>
      </c>
      <c r="J46" s="191" t="str">
        <f>IF(D46&gt;0,IF(VLOOKUP(B46,cennik!A:L,12,FALSE)="O",1,""),"")</f>
        <v/>
      </c>
      <c r="L46" s="6"/>
      <c r="M46" s="6"/>
    </row>
    <row r="47" spans="1:13" ht="12.75" customHeight="1" x14ac:dyDescent="0.2">
      <c r="A47" s="72" t="str">
        <f>texty!$A$122</f>
        <v>uholník K2 19x18mm - 1,7m</v>
      </c>
      <c r="B47" s="6" t="e">
        <f>+VLOOKUP($P$7,data!$C$589:$D$599,2,0)</f>
        <v>#N/A</v>
      </c>
      <c r="C47" s="38" t="e">
        <f>IF(B47=data!$D$64,texty!$A$239,+VLOOKUP(B47,cennik!$A$3:$G$907,2,FALSE))</f>
        <v>#N/A</v>
      </c>
      <c r="D47" s="29"/>
      <c r="E47" s="91" t="e">
        <f>IF(B47=data!$D$73,0,+VLOOKUP(B47,cennik!$A$3:$G$907,3,FALSE))</f>
        <v>#N/A</v>
      </c>
      <c r="F47" s="91" t="e">
        <f t="shared" si="3"/>
        <v>#N/A</v>
      </c>
      <c r="G47" s="104" t="e">
        <f t="shared" si="2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6"/>
    </row>
    <row r="48" spans="1:13" ht="12.75" customHeight="1" x14ac:dyDescent="0.2">
      <c r="A48" s="72" t="str">
        <f>texty!$A$123</f>
        <v>uholník K2 19x18mm - 2,35m</v>
      </c>
      <c r="B48" s="6" t="e">
        <f>+VLOOKUP($P$7,data!$C$600:$D$610,2,0)</f>
        <v>#N/A</v>
      </c>
      <c r="C48" s="38" t="e">
        <f>IF(B48=data!$D$64,texty!$A$239,+VLOOKUP(B48,cennik!$A$3:$G$907,2,FALSE))</f>
        <v>#N/A</v>
      </c>
      <c r="D48" s="30"/>
      <c r="E48" s="91" t="e">
        <f>IF(B48=data!$D$73,0,+VLOOKUP(B48,cennik!$A$3:$G$907,3,FALSE))</f>
        <v>#N/A</v>
      </c>
      <c r="F48" s="91" t="e">
        <f t="shared" si="3"/>
        <v>#N/A</v>
      </c>
      <c r="G48" s="104" t="e">
        <f t="shared" si="2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6"/>
    </row>
    <row r="49" spans="1:14" ht="12.75" customHeight="1" x14ac:dyDescent="0.2">
      <c r="A49" s="72" t="str">
        <f>texty!$A$124</f>
        <v>uholník K2 19x18mm - 3,00m</v>
      </c>
      <c r="B49" s="15" t="e">
        <f>+VLOOKUP($P$7,data!$C$611:$D$621,2,0)</f>
        <v>#N/A</v>
      </c>
      <c r="C49" s="38" t="e">
        <f>IF(B49=data!$D$64,texty!$A$239,+VLOOKUP(B49,cennik!$A$3:$G$907,2,FALSE))</f>
        <v>#N/A</v>
      </c>
      <c r="D49" s="30"/>
      <c r="E49" s="91" t="e">
        <f>IF(B49=data!$D$73,0,+VLOOKUP(B49,cennik!$A$3:$G$907,3,FALSE))</f>
        <v>#N/A</v>
      </c>
      <c r="F49" s="91" t="e">
        <f t="shared" si="3"/>
        <v>#N/A</v>
      </c>
      <c r="G49" s="104" t="e">
        <f t="shared" si="2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  <c r="M49" s="6"/>
    </row>
    <row r="50" spans="1:14" ht="12.75" customHeight="1" x14ac:dyDescent="0.2">
      <c r="A50" s="145" t="str">
        <f>texty!$A$241</f>
        <v>klínok pre dilatáciu výplne 16mm</v>
      </c>
      <c r="B50" s="16">
        <v>308631</v>
      </c>
      <c r="C50" s="38" t="str">
        <f>+VLOOKUP(B50,cennik!$A:$G,2,FALSE)</f>
        <v>SEVROLL 20252 klin pre lamino hrúbka 2mm (100 ks)</v>
      </c>
      <c r="D50" s="29"/>
      <c r="E50" s="207">
        <f>+VLOOKUP(B50,cennik!$A:$G,3,FALSE)</f>
        <v>8.7214100000000006</v>
      </c>
      <c r="F50" s="105">
        <f t="shared" ref="F50" si="4">+E50*D50</f>
        <v>0</v>
      </c>
      <c r="G50" s="104">
        <f t="shared" ref="G50" si="5">+F50*(100-$G$23)/100</f>
        <v>0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4" ht="12.75" customHeight="1" x14ac:dyDescent="0.2">
      <c r="A51" s="72" t="str">
        <f>texty!$A$240</f>
        <v>zámok posuvných dverí</v>
      </c>
      <c r="B51" s="24">
        <v>216363</v>
      </c>
      <c r="C51" s="38" t="str">
        <f>+VLOOKUP(B51,cennik!$A:$G,2,FALSE)</f>
        <v>SEVROLL 20356 zámok na posuvné dvere 10/18mm</v>
      </c>
      <c r="D51" s="29"/>
      <c r="E51" s="207">
        <f>+VLOOKUP(B51,cennik!$A:$G,3,FALSE)</f>
        <v>15.72176</v>
      </c>
      <c r="F51" s="105">
        <f>+E51*D51</f>
        <v>0</v>
      </c>
      <c r="G51" s="104">
        <f t="shared" si="2"/>
        <v>0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  <c r="M51" s="6"/>
    </row>
    <row r="52" spans="1:14" ht="12.75" customHeight="1" x14ac:dyDescent="0.2">
      <c r="A52" s="72" t="str">
        <f>texty!$A$112</f>
        <v>protiprachový kartáč samolepiaci</v>
      </c>
      <c r="B52" s="24">
        <v>308639</v>
      </c>
      <c r="C52" s="25" t="str">
        <f>+VLOOKUP(B52,cennik!$A:$G,2,FALSE)</f>
        <v>SEVROLL protiprachový kartáč samolep. 6,7x13mm</v>
      </c>
      <c r="D52" s="29"/>
      <c r="E52" s="207">
        <f>+VLOOKUP(B52,cennik!$A:$G,3,FALSE)</f>
        <v>0.29721999999999998</v>
      </c>
      <c r="F52" s="105">
        <f>+E52*D52</f>
        <v>0</v>
      </c>
      <c r="G52" s="104">
        <f t="shared" si="2"/>
        <v>0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  <c r="M52" s="6"/>
    </row>
    <row r="53" spans="1:14" ht="12.7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L53" s="6"/>
    </row>
    <row r="54" spans="1:14" ht="15" x14ac:dyDescent="0.2">
      <c r="A54" s="271" t="str">
        <f>texty!$A$190</f>
        <v>Ďalšie príslušenstvo</v>
      </c>
      <c r="B54" s="272"/>
      <c r="C54" s="272"/>
      <c r="D54" s="272"/>
      <c r="E54" s="357"/>
      <c r="F54" s="272"/>
      <c r="G54" s="272"/>
      <c r="H54" s="272"/>
      <c r="I54" s="272"/>
      <c r="J54" s="134"/>
      <c r="L54" s="6"/>
    </row>
    <row r="55" spans="1:14" ht="12.75" customHeight="1" x14ac:dyDescent="0.2">
      <c r="A55" s="271" t="str">
        <f>texty!$A$244</f>
        <v>Technický nákres tohoto systému</v>
      </c>
      <c r="B55" s="17"/>
      <c r="C55" s="25"/>
      <c r="D55" s="76" t="str">
        <f>Faworyt!D61</f>
        <v>CELKOM  (bez DPH)</v>
      </c>
      <c r="E55" s="114"/>
      <c r="F55" s="117" t="e">
        <f>SUM(F25:F53)</f>
        <v>#N/A</v>
      </c>
      <c r="G55" s="118" t="e">
        <f>SUM(G25:G53)</f>
        <v>#N/A</v>
      </c>
      <c r="H55" s="6" t="str">
        <f>cennik!$B$2</f>
        <v>EUR</v>
      </c>
      <c r="L55" s="6"/>
    </row>
    <row r="56" spans="1:14" ht="12.75" customHeight="1" x14ac:dyDescent="0.2">
      <c r="A56" s="75" t="str">
        <f>System10!$A$67</f>
        <v>Vaša poznámka:</v>
      </c>
      <c r="B56" s="661"/>
      <c r="C56" s="662"/>
      <c r="D56" s="662"/>
      <c r="E56" s="662"/>
      <c r="F56" s="662"/>
      <c r="G56" s="663"/>
      <c r="H56" s="6"/>
      <c r="L56" s="6"/>
    </row>
    <row r="57" spans="1:14" ht="12.75" customHeight="1" x14ac:dyDescent="0.2">
      <c r="A57" s="659">
        <f>profil!$U$15</f>
        <v>0</v>
      </c>
      <c r="B57" s="649"/>
      <c r="C57" s="649"/>
      <c r="D57" s="649"/>
      <c r="E57" s="649"/>
      <c r="F57" s="649"/>
      <c r="G57" s="649"/>
      <c r="H57" s="649"/>
      <c r="L57" s="6"/>
    </row>
    <row r="58" spans="1:14" ht="12.75" customHeight="1" x14ac:dyDescent="0.2">
      <c r="A58" s="650">
        <f>IF(N58=1,texty!$A$215,IF(J58&gt;0,texty!$A$214,""))</f>
        <v>0</v>
      </c>
      <c r="B58" s="650"/>
      <c r="C58" s="650"/>
      <c r="D58" s="650"/>
      <c r="E58" s="650"/>
      <c r="F58" s="650"/>
      <c r="G58" s="650"/>
      <c r="H58" s="650"/>
      <c r="J58" s="6" t="e">
        <f>SUM(J25:J52)</f>
        <v>#N/A</v>
      </c>
      <c r="L58" s="6" t="str">
        <f>texty!A128</f>
        <v xml:space="preserve">strieborná </v>
      </c>
      <c r="N58" s="5">
        <f>IF(ISERROR(J58),1,0)</f>
        <v>1</v>
      </c>
    </row>
    <row r="59" spans="1:14" ht="12.75" customHeight="1" x14ac:dyDescent="0.2">
      <c r="A59" s="7"/>
      <c r="B59" s="666"/>
      <c r="C59" s="649"/>
      <c r="D59" s="649"/>
      <c r="E59" s="649"/>
      <c r="F59" s="649"/>
      <c r="G59" s="649"/>
      <c r="H59" s="649"/>
      <c r="L59" s="6"/>
    </row>
    <row r="60" spans="1:14" ht="12.75" hidden="1" customHeight="1" x14ac:dyDescent="0.2">
      <c r="A60" s="63"/>
      <c r="L60" s="6"/>
    </row>
    <row r="61" spans="1:14" ht="12.75" customHeight="1" x14ac:dyDescent="0.2"/>
  </sheetData>
  <sheetProtection algorithmName="SHA-512" hashValue="FLkSJ0eLaKxyYO40Q5f9dIZAws2lmc2y6KWWnn7l3oEs11itjPBkYFrHq4quyWKoJYQkTZFHXaSpZCyDP8k0TQ==" saltValue="DcswgAK32PMeFCB2BF3Lkw==" spinCount="100000" sheet="1" objects="1" scenarios="1"/>
  <mergeCells count="7">
    <mergeCell ref="B5:E5"/>
    <mergeCell ref="A57:H57"/>
    <mergeCell ref="B59:H59"/>
    <mergeCell ref="A58:H58"/>
    <mergeCell ref="B56:G56"/>
    <mergeCell ref="G4:I7"/>
    <mergeCell ref="A13:B14"/>
  </mergeCells>
  <conditionalFormatting sqref="A13">
    <cfRule type="expression" dxfId="48" priority="3">
      <formula>SUM($D$38:$D$39)&gt;0</formula>
    </cfRule>
  </conditionalFormatting>
  <conditionalFormatting sqref="D6">
    <cfRule type="expression" dxfId="46" priority="5">
      <formula>$D$4=4</formula>
    </cfRule>
    <cfRule type="expression" dxfId="45" priority="6">
      <formula>$D$4&lt;&gt;4</formula>
    </cfRule>
  </conditionalFormatting>
  <conditionalFormatting sqref="G4">
    <cfRule type="expression" dxfId="44" priority="4">
      <formula>$D$4=4</formula>
    </cfRule>
  </conditionalFormatting>
  <dataValidations count="6">
    <dataValidation type="list" allowBlank="1" showInputMessage="1" showErrorMessage="1" sqref="E4" xr:uid="{00000000-0002-0000-2000-000000000000}">
      <formula1>$L$58</formula1>
    </dataValidation>
    <dataValidation type="whole" allowBlank="1" showInputMessage="1" showErrorMessage="1" errorTitle="Musí být celé číslo" promptTitle="Musí být celé číslo" sqref="D4" xr:uid="{00000000-0002-0000-2000-000001000000}">
      <formula1>0</formula1>
      <formula2>9</formula2>
    </dataValidation>
    <dataValidation type="list" allowBlank="1" showInputMessage="1" showErrorMessage="1" sqref="E5:F6" xr:uid="{00000000-0002-0000-20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2000-000003000000}">
      <formula1>0</formula1>
      <formula2>2742</formula2>
    </dataValidation>
    <dataValidation type="whole" allowBlank="1" showInputMessage="1" showErrorMessage="1" errorTitle="Nelze" error="Maximální šířka otvoru je 3600 mm" promptTitle="Maximální šířka otvoru je 3600mm" sqref="C4" xr:uid="{00000000-0002-0000-2000-000004000000}">
      <formula1>0</formula1>
      <formula2>3600</formula2>
    </dataValidation>
    <dataValidation type="list" allowBlank="1" showInputMessage="1" showErrorMessage="1" sqref="D6" xr:uid="{00000000-0002-0000-2000-000005000000}">
      <formula1>$L$1:$L$2</formula1>
    </dataValidation>
  </dataValidations>
  <hyperlinks>
    <hyperlink ref="A2" location="profil!A1" display="Universal" xr:uid="{00000000-0004-0000-2000-000000000000}"/>
    <hyperlink ref="A54" location="příslušenství!A56" display="příslušenství!A56" xr:uid="{00000000-0004-0000-2000-000001000000}"/>
    <hyperlink ref="A55" location="'sys. 18mm'!A56" display="'sys. 18mm'!A56" xr:uid="{08C86CFC-711B-4C95-8A54-F135E6A316F0}"/>
  </hyperlinks>
  <pageMargins left="0.70866141732283472" right="0.70866141732283472" top="0.25" bottom="0.34" header="0.17" footer="0.22"/>
  <pageSetup paperSize="9" scale="8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FEB9F5-53ED-4EB8-B7B4-B5801835DE89}">
            <xm:f>$I25=texty!$A$250</xm:f>
            <x14:dxf>
              <font>
                <color rgb="FFFF0000"/>
              </font>
            </x14:dxf>
          </x14:cfRule>
          <xm:sqref>A25:I52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1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6.7109375" style="5" customWidth="1"/>
    <col min="2" max="2" width="15.7109375" style="5" customWidth="1"/>
    <col min="3" max="3" width="46.42578125" style="5" bestFit="1" customWidth="1"/>
    <col min="4" max="4" width="14.140625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16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</v>
      </c>
    </row>
    <row r="2" spans="1:16" ht="18.75" customHeight="1" x14ac:dyDescent="0.2">
      <c r="A2" s="523" t="s">
        <v>605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16" ht="26.25" thickBot="1" x14ac:dyDescent="0.25">
      <c r="A3" s="524" t="str">
        <f>CONCATENATE(texty!A243," ",5,".",81)</f>
        <v>katalóg kovania 2018 str. 5.81</v>
      </c>
      <c r="B3" s="420" t="str">
        <f>CONCATENATE(texty!A34," / max.         2 742 mm /")</f>
        <v>výška / max.         2 742 mm /</v>
      </c>
      <c r="C3" s="421" t="str">
        <f>CONCATENATE(texty!A35," / max 3 600 mm /")</f>
        <v>šírka / max 3 600 mm /</v>
      </c>
      <c r="D3" s="9" t="str">
        <f>+System10!D3</f>
        <v>počet dverí:</v>
      </c>
      <c r="E3" s="9" t="str">
        <f>+System10!E3</f>
        <v>farba</v>
      </c>
      <c r="F3" s="8"/>
      <c r="G3" s="6"/>
      <c r="H3" s="6"/>
      <c r="L3" s="6"/>
    </row>
    <row r="4" spans="1:16" ht="18" customHeight="1" x14ac:dyDescent="0.2">
      <c r="A4" s="10" t="str">
        <f>+System10!A4</f>
        <v>VNÚTORNÝ ROZMER SKRINE:</v>
      </c>
      <c r="B4" s="527"/>
      <c r="C4" s="528"/>
      <c r="D4" s="529"/>
      <c r="E4" s="529"/>
      <c r="F4" s="8"/>
      <c r="G4" s="647"/>
      <c r="H4" s="647"/>
      <c r="I4" s="647"/>
      <c r="K4" s="190"/>
      <c r="L4" s="8"/>
    </row>
    <row r="5" spans="1:16" ht="18" customHeight="1" x14ac:dyDescent="0.2">
      <c r="A5" s="10"/>
      <c r="B5" s="664" t="str">
        <f>texty!A46</f>
        <v>vypíšte tieto 4 políčka !!! Údaje v mm</v>
      </c>
      <c r="C5" s="664"/>
      <c r="D5" s="664"/>
      <c r="E5" s="664"/>
      <c r="F5" s="471"/>
      <c r="G5" s="647"/>
      <c r="H5" s="647"/>
      <c r="I5" s="647"/>
      <c r="K5" s="190"/>
      <c r="L5" s="3"/>
      <c r="M5" s="17"/>
      <c r="N5" s="21"/>
      <c r="O5" s="17"/>
    </row>
    <row r="6" spans="1:16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M6" s="23"/>
      <c r="N6" s="21"/>
      <c r="O6" s="23"/>
    </row>
    <row r="7" spans="1:16" ht="12.75" customHeight="1" x14ac:dyDescent="0.2">
      <c r="A7" s="10" t="str">
        <f>texty!A47</f>
        <v>krídlo dverí:</v>
      </c>
      <c r="B7" s="57">
        <f>+B4-42</f>
        <v>-42</v>
      </c>
      <c r="C7" s="59" t="e">
        <f>+((C4+28*(D4-1))/D4+IF(AND(D4=4,D6=2),M1,0))</f>
        <v>#DIV/0!</v>
      </c>
      <c r="D7" s="8"/>
      <c r="E7" s="8"/>
      <c r="F7" s="8"/>
      <c r="G7" s="50"/>
      <c r="H7" s="6"/>
      <c r="L7" s="6"/>
      <c r="N7" s="17">
        <f>IF(C4&lt;1801,1800,IF(C4&lt;2701,2700,IF(C4&lt;3601,3600,texty!A178)))</f>
        <v>1800</v>
      </c>
      <c r="O7" s="21">
        <f>+E4</f>
        <v>0</v>
      </c>
      <c r="P7" s="21"/>
    </row>
    <row r="8" spans="1:16" ht="12.75" customHeight="1" x14ac:dyDescent="0.2">
      <c r="A8" s="10" t="str">
        <f>texty!A48</f>
        <v>rozmer výplne 18mm:</v>
      </c>
      <c r="B8" s="57">
        <f>+B7-2</f>
        <v>-44</v>
      </c>
      <c r="C8" s="59" t="e">
        <f>+C7-30</f>
        <v>#DIV/0!</v>
      </c>
      <c r="D8" s="8"/>
      <c r="E8" s="8"/>
      <c r="F8" s="8"/>
      <c r="G8" s="3" t="str">
        <f>Faworyt!G8</f>
        <v>Maximálna hmotnosť krídla je 50 kg</v>
      </c>
      <c r="H8" s="6"/>
      <c r="L8" s="6"/>
      <c r="N8" s="23" t="str">
        <f>CONCATENATE(N7,"-",E4)</f>
        <v>1800-</v>
      </c>
      <c r="O8" s="21"/>
      <c r="P8" s="21"/>
    </row>
    <row r="9" spans="1:16" ht="12.75" customHeight="1" x14ac:dyDescent="0.2">
      <c r="A9" s="10" t="str">
        <f>texty!$A$51</f>
        <v>Dĺžka úchytkového profilu (+2 mm)</v>
      </c>
      <c r="B9" s="67">
        <f>B8+2</f>
        <v>-42</v>
      </c>
      <c r="C9" s="137"/>
      <c r="D9" s="8"/>
      <c r="E9" s="8"/>
      <c r="F9" s="8"/>
      <c r="G9" s="3"/>
      <c r="H9" s="6"/>
      <c r="L9" s="36"/>
      <c r="O9" s="23"/>
      <c r="P9" s="21"/>
    </row>
    <row r="10" spans="1:16" ht="12.75" customHeight="1" x14ac:dyDescent="0.2">
      <c r="A10" s="168" t="str">
        <f>texty!A$64</f>
        <v>Pri tejto zostave nie je možné použiť kombináciu so sklom / zrkadlom</v>
      </c>
      <c r="B10" s="64"/>
      <c r="C10" s="85"/>
      <c r="D10" s="8"/>
      <c r="H10" s="6"/>
      <c r="L10" s="6"/>
    </row>
    <row r="11" spans="1:16" ht="25.5" x14ac:dyDescent="0.2">
      <c r="A11" s="635" t="str">
        <f>IF(SUM(D36:D37)&gt;0,texty!A246,"")</f>
        <v/>
      </c>
      <c r="B11" s="635"/>
      <c r="C11" s="501" t="str">
        <f>texty!A78</f>
        <v>dodatočné odpočty výšky vypočítaných výplní pri použití deliacich profilov výplne:</v>
      </c>
      <c r="D11" s="8"/>
      <c r="G11" s="6"/>
      <c r="L11" s="35"/>
    </row>
    <row r="12" spans="1:16" x14ac:dyDescent="0.2">
      <c r="A12" s="635"/>
      <c r="B12" s="635"/>
      <c r="C12" s="501"/>
      <c r="D12" s="8"/>
      <c r="G12" s="6"/>
      <c r="L12" s="35"/>
    </row>
    <row r="13" spans="1:16" x14ac:dyDescent="0.2">
      <c r="A13" s="7"/>
      <c r="B13" s="58"/>
      <c r="C13" s="501"/>
      <c r="D13" s="8"/>
      <c r="G13" s="6"/>
      <c r="L13" s="35"/>
    </row>
    <row r="14" spans="1:16" ht="12.75" customHeight="1" x14ac:dyDescent="0.2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">
      <c r="A16" s="10"/>
      <c r="B16" s="8"/>
      <c r="C16" s="12"/>
      <c r="D16" s="8"/>
      <c r="E16" s="8"/>
      <c r="F16" s="8"/>
      <c r="G16" s="6"/>
      <c r="H16" s="6"/>
      <c r="L16" s="6"/>
    </row>
    <row r="17" spans="1:12" ht="14.25" customHeight="1" x14ac:dyDescent="0.2">
      <c r="A17" s="10"/>
      <c r="B17" s="8"/>
      <c r="C17" s="27"/>
      <c r="D17" s="8"/>
      <c r="E17" s="8"/>
      <c r="F17" s="8"/>
      <c r="G17" s="6"/>
      <c r="H17" s="6"/>
      <c r="L17" s="6"/>
    </row>
    <row r="18" spans="1:12" ht="16.5" customHeight="1" x14ac:dyDescent="0.2">
      <c r="B18" s="8"/>
      <c r="C18" s="8"/>
      <c r="E18" s="8"/>
      <c r="F18" s="8"/>
      <c r="G18" s="6"/>
      <c r="H18" s="6"/>
      <c r="L18" s="6"/>
    </row>
    <row r="19" spans="1:12" ht="16.5" customHeight="1" x14ac:dyDescent="0.2">
      <c r="A19" s="508" t="s">
        <v>1021</v>
      </c>
      <c r="B19" s="8"/>
      <c r="C19" s="8"/>
      <c r="D19" s="13"/>
      <c r="E19" s="8"/>
      <c r="F19" s="8"/>
      <c r="G19" s="6"/>
      <c r="H19" s="6"/>
      <c r="L19" s="6"/>
    </row>
    <row r="20" spans="1:12" ht="12.75" customHeight="1" x14ac:dyDescent="0.2">
      <c r="A20" s="7"/>
      <c r="B20" s="8"/>
      <c r="C20" s="8"/>
      <c r="D20" s="8"/>
      <c r="E20" s="8"/>
      <c r="F20" s="6"/>
      <c r="G20" s="134" t="str">
        <f>+System10!G25</f>
        <v>partnerská zľava:</v>
      </c>
      <c r="H20" s="6"/>
      <c r="L20" s="6"/>
    </row>
    <row r="21" spans="1:12" ht="12.75" customHeight="1" x14ac:dyDescent="0.2">
      <c r="A21" s="14" t="str">
        <f>+System10!$A$26</f>
        <v>Objednávacie kódy, ceny:</v>
      </c>
      <c r="B21" s="8"/>
      <c r="C21" s="8"/>
      <c r="D21" s="8"/>
      <c r="E21" s="8"/>
      <c r="F21" s="6"/>
      <c r="G21" s="120">
        <f>profil!C15</f>
        <v>0</v>
      </c>
      <c r="H21" s="6" t="s">
        <v>57</v>
      </c>
      <c r="L21" s="6"/>
    </row>
    <row r="22" spans="1:12" s="82" customFormat="1" ht="12.75" customHeight="1" x14ac:dyDescent="0.2">
      <c r="B22" s="81" t="str">
        <f>+System10!B27</f>
        <v>kód</v>
      </c>
      <c r="C22" s="81" t="str">
        <f>+System10!C27</f>
        <v>názov</v>
      </c>
      <c r="D22" s="81" t="str">
        <f>+System10!D27</f>
        <v>ks</v>
      </c>
      <c r="E22" s="81" t="str">
        <f>+System10!E27</f>
        <v>cena/ks</v>
      </c>
      <c r="F22" s="18" t="str">
        <f>+System10!F27</f>
        <v>cena celkom</v>
      </c>
      <c r="G22" s="18" t="str">
        <f>+System10!G27</f>
        <v>celkom netto:</v>
      </c>
      <c r="H22" s="18"/>
      <c r="I22" s="18" t="str">
        <f>texty!A29</f>
        <v>Poznámka:</v>
      </c>
      <c r="J22" s="18"/>
      <c r="L22" s="18"/>
    </row>
    <row r="23" spans="1:12" ht="12.75" customHeight="1" x14ac:dyDescent="0.2">
      <c r="A23" s="7" t="str">
        <f>+Faworyt!A26</f>
        <v>Horný profil:</v>
      </c>
      <c r="B23" s="8" t="e">
        <f>+VLOOKUP(N8,data!$C$773:$D$775,2,0)</f>
        <v>#N/A</v>
      </c>
      <c r="C23" s="38" t="e">
        <f>+VLOOKUP(B23,cennik!$A:$G,2,FALSE)</f>
        <v>#N/A</v>
      </c>
      <c r="D23" s="8">
        <v>1</v>
      </c>
      <c r="E23" s="207" t="e">
        <f>+VLOOKUP(B23,cennik!$A:$G,3,FALSE)</f>
        <v>#N/A</v>
      </c>
      <c r="F23" s="91" t="e">
        <f t="shared" ref="F23:F28" si="0">+E23*D23</f>
        <v>#N/A</v>
      </c>
      <c r="G23" s="92" t="e">
        <f t="shared" ref="G23:G28" si="1">+F23*(100-$G$21)/100</f>
        <v>#N/A</v>
      </c>
      <c r="H23" s="6" t="str">
        <f>cennik!$B$2</f>
        <v>EUR</v>
      </c>
      <c r="I23" s="469" t="str">
        <f>IFERROR(IF((VLOOKUP(B23,cennik!A:L,12,0))="O",texty!$A$250,""),"")</f>
        <v/>
      </c>
      <c r="J23" s="191" t="e">
        <f>IF(D23&gt;0,IF(VLOOKUP(B23,cennik!A:L,12,FALSE)="O",1,""),"")</f>
        <v>#N/A</v>
      </c>
      <c r="L23" s="6"/>
    </row>
    <row r="24" spans="1:12" ht="12.75" customHeight="1" x14ac:dyDescent="0.2">
      <c r="A24" s="7" t="str">
        <f>+Faworyt!A27</f>
        <v>spodný profil:</v>
      </c>
      <c r="B24" s="8" t="e">
        <f>+VLOOKUP(N8,data!$C$776:$D$778,2,0)</f>
        <v>#N/A</v>
      </c>
      <c r="C24" s="38" t="e">
        <f>+VLOOKUP(B24,cennik!$A:$G,2,FALSE)</f>
        <v>#N/A</v>
      </c>
      <c r="D24" s="8">
        <v>1</v>
      </c>
      <c r="E24" s="207" t="e">
        <f>+VLOOKUP(B24,cennik!$A:$G,3,FALSE)</f>
        <v>#N/A</v>
      </c>
      <c r="F24" s="91" t="e">
        <f t="shared" si="0"/>
        <v>#N/A</v>
      </c>
      <c r="G24" s="92" t="e">
        <f t="shared" si="1"/>
        <v>#N/A</v>
      </c>
      <c r="H24" s="6" t="str">
        <f>cennik!$B$2</f>
        <v>EUR</v>
      </c>
      <c r="I24" s="469" t="str">
        <f>IFERROR(IF((VLOOKUP(B24,cennik!A:L,12,0))="O",texty!$A$250,""),"")</f>
        <v/>
      </c>
      <c r="J24" s="191" t="e">
        <f>IF(D24&gt;0,IF(VLOOKUP(B24,cennik!A:L,12,FALSE)="O",1,""),"")</f>
        <v>#N/A</v>
      </c>
      <c r="L24" s="6"/>
    </row>
    <row r="25" spans="1:12" ht="12.75" customHeight="1" x14ac:dyDescent="0.2">
      <c r="A25" s="7" t="str">
        <f>+Faworyt!A29</f>
        <v>horný vozík</v>
      </c>
      <c r="B25" s="16">
        <v>228023</v>
      </c>
      <c r="C25" s="38" t="str">
        <f>+VLOOKUP(B25,cennik!$A:$G,2,FALSE)</f>
        <v>SEVROLL 10196 Focus horný vozík 18mm 2ks</v>
      </c>
      <c r="D25" s="17">
        <f>IF((D39+D38)&gt;D4,0,D4-(D38+D39))</f>
        <v>0</v>
      </c>
      <c r="E25" s="207">
        <f>+VLOOKUP(B25,cennik!$A:$G,3,FALSE)</f>
        <v>3.9014199999999999</v>
      </c>
      <c r="F25" s="91">
        <f t="shared" si="0"/>
        <v>0</v>
      </c>
      <c r="G25" s="92">
        <f t="shared" si="1"/>
        <v>0</v>
      </c>
      <c r="H25" s="6" t="str">
        <f>cennik!$B$2</f>
        <v>EUR</v>
      </c>
      <c r="I25" s="469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">
      <c r="A26" s="7" t="str">
        <f>+Faworyt!A30</f>
        <v>spodný vozík</v>
      </c>
      <c r="B26" s="16">
        <v>362316</v>
      </c>
      <c r="C26" s="38" t="str">
        <f>+VLOOKUP(B26,cennik!$A:$G,2,FALSE)</f>
        <v>SEVROLL 10237 2x spodný vozík pre lamino 18mm bez pozicionéru bez pružiny</v>
      </c>
      <c r="D26" s="17">
        <f>+D4</f>
        <v>0</v>
      </c>
      <c r="E26" s="207">
        <f>+VLOOKUP(B26,cennik!$A:$G,3,FALSE)</f>
        <v>4.8767699999999996</v>
      </c>
      <c r="F26" s="91">
        <f t="shared" si="0"/>
        <v>0</v>
      </c>
      <c r="G26" s="92">
        <f t="shared" si="1"/>
        <v>0</v>
      </c>
      <c r="H26" s="6" t="str">
        <f>cennik!$B$2</f>
        <v>EUR</v>
      </c>
      <c r="I26" s="469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">
      <c r="A27" s="7" t="str">
        <f>+Faworyt!A31</f>
        <v>dorazový kartáč</v>
      </c>
      <c r="B27" s="16">
        <v>229433</v>
      </c>
      <c r="C27" s="38" t="str">
        <f>+VLOOKUP(B27,cennik!$A:$G,2,FALSE)</f>
        <v>SEVROLL dorazová kefa zásuvná 4,8x4mm sivá</v>
      </c>
      <c r="D27" s="17">
        <f>CEILING((B4*D4*2/1000),1)</f>
        <v>0</v>
      </c>
      <c r="E27" s="207">
        <f>+VLOOKUP(B27,cennik!$A:$G,3,FALSE)</f>
        <v>0.13</v>
      </c>
      <c r="F27" s="91">
        <f t="shared" si="0"/>
        <v>0</v>
      </c>
      <c r="G27" s="92">
        <f t="shared" si="1"/>
        <v>0</v>
      </c>
      <c r="H27" s="6" t="str">
        <f>cennik!$B$2</f>
        <v>EUR</v>
      </c>
      <c r="I27" s="469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">
      <c r="A28" s="7" t="str">
        <f>+Faworyt!A32</f>
        <v>úchytková lišta</v>
      </c>
      <c r="B28" s="16">
        <v>98001</v>
      </c>
      <c r="C28" s="38" t="str">
        <f>+VLOOKUP(B28,cennik!$A:$G,2,FALSE)</f>
        <v>Sevroll (Astin) Elegant úch.lišta 2,7m str. (22/1)</v>
      </c>
      <c r="D28" s="17">
        <f>IF(B9&lt;=1347,D4*2/2,D4*2)</f>
        <v>0</v>
      </c>
      <c r="E28" s="207">
        <f>+VLOOKUP(B28,cennik!$A:$G,3,FALSE)</f>
        <v>19.438680000000002</v>
      </c>
      <c r="F28" s="91">
        <f t="shared" si="0"/>
        <v>0</v>
      </c>
      <c r="G28" s="92">
        <f t="shared" si="1"/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">
      <c r="A29" s="7"/>
      <c r="B29" s="16"/>
      <c r="C29" s="25"/>
      <c r="D29" s="17"/>
      <c r="E29" s="91"/>
      <c r="F29" s="91"/>
      <c r="G29" s="92"/>
      <c r="H29" s="6"/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s="128" customFormat="1" ht="12.75" customHeight="1" x14ac:dyDescent="0.2">
      <c r="A30" s="14" t="str">
        <f>texty!$A$66</f>
        <v>Voliteľné príslušenstvo:</v>
      </c>
      <c r="B30" s="123"/>
      <c r="C30" s="124"/>
      <c r="D30" s="477" t="str">
        <f>Faworyt!$D$34</f>
        <v>zadajte počet:</v>
      </c>
      <c r="E30" s="132"/>
      <c r="F30" s="132"/>
      <c r="G30" s="133"/>
      <c r="H30" s="127"/>
      <c r="I30" s="469" t="str">
        <f>IFERROR(IF((VLOOKUP(B30,cennik!A:L,12,0))="O",texty!$A$250,""),"")</f>
        <v/>
      </c>
      <c r="J30" s="191"/>
      <c r="L30" s="127"/>
    </row>
    <row r="31" spans="1:12" ht="12.75" customHeight="1" x14ac:dyDescent="0.2">
      <c r="A31" s="72" t="str">
        <f>texty!$A$88</f>
        <v>pozicionér do horného vedenia</v>
      </c>
      <c r="B31" s="187">
        <v>298035</v>
      </c>
      <c r="C31" s="38" t="str">
        <f>+VLOOKUP(B31,cennik!$A:$G,2,FALSE)</f>
        <v>SEVROLL 20326 Fix pozicionér pre horný vozík transparentný</v>
      </c>
      <c r="D31" s="29"/>
      <c r="E31" s="207">
        <f>+VLOOKUP(B31,cennik!$A:$G,3,FALSE)</f>
        <v>1.0837300000000001</v>
      </c>
      <c r="F31" s="105">
        <f>+E31*D31</f>
        <v>0</v>
      </c>
      <c r="G31" s="104">
        <f>+F31*(100-$G$21)/100</f>
        <v>0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">
      <c r="A32" s="72" t="str">
        <f>texty!$A$111</f>
        <v xml:space="preserve">pozicionér </v>
      </c>
      <c r="B32" s="16">
        <v>89063</v>
      </c>
      <c r="C32" s="38" t="str">
        <f>+VLOOKUP(B32,cennik!$A:$G,2,FALSE)</f>
        <v>SEVROLL 20080 pozicionér spodného vozíka HI-TEC</v>
      </c>
      <c r="D32" s="29"/>
      <c r="E32" s="207">
        <f>+VLOOKUP(B32,cennik!$A:$G,3,FALSE)</f>
        <v>0.30964000000000003</v>
      </c>
      <c r="F32" s="105">
        <f t="shared" ref="F32:F49" si="2">+E32*D32</f>
        <v>0</v>
      </c>
      <c r="G32" s="104">
        <f t="shared" ref="G32:G49" si="3">+F32*(100-$G$21)/100</f>
        <v>0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">
      <c r="A33" s="72" t="str">
        <f>texty!$A$228</f>
        <v> Tlmič dorazu MINI do 25 kg (pár)</v>
      </c>
      <c r="B33" s="16">
        <v>318662</v>
      </c>
      <c r="C33" s="25" t="str">
        <f>+VLOOKUP(B33,cennik!$A:$G,2,FALSE)</f>
        <v>SEVROLL 20368-SV tlmič dorazu Mini SV25 (14-25kg)</v>
      </c>
      <c r="D33" s="373"/>
      <c r="E33" s="91">
        <f>+VLOOKUP(B33,cennik!$A:$G,3,FALSE)</f>
        <v>22.75825</v>
      </c>
      <c r="F33" s="96">
        <f>+CEILING(D33,1)*E33</f>
        <v>0</v>
      </c>
      <c r="G33" s="104">
        <f t="shared" si="3"/>
        <v>0</v>
      </c>
      <c r="H33" s="24" t="str">
        <f>cennik!$B$2</f>
        <v>EUR</v>
      </c>
      <c r="I33" s="469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</row>
    <row r="34" spans="1:12" ht="12.75" customHeight="1" x14ac:dyDescent="0.2">
      <c r="A34" s="72" t="str">
        <f>texty!$A$229</f>
        <v> Tlmič dorazu MINI do 40 kg (pár)</v>
      </c>
      <c r="B34" s="24">
        <v>283956</v>
      </c>
      <c r="C34" s="25" t="str">
        <f>+VLOOKUP(B34,cennik!$A:$G,2,FALSE)</f>
        <v>SEVROLL 20258-SV tlmič dorazu Mini SV40 (25 - 40kg)</v>
      </c>
      <c r="D34" s="373"/>
      <c r="E34" s="91">
        <f>+VLOOKUP(B34,cennik!$A:$G,3,FALSE)</f>
        <v>22.75825</v>
      </c>
      <c r="F34" s="96">
        <f>+CEILING(D34,1)*E34</f>
        <v>0</v>
      </c>
      <c r="G34" s="104">
        <f t="shared" si="3"/>
        <v>0</v>
      </c>
      <c r="H34" s="24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">
      <c r="A35" s="72" t="str">
        <f>texty!$A$230</f>
        <v> Tlmič dorazu MINI do 60 kg (pár)</v>
      </c>
      <c r="B35" s="24">
        <v>351743</v>
      </c>
      <c r="C35" s="25" t="str">
        <f>+VLOOKUP(B35,cennik!$A:$G,2,FALSE)</f>
        <v>SEVROLL 20339-SV tlmič dorazu Mini SV60 (40 - 60kg)</v>
      </c>
      <c r="D35" s="373"/>
      <c r="E35" s="91">
        <f>+VLOOKUP(B35,cennik!$A:$G,3,FALSE)</f>
        <v>22.75825</v>
      </c>
      <c r="F35" s="96">
        <f>+CEILING(D35,1)*E35</f>
        <v>0</v>
      </c>
      <c r="G35" s="104">
        <f t="shared" si="3"/>
        <v>0</v>
      </c>
      <c r="H35" s="24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">
      <c r="A36" s="72" t="str">
        <f>texty!$A$231</f>
        <v> Tlmič pre stredné krídlo do 25 kg</v>
      </c>
      <c r="B36" s="24">
        <v>318663</v>
      </c>
      <c r="C36" s="25" t="str">
        <f>+VLOOKUP(B36,cennik!$A:$G,2,FALSE)</f>
        <v>SEVROLL 20363-SV tlmič Central 10/18mm obojstranný 25kg</v>
      </c>
      <c r="D36" s="373"/>
      <c r="E36" s="91">
        <f>+VLOOKUP(B36,cennik!$A:$G,3,FALSE)</f>
        <v>48.741869999999999</v>
      </c>
      <c r="F36" s="96">
        <f>+CEILING(D36,1)*E36</f>
        <v>0</v>
      </c>
      <c r="G36" s="104">
        <f t="shared" si="3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">
      <c r="A37" s="72" t="str">
        <f>texty!$A$232</f>
        <v> Tlmič pre stredné krídlo do 40 kg</v>
      </c>
      <c r="B37" s="24">
        <v>283955</v>
      </c>
      <c r="C37" s="25" t="str">
        <f>+VLOOKUP(B37,cennik!$A:$G,2,FALSE)</f>
        <v>SEVROLL 20319-SV tlmič Central 10/18mm obojstranný 25-40kg</v>
      </c>
      <c r="D37" s="373"/>
      <c r="E37" s="91">
        <f>+VLOOKUP(B37,cennik!$A:$G,3,FALSE)</f>
        <v>48.741869999999999</v>
      </c>
      <c r="F37" s="96">
        <f>+CEILING(D37,1)*E37</f>
        <v>0</v>
      </c>
      <c r="G37" s="104">
        <f t="shared" si="3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">
      <c r="A38" s="72" t="str">
        <f>texty!$A$97</f>
        <v>tlmič dorazu (pár) 25 kg</v>
      </c>
      <c r="B38" s="24">
        <v>227185</v>
      </c>
      <c r="C38" s="38" t="str">
        <f>+VLOOKUP(B38,cennik!$A:$G,2,FALSE)</f>
        <v>K-SEVROLL tlmič dorazu 10/18mm 14-25kg L+P</v>
      </c>
      <c r="D38" s="29"/>
      <c r="E38" s="207">
        <f>+VLOOKUP(B38,cennik!$A:$G,3,FALSE)</f>
        <v>0</v>
      </c>
      <c r="F38" s="105">
        <f>+E38*D38</f>
        <v>0</v>
      </c>
      <c r="G38" s="104">
        <f t="shared" si="3"/>
        <v>0</v>
      </c>
      <c r="H38" s="6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">
      <c r="A39" s="72" t="str">
        <f>texty!$A$98</f>
        <v>tlmič dorazu (pár) 50 kg</v>
      </c>
      <c r="B39" s="24">
        <v>227187</v>
      </c>
      <c r="C39" s="38" t="str">
        <f>+VLOOKUP(B39,cennik!$A:$G,2,FALSE)</f>
        <v>K-SEVROLL tlmič dorazu 10/18mm 25-50kg L+P</v>
      </c>
      <c r="D39" s="29"/>
      <c r="E39" s="207">
        <f>+VLOOKUP(B39,cennik!$A:$G,3,FALSE)</f>
        <v>0</v>
      </c>
      <c r="F39" s="105">
        <f>+E39*D39</f>
        <v>0</v>
      </c>
      <c r="G39" s="104">
        <f t="shared" si="3"/>
        <v>0</v>
      </c>
      <c r="H39" s="6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L39" s="3"/>
    </row>
    <row r="40" spans="1:12" ht="12.75" customHeight="1" x14ac:dyDescent="0.2">
      <c r="A40" s="72" t="str">
        <f>texty!$A$196</f>
        <v>Spona dorazovej kefky</v>
      </c>
      <c r="B40" s="16">
        <v>223569</v>
      </c>
      <c r="C40" s="38" t="str">
        <f>+VLOOKUP(B40,cennik!$A:$G,2,FALSE)</f>
        <v>SEVROLL 20223 spona dorazovej kefky</v>
      </c>
      <c r="D40" s="29"/>
      <c r="E40" s="207">
        <f>+VLOOKUP(B40,cennik!$A:$G,3,FALSE)</f>
        <v>7.1209999999999996E-2</v>
      </c>
      <c r="F40" s="105">
        <f t="shared" si="2"/>
        <v>0</v>
      </c>
      <c r="G40" s="104">
        <f t="shared" si="3"/>
        <v>0</v>
      </c>
      <c r="H40" s="6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L40" s="3"/>
    </row>
    <row r="41" spans="1:12" ht="12.75" customHeight="1" x14ac:dyDescent="0.2">
      <c r="A41" s="72" t="str">
        <f>texty!$A$114</f>
        <v>spojovací profil H18-3metre</v>
      </c>
      <c r="B41" s="16">
        <v>98015</v>
      </c>
      <c r="C41" s="38" t="str">
        <f>+VLOOKUP(B41,cennik!$A:$G,2,FALSE)</f>
        <v>Sevroll (Astin) spojovací H08 profil 3m strieborná</v>
      </c>
      <c r="D41" s="29"/>
      <c r="E41" s="207">
        <f>+VLOOKUP(B41,cennik!$A:$G,3,FALSE)</f>
        <v>10.270049999999999</v>
      </c>
      <c r="F41" s="91">
        <f>+E41*D41</f>
        <v>0</v>
      </c>
      <c r="G41" s="92" t="e">
        <f t="shared" ref="G41" si="4">+F41*(100-$G$23)/100</f>
        <v>#N/A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L41" s="3"/>
    </row>
    <row r="42" spans="1:12" ht="12.75" customHeight="1" x14ac:dyDescent="0.2">
      <c r="A42" s="72" t="str">
        <f>texty!$A$119</f>
        <v>uholník mini 11x17mm - 1,7m</v>
      </c>
      <c r="B42" s="15">
        <v>98011</v>
      </c>
      <c r="C42" s="38" t="str">
        <f>IF(B42=data!$D$64,texty!$A$239,+VLOOKUP(B42,cennik!$A$3:$G$979,2,FALSE))</f>
        <v>Sevroll (Astin)-UHOLNÍK 1,8M HLINÍK (22/1)</v>
      </c>
      <c r="D42" s="29"/>
      <c r="E42" s="91">
        <f>IF(B42=data!$D$73,0,+VLOOKUP(B42,cennik!$A$3:$G$979,3,FALSE))</f>
        <v>5.0315899999999996</v>
      </c>
      <c r="F42" s="91">
        <f>+E42*D42</f>
        <v>0</v>
      </c>
      <c r="G42" s="104">
        <f t="shared" si="3"/>
        <v>0</v>
      </c>
      <c r="H42" s="6" t="str">
        <f>cennik!$B$2</f>
        <v>EUR</v>
      </c>
      <c r="I42" s="469" t="str">
        <f>IFERROR(IF((VLOOKUP(B42,cennik!A:L,12,0))="O",texty!$A$250,""),"")</f>
        <v>Na objednávku</v>
      </c>
      <c r="J42" s="191" t="str">
        <f>IF(D42&gt;0,IF(VLOOKUP(B42,cennik!A:L,12,FALSE)="O",1,""),"")</f>
        <v/>
      </c>
      <c r="L42" s="6"/>
    </row>
    <row r="43" spans="1:12" ht="12.75" customHeight="1" x14ac:dyDescent="0.2">
      <c r="A43" s="72" t="str">
        <f>texty!$A$120</f>
        <v>uholník mini 11x17mm - 2,35m</v>
      </c>
      <c r="B43" s="15">
        <v>98012</v>
      </c>
      <c r="C43" s="38" t="str">
        <f>IF(B43=data!$D$64,texty!$A$239,+VLOOKUP(B43,cennik!$A$3:$G$979,2,FALSE))</f>
        <v>Sevroll (Astin) UHOLNÍK 2,7M str. (22/1)</v>
      </c>
      <c r="D43" s="29"/>
      <c r="E43" s="91">
        <f>IF(B43=data!$D$73,0,+VLOOKUP(B43,cennik!$A$3:$G$979,3,FALSE))</f>
        <v>7.8957199999999998</v>
      </c>
      <c r="F43" s="91">
        <f>+E43*D43</f>
        <v>0</v>
      </c>
      <c r="G43" s="104">
        <f t="shared" si="3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</row>
    <row r="44" spans="1:12" ht="12.75" customHeight="1" x14ac:dyDescent="0.2">
      <c r="A44" s="72" t="str">
        <f>texty!$A$121</f>
        <v>uholník mini 11x17mm - 3m</v>
      </c>
      <c r="B44" s="15">
        <v>98013</v>
      </c>
      <c r="C44" s="38" t="str">
        <f>IF(B44=data!$D$64,texty!$A$239,+VLOOKUP(B44,cennik!$A$3:$G$979,2,FALSE))</f>
        <v>Sevroll (Astin)-UHOLNÍK 3,6M HLINÍK (22/1)</v>
      </c>
      <c r="D44" s="29"/>
      <c r="E44" s="91">
        <f>IF(B44=data!$D$73,0,+VLOOKUP(B44,cennik!$A$3:$G$979,3,FALSE))</f>
        <v>10.39861</v>
      </c>
      <c r="F44" s="91">
        <f>+E44*D44</f>
        <v>0</v>
      </c>
      <c r="G44" s="104">
        <f t="shared" si="3"/>
        <v>0</v>
      </c>
      <c r="H44" s="6" t="str">
        <f>cennik!$B$2</f>
        <v>EUR</v>
      </c>
      <c r="I44" s="469" t="str">
        <f>IFERROR(IF((VLOOKUP(B44,cennik!A:L,12,0))="O",texty!$A$250,""),"")</f>
        <v>Na objednávku</v>
      </c>
      <c r="J44" s="191" t="str">
        <f>IF(D44&gt;0,IF(VLOOKUP(B44,cennik!A:L,12,FALSE)="O",1,""),"")</f>
        <v/>
      </c>
      <c r="L44" s="6"/>
    </row>
    <row r="45" spans="1:12" ht="12.75" customHeight="1" x14ac:dyDescent="0.2">
      <c r="A45" s="72" t="str">
        <f>texty!$A$122</f>
        <v>uholník K2 19x18mm - 1,7m</v>
      </c>
      <c r="B45" s="6" t="e">
        <f>+VLOOKUP($O$7,data!$C$589:$D$599,2,0)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>+E45*D45</f>
        <v>#N/A</v>
      </c>
      <c r="G45" s="104" t="e">
        <f t="shared" si="3"/>
        <v>#N/A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</row>
    <row r="46" spans="1:12" ht="12.75" customHeight="1" x14ac:dyDescent="0.2">
      <c r="A46" s="72" t="str">
        <f>texty!$A$123</f>
        <v>uholník K2 19x18mm - 2,35m</v>
      </c>
      <c r="B46" s="6" t="e">
        <f>+VLOOKUP($O$7,data!$C$600:$D$610,2,0)</f>
        <v>#N/A</v>
      </c>
      <c r="C46" s="38" t="e">
        <f>IF(B46=data!$D$64,texty!$A$239,+VLOOKUP(B46,cennik!$A$3:$G$907,2,FALSE))</f>
        <v>#N/A</v>
      </c>
      <c r="D46" s="30"/>
      <c r="E46" s="91" t="e">
        <f>IF(B46=data!$D$73,0,+VLOOKUP(B46,cennik!$A$3:$G$907,3,FALSE))</f>
        <v>#N/A</v>
      </c>
      <c r="F46" s="91" t="e">
        <f t="shared" si="2"/>
        <v>#N/A</v>
      </c>
      <c r="G46" s="104" t="e">
        <f t="shared" si="3"/>
        <v>#N/A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</row>
    <row r="47" spans="1:12" ht="12.75" customHeight="1" x14ac:dyDescent="0.2">
      <c r="A47" s="72" t="str">
        <f>texty!$A$124</f>
        <v>uholník K2 19x18mm - 3,00m</v>
      </c>
      <c r="B47" s="15" t="e">
        <f>+VLOOKUP($O$7,data!$C$611:$D$621,2,0)</f>
        <v>#N/A</v>
      </c>
      <c r="C47" s="38" t="e">
        <f>IF(B47=data!$D$64,texty!$A$239,+VLOOKUP(B47,cennik!$A$3:$G$907,2,FALSE))</f>
        <v>#N/A</v>
      </c>
      <c r="D47" s="30"/>
      <c r="E47" s="91" t="e">
        <f>IF(B47=data!$D$73,0,+VLOOKUP(B47,cennik!$A$3:$G$907,3,FALSE))</f>
        <v>#N/A</v>
      </c>
      <c r="F47" s="91" t="e">
        <f t="shared" si="2"/>
        <v>#N/A</v>
      </c>
      <c r="G47" s="104" t="e">
        <f t="shared" si="3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</row>
    <row r="48" spans="1:12" ht="12.75" customHeight="1" x14ac:dyDescent="0.2">
      <c r="A48" s="72" t="str">
        <f>texty!$A$240</f>
        <v>zámok posuvných dverí</v>
      </c>
      <c r="B48" s="24">
        <v>216363</v>
      </c>
      <c r="C48" s="38" t="str">
        <f>+VLOOKUP(B48,cennik!$A:$G,2,FALSE)</f>
        <v>SEVROLL 20356 zámok na posuvné dvere 10/18mm</v>
      </c>
      <c r="D48" s="29"/>
      <c r="E48" s="207">
        <f>+VLOOKUP(B48,cennik!$A:$G,3,FALSE)</f>
        <v>15.72176</v>
      </c>
      <c r="F48" s="105">
        <f t="shared" si="2"/>
        <v>0</v>
      </c>
      <c r="G48" s="104">
        <f t="shared" si="3"/>
        <v>0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</row>
    <row r="49" spans="1:14" ht="12.75" customHeight="1" x14ac:dyDescent="0.2">
      <c r="A49" s="72" t="str">
        <f>texty!$A$112</f>
        <v>protiprachový kartáč samolepiaci</v>
      </c>
      <c r="B49" s="16">
        <v>95946</v>
      </c>
      <c r="C49" s="25" t="str">
        <f>+VLOOKUP(B49,cennik!$A:$G,2,FALSE)</f>
        <v>SEVROLL protiprach.kartáč zásuvný 4,8x13mm</v>
      </c>
      <c r="D49" s="29"/>
      <c r="E49" s="207">
        <f>+VLOOKUP(B49,cennik!$A:$G,3,FALSE)</f>
        <v>0.18106</v>
      </c>
      <c r="F49" s="105">
        <f t="shared" si="2"/>
        <v>0</v>
      </c>
      <c r="G49" s="104">
        <f t="shared" si="3"/>
        <v>0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">
      <c r="A50" s="72"/>
      <c r="B50" s="24"/>
      <c r="C50" s="25"/>
      <c r="D50" s="207"/>
      <c r="E50" s="207"/>
      <c r="F50" s="105"/>
      <c r="G50" s="104"/>
      <c r="H50" s="6"/>
      <c r="I50" s="181"/>
      <c r="J50" s="191"/>
      <c r="L50" s="6"/>
    </row>
    <row r="51" spans="1:14" ht="15" x14ac:dyDescent="0.2">
      <c r="A51" s="271" t="str">
        <f>texty!$A$190</f>
        <v>Ďalšie príslušenstvo</v>
      </c>
      <c r="B51" s="272"/>
      <c r="C51" s="272"/>
      <c r="D51" s="272"/>
      <c r="E51" s="272"/>
      <c r="F51" s="272"/>
      <c r="G51" s="272"/>
      <c r="H51" s="272"/>
      <c r="I51" s="272"/>
      <c r="J51" s="272"/>
      <c r="K51" s="134"/>
      <c r="L51" s="6"/>
    </row>
    <row r="52" spans="1:14" ht="12.75" customHeight="1" x14ac:dyDescent="0.2">
      <c r="A52" s="271" t="str">
        <f>texty!$A$244</f>
        <v>Technický nákres tohoto systému</v>
      </c>
      <c r="B52" s="17"/>
      <c r="C52" s="25"/>
      <c r="D52" s="76" t="str">
        <f>Faworyt!D61</f>
        <v>CELKOM  (bez DPH)</v>
      </c>
      <c r="E52" s="114"/>
      <c r="F52" s="117" t="e">
        <f>SUM(F23:F49)</f>
        <v>#N/A</v>
      </c>
      <c r="G52" s="118" t="e">
        <f>SUM(G23:G49)</f>
        <v>#N/A</v>
      </c>
      <c r="H52" s="6" t="str">
        <f>cennik!$B$2</f>
        <v>EUR</v>
      </c>
      <c r="L52" s="6"/>
    </row>
    <row r="53" spans="1:14" ht="12.75" customHeight="1" x14ac:dyDescent="0.2">
      <c r="A53" s="75" t="str">
        <f>System10!$A$67</f>
        <v>Vaša poznámka:</v>
      </c>
      <c r="B53" s="661"/>
      <c r="C53" s="662"/>
      <c r="D53" s="662"/>
      <c r="E53" s="662"/>
      <c r="F53" s="662"/>
      <c r="G53" s="663"/>
      <c r="H53" s="6"/>
      <c r="L53" s="6"/>
    </row>
    <row r="54" spans="1:14" ht="12.75" customHeight="1" x14ac:dyDescent="0.2">
      <c r="A54" s="659">
        <f>profil!$U$15</f>
        <v>0</v>
      </c>
      <c r="B54" s="659"/>
      <c r="C54" s="659"/>
      <c r="D54" s="659"/>
      <c r="E54" s="659"/>
      <c r="F54" s="659"/>
      <c r="G54" s="659"/>
      <c r="H54" s="659"/>
      <c r="L54" s="6"/>
    </row>
    <row r="55" spans="1:14" ht="12.75" customHeight="1" x14ac:dyDescent="0.2">
      <c r="A55" s="650">
        <f>IF(N55=1,texty!$A$215,IF(J55&gt;0,texty!$A$214,""))</f>
        <v>0</v>
      </c>
      <c r="B55" s="650"/>
      <c r="C55" s="650"/>
      <c r="D55" s="650"/>
      <c r="E55" s="650"/>
      <c r="F55" s="650"/>
      <c r="G55" s="650"/>
      <c r="H55" s="650"/>
      <c r="J55" s="6" t="e">
        <f>SUM(J23:J49)</f>
        <v>#N/A</v>
      </c>
      <c r="L55" s="6" t="str">
        <f>texty!A128</f>
        <v xml:space="preserve">strieborná </v>
      </c>
      <c r="M55" s="21" t="s">
        <v>990</v>
      </c>
      <c r="N55" s="5">
        <f>IF(ISERROR(J55),1,0)</f>
        <v>1</v>
      </c>
    </row>
    <row r="56" spans="1:14" ht="12.75" customHeight="1" x14ac:dyDescent="0.2">
      <c r="A56" s="7"/>
      <c r="B56" s="666"/>
      <c r="C56" s="649"/>
      <c r="D56" s="649"/>
      <c r="E56" s="649"/>
      <c r="F56" s="649"/>
      <c r="G56" s="649"/>
      <c r="H56" s="649"/>
      <c r="L56" s="6"/>
      <c r="M56" s="21" t="s">
        <v>43</v>
      </c>
    </row>
    <row r="57" spans="1:14" ht="12.75" customHeight="1" x14ac:dyDescent="0.2">
      <c r="A57" s="63"/>
      <c r="L57" s="6"/>
    </row>
    <row r="58" spans="1:14" ht="12.75" customHeight="1" x14ac:dyDescent="0.2"/>
    <row r="59" spans="1:14" ht="12.75" customHeight="1" x14ac:dyDescent="0.2"/>
    <row r="60" spans="1:14" ht="12.75" customHeight="1" x14ac:dyDescent="0.2"/>
    <row r="61" spans="1:14" ht="12.75" customHeight="1" x14ac:dyDescent="0.2"/>
    <row r="62" spans="1:14" ht="12.75" customHeight="1" x14ac:dyDescent="0.2"/>
    <row r="63" spans="1:14" ht="12.75" customHeight="1" x14ac:dyDescent="0.2"/>
    <row r="64" spans="1:1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</sheetData>
  <sheetProtection algorithmName="SHA-512" hashValue="lFIns0H5Wvb6bmTPY0UY2Tsb54nSxhrw9uj37+SZjkSlkI1TQFlh+ofVklkGdL+EQd1Tq3t3U9hTZIPM5XUwYg==" saltValue="CPOMY34fRzqkV3KIH3Gjnw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A11">
    <cfRule type="expression" dxfId="43" priority="3">
      <formula>SUM($D$36:$D$37)&gt;0</formula>
    </cfRule>
  </conditionalFormatting>
  <conditionalFormatting sqref="D6">
    <cfRule type="expression" dxfId="41" priority="5">
      <formula>$D$4=4</formula>
    </cfRule>
    <cfRule type="expression" dxfId="40" priority="6">
      <formula>$D$4&lt;&gt;4</formula>
    </cfRule>
  </conditionalFormatting>
  <conditionalFormatting sqref="G4">
    <cfRule type="expression" dxfId="39" priority="4">
      <formula>$D$4=4</formula>
    </cfRule>
  </conditionalFormatting>
  <dataValidations count="2">
    <dataValidation type="list" allowBlank="1" showInputMessage="1" showErrorMessage="1" sqref="E5:F6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A23:I49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85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7.42578125" style="5" customWidth="1"/>
    <col min="2" max="2" width="16.28515625" style="5" customWidth="1"/>
    <col min="3" max="3" width="46.42578125" style="5" bestFit="1" customWidth="1"/>
    <col min="4" max="4" width="13.7109375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21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-5.8</v>
      </c>
    </row>
    <row r="2" spans="1:21" ht="18.75" customHeight="1" x14ac:dyDescent="0.2">
      <c r="A2" s="523" t="s">
        <v>870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1" ht="26.25" thickBot="1" x14ac:dyDescent="0.25">
      <c r="A3" s="524" t="str">
        <f>CONCATENATE(texty!A243," ",5,".",89)</f>
        <v>katalóg kovania 2018 str. 5.89</v>
      </c>
      <c r="B3" s="420" t="str">
        <f>CONCATENATE(texty!A34," / max.        2 742 mm /")</f>
        <v>výška / max.        2 742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8"/>
      <c r="G3" s="6"/>
      <c r="H3" s="6"/>
      <c r="L3" s="6"/>
      <c r="M3" s="17"/>
      <c r="N3" s="21"/>
      <c r="O3" s="17"/>
    </row>
    <row r="4" spans="1:21" ht="25.5" customHeight="1" x14ac:dyDescent="0.2">
      <c r="A4" s="10" t="str">
        <f>+System10!A4</f>
        <v>VNÚTORNÝ ROZMER SKRINE:</v>
      </c>
      <c r="B4" s="56"/>
      <c r="C4" s="56"/>
      <c r="D4" s="22"/>
      <c r="E4" s="22"/>
      <c r="F4" s="8"/>
      <c r="G4" s="647"/>
      <c r="H4" s="647"/>
      <c r="I4" s="647"/>
      <c r="K4" s="190"/>
      <c r="L4" s="8"/>
      <c r="M4" s="17"/>
      <c r="N4" s="5">
        <f>IF(C4&lt;1701,1700,IF(C4&lt;2351,2350,IF(C4&lt;3001,3000,IF(C4&lt;4051,4050,"chybná hodnota"))))</f>
        <v>1700</v>
      </c>
    </row>
    <row r="5" spans="1:21" ht="18" customHeight="1" x14ac:dyDescent="0.2">
      <c r="A5" s="476"/>
      <c r="B5" s="664" t="str">
        <f>texty!A46</f>
        <v>vypíšte tieto 4 políčka !!! Údaje v mm</v>
      </c>
      <c r="C5" s="664"/>
      <c r="D5" s="664"/>
      <c r="E5" s="664"/>
      <c r="F5" s="473"/>
      <c r="G5" s="647"/>
      <c r="H5" s="647"/>
      <c r="I5" s="647"/>
      <c r="K5" s="190"/>
      <c r="L5" s="3"/>
      <c r="M5" s="17"/>
      <c r="N5" s="5" t="str">
        <f>N8</f>
        <v>1700-</v>
      </c>
    </row>
    <row r="6" spans="1:21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M6" s="23"/>
      <c r="R6" s="636"/>
      <c r="S6" s="636"/>
      <c r="T6" s="636"/>
      <c r="U6" s="636"/>
    </row>
    <row r="7" spans="1:21" ht="12.75" customHeight="1" x14ac:dyDescent="0.2">
      <c r="A7" s="10" t="str">
        <f>+System10!$A$7</f>
        <v>krídlo dverí:</v>
      </c>
      <c r="B7" s="57">
        <f>+B4-42</f>
        <v>-42</v>
      </c>
      <c r="C7" s="59" t="e">
        <f>+((C4-3+20*(D4-1))/D4+IF(AND(D4=4,D6=2),M1,0))</f>
        <v>#DIV/0!</v>
      </c>
      <c r="D7" s="8"/>
      <c r="E7" s="8"/>
      <c r="F7" s="8"/>
      <c r="G7" s="50"/>
      <c r="H7" s="6"/>
      <c r="L7" s="6"/>
      <c r="N7" s="17">
        <f>IF(C4&lt;1701,1700,IF(C4&lt;2351,2350,IF(C4&lt;3001,3000,IF(C4&lt;4051,4050,6000))))</f>
        <v>1700</v>
      </c>
      <c r="O7" s="21">
        <f>+E4</f>
        <v>0</v>
      </c>
      <c r="P7" s="21">
        <f>+E4</f>
        <v>0</v>
      </c>
      <c r="R7" s="636"/>
      <c r="S7" s="636"/>
      <c r="T7" s="636"/>
      <c r="U7" s="636"/>
    </row>
    <row r="8" spans="1:21" ht="12.75" customHeight="1" x14ac:dyDescent="0.2">
      <c r="A8" s="10" t="str">
        <f>texty!$A$48</f>
        <v>rozmer výplne 18mm:</v>
      </c>
      <c r="B8" s="57">
        <f>+B7-2</f>
        <v>-44</v>
      </c>
      <c r="C8" s="59" t="e">
        <f>+C7-7</f>
        <v>#DIV/0!</v>
      </c>
      <c r="D8" s="8"/>
      <c r="E8" s="8"/>
      <c r="F8" s="8"/>
      <c r="G8" s="3" t="str">
        <f>texty!$A$43</f>
        <v>Maximálna hmotnosť krídla je 50 kg</v>
      </c>
      <c r="H8" s="6"/>
      <c r="L8" s="6"/>
      <c r="N8" s="23" t="str">
        <f>CONCATENATE(N7,"-",E4)</f>
        <v>1700-</v>
      </c>
      <c r="O8" s="21"/>
      <c r="P8" s="21"/>
      <c r="R8" s="159"/>
    </row>
    <row r="9" spans="1:21" ht="12.75" customHeight="1" x14ac:dyDescent="0.2">
      <c r="A9" s="10" t="str">
        <f>+System10!A11</f>
        <v>Horný/spodný profil</v>
      </c>
      <c r="B9" s="57"/>
      <c r="C9" s="189">
        <f>+C4</f>
        <v>0</v>
      </c>
      <c r="D9" s="8"/>
      <c r="E9" s="8"/>
      <c r="F9" s="8"/>
      <c r="H9" s="40"/>
      <c r="L9" s="6"/>
      <c r="O9" s="23"/>
      <c r="P9" s="21"/>
      <c r="R9" s="159"/>
    </row>
    <row r="10" spans="1:21" ht="12.75" customHeight="1" x14ac:dyDescent="0.2">
      <c r="A10" s="10" t="str">
        <f>+System10!A12</f>
        <v>úchytková lišta</v>
      </c>
      <c r="B10" s="488">
        <f>+B7</f>
        <v>-42</v>
      </c>
      <c r="C10" s="489"/>
      <c r="D10" s="8"/>
      <c r="E10" s="8"/>
      <c r="F10" s="8"/>
      <c r="G10" s="6"/>
      <c r="H10" s="6"/>
      <c r="L10" s="6"/>
      <c r="R10" s="159"/>
    </row>
    <row r="11" spans="1:21" ht="12.75" customHeight="1" x14ac:dyDescent="0.2">
      <c r="A11" s="168" t="str">
        <f>texty!$A$64</f>
        <v>Pri tejto zostave nie je možné použiť kombináciu so sklom / zrkadlom</v>
      </c>
      <c r="B11" s="58"/>
      <c r="C11" s="12"/>
      <c r="D11" s="8"/>
      <c r="E11" s="8"/>
      <c r="F11" s="8"/>
      <c r="G11" s="6"/>
      <c r="H11" s="6"/>
      <c r="L11" s="35"/>
      <c r="R11" s="159"/>
    </row>
    <row r="12" spans="1:21" ht="25.5" x14ac:dyDescent="0.2">
      <c r="A12" s="635" t="str">
        <f>IF(SUM(D39:D40)&gt;0,texty!A246,"")</f>
        <v/>
      </c>
      <c r="B12" s="635"/>
      <c r="C12" s="502" t="str">
        <f>texty!A78</f>
        <v>dodatočné odpočty výšky vypočítaných výplní pri použití deliacich profilov výplne:</v>
      </c>
      <c r="D12" s="8"/>
      <c r="E12" s="8"/>
      <c r="F12" s="8"/>
      <c r="G12" s="6"/>
      <c r="H12" s="6"/>
      <c r="L12" s="6"/>
      <c r="R12" s="159"/>
    </row>
    <row r="13" spans="1:21" x14ac:dyDescent="0.2">
      <c r="A13" s="635"/>
      <c r="B13" s="635"/>
      <c r="C13" s="502"/>
      <c r="D13" s="8"/>
      <c r="E13" s="8"/>
      <c r="F13" s="8"/>
      <c r="G13" s="6"/>
      <c r="H13" s="6"/>
      <c r="L13" s="6"/>
      <c r="R13" s="159"/>
    </row>
    <row r="14" spans="1:21" x14ac:dyDescent="0.2">
      <c r="A14" s="7"/>
      <c r="B14" s="8"/>
      <c r="C14" s="502"/>
      <c r="D14" s="8"/>
      <c r="E14" s="8"/>
      <c r="F14" s="8"/>
      <c r="G14" s="6"/>
      <c r="H14" s="6"/>
      <c r="L14" s="6"/>
      <c r="R14" s="159"/>
    </row>
    <row r="15" spans="1:21" ht="12.75" customHeight="1" x14ac:dyDescent="0.2">
      <c r="A15" s="7"/>
      <c r="B15" s="8"/>
      <c r="C15" s="12"/>
      <c r="D15" s="8"/>
      <c r="E15" s="8"/>
      <c r="F15" s="8"/>
      <c r="G15" s="6"/>
      <c r="H15" s="6"/>
      <c r="L15" s="6"/>
    </row>
    <row r="16" spans="1:21" ht="12.75" customHeight="1" x14ac:dyDescent="0.2">
      <c r="A16" s="7"/>
      <c r="B16" s="8"/>
      <c r="C16" s="12"/>
      <c r="D16" s="8"/>
      <c r="E16" s="8"/>
      <c r="F16" s="8"/>
      <c r="G16" s="6"/>
      <c r="H16" s="6"/>
      <c r="L16" s="6"/>
    </row>
    <row r="17" spans="1:22" ht="14.25" customHeight="1" x14ac:dyDescent="0.2">
      <c r="A17" s="7"/>
      <c r="B17" s="8"/>
      <c r="C17" s="27"/>
      <c r="D17" s="8"/>
      <c r="E17" s="8"/>
      <c r="F17" s="8"/>
      <c r="G17" s="6"/>
      <c r="H17" s="6"/>
      <c r="L17" s="6"/>
    </row>
    <row r="18" spans="1:22" ht="16.5" customHeight="1" x14ac:dyDescent="0.2">
      <c r="A18" s="10"/>
      <c r="B18" s="8"/>
      <c r="C18" s="8"/>
      <c r="E18" s="8"/>
      <c r="F18" s="8"/>
      <c r="G18" s="6"/>
      <c r="H18" s="6"/>
      <c r="L18" s="6"/>
      <c r="M18" s="6"/>
    </row>
    <row r="19" spans="1:22" ht="12.75" customHeight="1" x14ac:dyDescent="0.2">
      <c r="A19" s="7"/>
      <c r="B19" s="8"/>
      <c r="C19" s="8"/>
      <c r="D19" s="8"/>
      <c r="E19" s="8"/>
      <c r="F19" s="8"/>
      <c r="G19" s="6"/>
      <c r="H19" s="6"/>
      <c r="L19" s="3"/>
      <c r="T19" s="163"/>
      <c r="U19" s="163"/>
      <c r="V19" s="163"/>
    </row>
    <row r="20" spans="1:22" ht="12.75" customHeight="1" x14ac:dyDescent="0.2">
      <c r="B20" s="506"/>
      <c r="C20" s="8"/>
      <c r="D20" s="8"/>
      <c r="E20" s="8"/>
      <c r="F20" s="8"/>
      <c r="G20" s="6"/>
      <c r="H20" s="6"/>
      <c r="V20" s="163"/>
    </row>
    <row r="21" spans="1:22" ht="12.75" customHeight="1" x14ac:dyDescent="0.2">
      <c r="A21" s="507" t="s">
        <v>1013</v>
      </c>
      <c r="B21" s="8"/>
      <c r="C21" s="8"/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">
      <c r="A22" s="7"/>
      <c r="B22" s="8"/>
      <c r="D22" s="8"/>
      <c r="E22" s="8"/>
      <c r="F22" s="8"/>
      <c r="G22" s="130" t="str">
        <f>+System10!G25</f>
        <v>partnerská zľava:</v>
      </c>
      <c r="H22" s="6"/>
      <c r="M22" s="6"/>
      <c r="U22" s="163"/>
    </row>
    <row r="23" spans="1:22" ht="12.75" customHeight="1" x14ac:dyDescent="0.2">
      <c r="A23" s="14" t="str">
        <f>+System10!A26</f>
        <v>Objednávacie kódy, ceny: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">
      <c r="A24" s="7"/>
      <c r="B24" s="19" t="str">
        <f>+System10!B27</f>
        <v>kód</v>
      </c>
      <c r="C24" s="18" t="str">
        <f>+System10!C27</f>
        <v>názov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celkom</v>
      </c>
      <c r="G24" s="20" t="str">
        <f>+System10!G27</f>
        <v>celkom netto:</v>
      </c>
      <c r="H24" s="6"/>
      <c r="I24" s="18" t="str">
        <f>texty!A29</f>
        <v>Poznámka:</v>
      </c>
      <c r="J24" s="18"/>
      <c r="L24" s="6"/>
      <c r="N24" s="160"/>
      <c r="O24" s="160"/>
      <c r="U24" s="163"/>
      <c r="V24" s="163"/>
    </row>
    <row r="25" spans="1:22" ht="12.75" customHeight="1" x14ac:dyDescent="0.2">
      <c r="A25" s="7" t="str">
        <f>+System10!A28</f>
        <v>Horný profil:</v>
      </c>
      <c r="B25" s="16" t="e">
        <f>+VLOOKUP(N5,data!$C$688:$D$697,2,0)</f>
        <v>#N/A</v>
      </c>
      <c r="C25" s="25" t="e">
        <f>+VLOOKUP(B25,cennik!$A:$G,2,FALSE)</f>
        <v>#N/A</v>
      </c>
      <c r="D25" s="17">
        <v>1</v>
      </c>
      <c r="E25" s="91" t="e">
        <f>+VLOOKUP(B25,cennik!$A:$G,3,FALSE)</f>
        <v>#N/A</v>
      </c>
      <c r="F25" s="91" t="e">
        <f t="shared" ref="F25:F30" si="0">+E25*D25</f>
        <v>#N/A</v>
      </c>
      <c r="G25" s="92" t="e">
        <f t="shared" ref="G25:G30" si="1"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J25" s="191" t="e">
        <f>IF(D25&gt;0,IF(VLOOKUP(B25,cennik!A:L,12,FALSE)="O",1,""),"")</f>
        <v>#N/A</v>
      </c>
      <c r="L25" s="6"/>
      <c r="M25" s="160"/>
      <c r="N25" s="160"/>
      <c r="O25" s="160"/>
      <c r="V25" s="163"/>
    </row>
    <row r="26" spans="1:22" ht="12.75" customHeight="1" x14ac:dyDescent="0.2">
      <c r="A26" s="7" t="str">
        <f>+System10!A29</f>
        <v>spodný profil:</v>
      </c>
      <c r="B26" s="16" t="e">
        <f>+VLOOKUP(N5,data!$C$698:$D$707,2,0)</f>
        <v>#N/A</v>
      </c>
      <c r="C26" s="25" t="e">
        <f>+VLOOKUP(B26,cennik!$A:$G,2,FALSE)</f>
        <v>#N/A</v>
      </c>
      <c r="D26" s="17">
        <v>1</v>
      </c>
      <c r="E26" s="91" t="e">
        <f>+VLOOKUP(B26,cennik!$A:$G,3,FALSE)</f>
        <v>#N/A</v>
      </c>
      <c r="F26" s="91" t="e">
        <f t="shared" si="0"/>
        <v>#N/A</v>
      </c>
      <c r="G26" s="92" t="e">
        <f t="shared" si="1"/>
        <v>#N/A</v>
      </c>
      <c r="H26" s="6" t="str">
        <f>cennik!$B$2</f>
        <v>EUR</v>
      </c>
      <c r="I26" s="469" t="str">
        <f>IFERROR(IF((VLOOKUP(B26,cennik!A:L,12,0))="O",texty!$A$250,""),"")</f>
        <v/>
      </c>
      <c r="J26" s="191" t="e">
        <f>IF(D26&gt;0,IF(VLOOKUP(B26,cennik!A:L,12,FALSE)="O",1,""),"")</f>
        <v>#N/A</v>
      </c>
      <c r="L26" s="6"/>
      <c r="N26" s="160"/>
      <c r="O26" s="160"/>
      <c r="P26" s="160"/>
      <c r="T26" s="163"/>
    </row>
    <row r="27" spans="1:22" ht="12.75" customHeight="1" x14ac:dyDescent="0.2">
      <c r="A27" s="7" t="str">
        <f>+System10!$A$30</f>
        <v>krycí profil (maska):</v>
      </c>
      <c r="B27" s="16" t="e">
        <f>+VLOOKUP(N5,data!$C$708:$D$717,2,0)</f>
        <v>#N/A</v>
      </c>
      <c r="C27" s="25" t="e">
        <f>+VLOOKUP(B27,cennik!$A:$G,2,FALSE)</f>
        <v>#N/A</v>
      </c>
      <c r="D27" s="17">
        <v>1</v>
      </c>
      <c r="E27" s="91" t="e">
        <f>+VLOOKUP(B27,cennik!$A:$G,3,FALSE)</f>
        <v>#N/A</v>
      </c>
      <c r="F27" s="91" t="e">
        <f>+E27*D27</f>
        <v>#N/A</v>
      </c>
      <c r="G27" s="92" t="e">
        <f t="shared" si="1"/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  <c r="L27" s="6"/>
      <c r="N27" s="160"/>
      <c r="O27" s="160"/>
      <c r="P27" s="160"/>
      <c r="T27" s="163"/>
    </row>
    <row r="28" spans="1:22" ht="12.75" customHeight="1" x14ac:dyDescent="0.2">
      <c r="A28" s="7" t="str">
        <f>+System10!A31</f>
        <v>horné vozíky (sady)</v>
      </c>
      <c r="B28" s="16">
        <v>98092</v>
      </c>
      <c r="C28" s="25" t="str">
        <f>+VLOOKUP(B28,cennik!$A:$G,2,FALSE)</f>
        <v>SEVROLL 10203 Comfort horný vozík 18mm - 2ks</v>
      </c>
      <c r="D28" s="17">
        <f>IF((D41+D42)&gt;D4,0,D4-(D42+D41))</f>
        <v>0</v>
      </c>
      <c r="E28" s="91">
        <f>+VLOOKUP(B28,cennik!$A:$G,3,FALSE)</f>
        <v>7.1525999999999996</v>
      </c>
      <c r="F28" s="91">
        <f t="shared" si="0"/>
        <v>0</v>
      </c>
      <c r="G28" s="92">
        <f t="shared" si="1"/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">
      <c r="A29" s="7" t="str">
        <f>+System10!A32</f>
        <v>spodné vozíky (sada)</v>
      </c>
      <c r="B29" s="16">
        <v>362316</v>
      </c>
      <c r="C29" s="25" t="str">
        <f>+VLOOKUP(B29,cennik!$A:$G,2,FALSE)</f>
        <v>SEVROLL 10237 2x spodný vozík pre lamino 18mm bez pozicionéru bez pružiny</v>
      </c>
      <c r="D29" s="17">
        <f>+D4</f>
        <v>0</v>
      </c>
      <c r="E29" s="91">
        <f>+VLOOKUP(B29,cennik!$A:$G,3,FALSE)</f>
        <v>4.8767699999999996</v>
      </c>
      <c r="F29" s="91">
        <f t="shared" si="0"/>
        <v>0</v>
      </c>
      <c r="G29" s="92">
        <f t="shared" si="1"/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">
      <c r="A30" s="7" t="str">
        <f>+System10!A33</f>
        <v>dorazový kartáč</v>
      </c>
      <c r="B30" s="16">
        <v>229433</v>
      </c>
      <c r="C30" s="25" t="str">
        <f>+VLOOKUP(B30,cennik!$A:$G,2,FALSE)</f>
        <v>SEVROLL dorazová kefa zásuvná 4,8x4mm sivá</v>
      </c>
      <c r="D30" s="17">
        <f>CEILING((B4*D4*2/1000),1)</f>
        <v>0</v>
      </c>
      <c r="E30" s="91">
        <f>+VLOOKUP(B30,cennik!$A:$G,3,FALSE)</f>
        <v>0.13</v>
      </c>
      <c r="F30" s="91">
        <f t="shared" si="0"/>
        <v>0</v>
      </c>
      <c r="G30" s="92">
        <f t="shared" si="1"/>
        <v>0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">
      <c r="A31" s="7" t="str">
        <f>+System10!A34</f>
        <v>úchytková lišta</v>
      </c>
      <c r="B31" s="16" t="e">
        <f>+VLOOKUP(O7,data!$C$764:$D$765,2,0)</f>
        <v>#N/A</v>
      </c>
      <c r="C31" s="25" t="e">
        <f>+VLOOKUP(B31,cennik!$A:$G,2,FALSE)</f>
        <v>#N/A</v>
      </c>
      <c r="D31" s="17">
        <f>IF(B10&lt;=1347,D4*2/2,D4*2)</f>
        <v>0</v>
      </c>
      <c r="E31" s="91" t="e">
        <f>+VLOOKUP(B31,cennik!$A:$G,3,FALSE)</f>
        <v>#N/A</v>
      </c>
      <c r="F31" s="474" t="e">
        <f t="shared" ref="F31" si="2">+E31*D31</f>
        <v>#N/A</v>
      </c>
      <c r="G31" s="475" t="e">
        <f t="shared" ref="G31" si="3">+F31*(100-$G$23)/100</f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22" ht="12.75" customHeight="1" x14ac:dyDescent="0.2">
      <c r="E32" s="94"/>
      <c r="F32" s="94"/>
      <c r="G32" s="94"/>
      <c r="H32" s="6"/>
      <c r="I32" s="469" t="str">
        <f>IFERROR(IF((VLOOKUP(B32,cennik!A:L,12,0))="O",texty!$A$250,""),"")</f>
        <v/>
      </c>
      <c r="J32" s="191"/>
      <c r="L32" s="3"/>
    </row>
    <row r="33" spans="1:22" ht="12.75" customHeight="1" x14ac:dyDescent="0.2">
      <c r="A33" s="14" t="str">
        <f>texty!$A$66</f>
        <v>Voliteľné príslušenstvo:</v>
      </c>
      <c r="B33" s="123"/>
      <c r="C33" s="124"/>
      <c r="D33" s="477" t="str">
        <f>+Faworyt!D34</f>
        <v>zadajte počet:</v>
      </c>
      <c r="E33" s="132"/>
      <c r="F33" s="125"/>
      <c r="G33" s="126"/>
      <c r="H33" s="127"/>
      <c r="I33" s="469" t="str">
        <f>IFERROR(IF((VLOOKUP(B33,cennik!A:L,12,0))="O",texty!$A$250,""),"")</f>
        <v/>
      </c>
      <c r="J33" s="191"/>
      <c r="L33" s="3"/>
    </row>
    <row r="34" spans="1:22" ht="12.75" customHeight="1" x14ac:dyDescent="0.2">
      <c r="A34" s="7" t="str">
        <f>texty!$A$88</f>
        <v>pozicionér do horného vedenia</v>
      </c>
      <c r="B34" s="187">
        <v>298035</v>
      </c>
      <c r="C34" s="38" t="str">
        <f>+VLOOKUP(B34,cennik!$A:$G,2,FALSE)</f>
        <v>SEVROLL 20326 Fix pozicionér pre horný vozík transparentný</v>
      </c>
      <c r="D34" s="29"/>
      <c r="E34" s="207">
        <f>+VLOOKUP(B34,cennik!$A:$G,3,FALSE)</f>
        <v>1.0837300000000001</v>
      </c>
      <c r="F34" s="105">
        <f>+E34*D34</f>
        <v>0</v>
      </c>
      <c r="G34" s="104">
        <f t="shared" ref="G34:G56" si="4">+F34*(100-$F$23)/100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">
      <c r="A35" s="7" t="str">
        <f>texty!$A$111</f>
        <v xml:space="preserve">pozicionér </v>
      </c>
      <c r="B35" s="16">
        <v>89063</v>
      </c>
      <c r="C35" s="38" t="str">
        <f>+VLOOKUP(B35,cennik!$A:$G,2,FALSE)</f>
        <v>SEVROLL 20080 pozicionér spodného vozíka HI-TEC</v>
      </c>
      <c r="D35" s="29"/>
      <c r="E35" s="207">
        <f>+VLOOKUP(B35,cennik!$A:$G,3,FALSE)</f>
        <v>0.30964000000000003</v>
      </c>
      <c r="F35" s="105">
        <f t="shared" ref="F35:F56" si="5">+E35*D35</f>
        <v>0</v>
      </c>
      <c r="G35" s="104">
        <f t="shared" si="4"/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">
      <c r="A36" s="422" t="str">
        <f>texty!$A$228</f>
        <v> Tlmič dorazu MINI do 25 kg (pár)</v>
      </c>
      <c r="B36" s="16">
        <v>318662</v>
      </c>
      <c r="C36" s="25" t="str">
        <f>+VLOOKUP(B36,cennik!$A:$G,2,FALSE)</f>
        <v>SEVROLL 20368-SV tlmič dorazu Mini SV25 (14-25kg)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4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">
      <c r="A37" s="422" t="str">
        <f>texty!$A$229</f>
        <v> Tlmič dorazu MINI do 40 kg (pár)</v>
      </c>
      <c r="B37" s="24">
        <v>283956</v>
      </c>
      <c r="C37" s="25" t="str">
        <f>+VLOOKUP(B37,cennik!$A:$G,2,FALSE)</f>
        <v>SEVROLL 20258-SV tlmič dorazu Mini SV40 (25 - 40kg)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4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">
      <c r="A38" s="422" t="str">
        <f>texty!$A$230</f>
        <v> Tlmič dorazu MINI do 60 kg (pár)</v>
      </c>
      <c r="B38" s="24">
        <v>351743</v>
      </c>
      <c r="C38" s="25" t="str">
        <f>+VLOOKUP(B38,cennik!$A:$G,2,FALSE)</f>
        <v>SEVROLL 20339-SV tlmič dorazu Mini SV60 (40 - 60kg)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4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">
      <c r="A39" s="422" t="str">
        <f>texty!$A$231</f>
        <v> Tlmič pre stredné krídlo do 25 kg</v>
      </c>
      <c r="B39" s="24">
        <v>318663</v>
      </c>
      <c r="C39" s="25" t="str">
        <f>+VLOOKUP(B39,cennik!$A:$G,2,FALSE)</f>
        <v>SEVROLL 20363-SV tlmič Central 10/18mm obojstranný 25kg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4"/>
        <v>0</v>
      </c>
      <c r="H39" s="24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">
      <c r="A40" s="422" t="str">
        <f>texty!$A$232</f>
        <v> Tlmič pre stredné krídlo do 40 kg</v>
      </c>
      <c r="B40" s="24">
        <v>283955</v>
      </c>
      <c r="C40" s="25" t="str">
        <f>+VLOOKUP(B40,cennik!$A:$G,2,FALSE)</f>
        <v>SEVROLL 20319-SV tlmič Central 10/18mm obojstranný 25-40kg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4"/>
        <v>0</v>
      </c>
      <c r="H40" s="24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 L+P</v>
      </c>
      <c r="D41" s="29"/>
      <c r="E41" s="207">
        <f>+VLOOKUP(B41,cennik!$A:$G,3,FALSE)</f>
        <v>0</v>
      </c>
      <c r="F41" s="105">
        <f>+E41*D41</f>
        <v>0</v>
      </c>
      <c r="G41" s="104">
        <f t="shared" si="4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4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">
      <c r="A43" s="7" t="str">
        <f>texty!$A$196</f>
        <v>Spona dorazovej kefky</v>
      </c>
      <c r="B43" s="16">
        <v>223569</v>
      </c>
      <c r="C43" s="38" t="str">
        <f>+VLOOKUP(B43,cennik!$A:$G,2,FALSE)</f>
        <v>SEVROLL 20223 spona dorazovej kefky</v>
      </c>
      <c r="D43" s="29"/>
      <c r="E43" s="207">
        <f>+VLOOKUP(B43,cennik!$A:$G,3,FALSE)</f>
        <v>7.1209999999999996E-2</v>
      </c>
      <c r="F43" s="105">
        <f t="shared" si="5"/>
        <v>0</v>
      </c>
      <c r="G43" s="104">
        <f t="shared" si="4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">
      <c r="A44" s="145" t="str">
        <f>texty!$A$114</f>
        <v>spojovací profil H18-3metre</v>
      </c>
      <c r="B44" s="16" t="e">
        <f>+VLOOKUP($P$7,data!$C$537:$D$547,2,0)</f>
        <v>#N/A</v>
      </c>
      <c r="C44" s="38" t="e">
        <f>+VLOOKUP(B44,cennik!$A:$G,2,FALSE)</f>
        <v>#N/A</v>
      </c>
      <c r="D44" s="29"/>
      <c r="E44" s="207" t="e">
        <f>+VLOOKUP(B44,cennik!$A:$G,3,FALSE)</f>
        <v>#N/A</v>
      </c>
      <c r="F44" s="105" t="e">
        <f t="shared" si="5"/>
        <v>#N/A</v>
      </c>
      <c r="G44" s="104" t="e">
        <f t="shared" si="4"/>
        <v>#N/A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">
      <c r="A45" s="145" t="str">
        <f>texty!$A$115</f>
        <v>spojovací T profil - 3metre /s drážkou/</v>
      </c>
      <c r="B45" s="16" t="e">
        <f>+VLOOKUP($P$7,data!$C$548:$D$557,2,0)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 t="shared" si="5"/>
        <v>#N/A</v>
      </c>
      <c r="G45" s="104" t="e">
        <f t="shared" si="4"/>
        <v>#N/A</v>
      </c>
      <c r="H45" s="24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">
      <c r="A46" s="145" t="str">
        <f>texty!$A$116</f>
        <v>spojovací T profil - 3metre /s lemom/</v>
      </c>
      <c r="B46" s="16" t="e">
        <f>+VLOOKUP($P$7,data!$C$558:$D$567,2,0)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5"/>
        <v>#N/A</v>
      </c>
      <c r="G46" s="104" t="e">
        <f t="shared" si="4"/>
        <v>#N/A</v>
      </c>
      <c r="H46" s="24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">
      <c r="A47" s="145" t="str">
        <f>texty!$A$117</f>
        <v>"U" profil na DTD 18mm - 3 metre /hladký/</v>
      </c>
      <c r="B47" s="6" t="e">
        <f>+VLOOKUP($P$7,data!$C$568:$D$578,2,0)</f>
        <v>#N/A</v>
      </c>
      <c r="C47" s="38" t="e">
        <f>+VLOOKUP(B47,cennik!$A:$G,2,FALSE)</f>
        <v>#N/A</v>
      </c>
      <c r="D47" s="29"/>
      <c r="E47" s="207" t="e">
        <f>+VLOOKUP(B47,cennik!$A:$G,3,FALSE)</f>
        <v>#N/A</v>
      </c>
      <c r="F47" s="105" t="e">
        <f t="shared" si="5"/>
        <v>#N/A</v>
      </c>
      <c r="G47" s="104" t="e">
        <f t="shared" si="4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">
      <c r="A48" s="145" t="str">
        <f>texty!$A$118</f>
        <v>"U" profil na DTD 18mm - 3 metre /lem/</v>
      </c>
      <c r="B48" s="16" t="e">
        <f>+VLOOKUP($P$7,data!$C$578:$D$588,2,0)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 t="shared" si="5"/>
        <v>#N/A</v>
      </c>
      <c r="G48" s="104" t="e">
        <f t="shared" si="4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4" ht="12.75" customHeight="1" x14ac:dyDescent="0.2">
      <c r="A49" s="145" t="str">
        <f>texty!$A$119</f>
        <v>uholník mini 11x17mm - 1,7m</v>
      </c>
      <c r="B49" s="6" t="e">
        <f>+VLOOKUP($P$7,data!$C$589:$D$599,2,0)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>+E49*D49</f>
        <v>#N/A</v>
      </c>
      <c r="G49" s="104" t="e">
        <f t="shared" si="4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4" ht="12.75" customHeight="1" x14ac:dyDescent="0.2">
      <c r="A50" s="145" t="str">
        <f>texty!$A$120</f>
        <v>uholník mini 11x17mm - 2,35m</v>
      </c>
      <c r="B50" s="6" t="e">
        <f>+VLOOKUP($P$7,data!$C$600:$D$610,2,0)</f>
        <v>#N/A</v>
      </c>
      <c r="C50" s="38" t="e">
        <f>IF(B50=data!$D$64,texty!$A$239,+VLOOKUP(B50,cennik!$A$3:$G$907,2,FALSE))</f>
        <v>#N/A</v>
      </c>
      <c r="D50" s="29"/>
      <c r="E50" s="91" t="e">
        <f>IF(B50=data!$D$73,0,+VLOOKUP(B50,cennik!$A$3:$G$907,3,FALSE))</f>
        <v>#N/A</v>
      </c>
      <c r="F50" s="91" t="e">
        <f>+E50*D50</f>
        <v>#N/A</v>
      </c>
      <c r="G50" s="104" t="e">
        <f t="shared" si="4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">
      <c r="A51" s="145" t="str">
        <f>texty!$A$121</f>
        <v>uholník mini 11x17mm - 3m</v>
      </c>
      <c r="B51" s="15" t="e">
        <f>+VLOOKUP($P$7,data!$C$611:$D$621,2,0)</f>
        <v>#N/A</v>
      </c>
      <c r="C51" s="38" t="e">
        <f>IF(B51=data!$D$64,texty!$A$239,+VLOOKUP(B51,cennik!$A$3:$G$907,2,FALSE))</f>
        <v>#N/A</v>
      </c>
      <c r="D51" s="29"/>
      <c r="E51" s="91" t="e">
        <f>IF(B51=data!$D$73,0,+VLOOKUP(B51,cennik!$A$3:$G$907,3,FALSE))</f>
        <v>#N/A</v>
      </c>
      <c r="F51" s="91" t="e">
        <f>+E51*D51</f>
        <v>#N/A</v>
      </c>
      <c r="G51" s="104" t="e">
        <f t="shared" si="4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4" ht="12.75" customHeight="1" x14ac:dyDescent="0.2">
      <c r="A52" s="145" t="str">
        <f>texty!$A$122</f>
        <v>uholník K2 19x18mm - 1,7m</v>
      </c>
      <c r="B52" s="24" t="e">
        <f>+VLOOKUP($P$7,data!$C$622:$D$631,2,0)</f>
        <v>#N/A</v>
      </c>
      <c r="C52" s="38" t="e">
        <f>IF(B52=data!$D$64,texty!$A$239,+VLOOKUP(B52,cennik!$A$3:$G$907,2,FALSE))</f>
        <v>#N/A</v>
      </c>
      <c r="D52" s="29"/>
      <c r="E52" s="91" t="e">
        <f>IF(B52=data!$D$73,0,+VLOOKUP(B52,cennik!$A$3:$G$907,3,FALSE))</f>
        <v>#N/A</v>
      </c>
      <c r="F52" s="91" t="e">
        <f>+E52*D52</f>
        <v>#N/A</v>
      </c>
      <c r="G52" s="104" t="e">
        <f t="shared" si="4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">
      <c r="A53" s="145" t="str">
        <f>texty!$A$123</f>
        <v>uholník K2 19x18mm - 2,35m</v>
      </c>
      <c r="B53" s="16" t="e">
        <f>+VLOOKUP($P$7,data!$C$632:$D$641,2,0)</f>
        <v>#N/A</v>
      </c>
      <c r="C53" s="38" t="e">
        <f>IF(B53=data!$D$64,texty!$A$239,+VLOOKUP(B53,cennik!$A$3:$G$907,2,FALSE))</f>
        <v>#N/A</v>
      </c>
      <c r="D53" s="30"/>
      <c r="E53" s="91" t="e">
        <f>IF(B53=data!$D$73,0,+VLOOKUP(B53,cennik!$A$3:$G$907,3,FALSE))</f>
        <v>#N/A</v>
      </c>
      <c r="F53" s="91" t="e">
        <f t="shared" si="5"/>
        <v>#N/A</v>
      </c>
      <c r="G53" s="104" t="e">
        <f t="shared" si="4"/>
        <v>#N/A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">
      <c r="A54" s="145" t="str">
        <f>texty!$A$124</f>
        <v>uholník K2 19x18mm - 3,00m</v>
      </c>
      <c r="B54" s="16" t="e">
        <f>+VLOOKUP($P$7,data!$C$642:$D$651,2,0)</f>
        <v>#N/A</v>
      </c>
      <c r="C54" s="38" t="e">
        <f>IF(B54=data!$D$64,texty!$A$239,+VLOOKUP(B54,cennik!$A$3:$G$907,2,FALSE))</f>
        <v>#N/A</v>
      </c>
      <c r="D54" s="30"/>
      <c r="E54" s="91" t="e">
        <f>IF(B54=data!$D$73,0,+VLOOKUP(B54,cennik!$A$3:$G$907,3,FALSE))</f>
        <v>#N/A</v>
      </c>
      <c r="F54" s="91" t="e">
        <f t="shared" si="5"/>
        <v>#N/A</v>
      </c>
      <c r="G54" s="104" t="e">
        <f t="shared" si="4"/>
        <v>#N/A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">
      <c r="A55" s="422" t="str">
        <f>texty!$A$240</f>
        <v>zámok posuvných dverí</v>
      </c>
      <c r="B55" s="24">
        <v>216363</v>
      </c>
      <c r="C55" s="38" t="str">
        <f>+VLOOKUP(B55,cennik!$A:$G,2,FALSE)</f>
        <v>SEVROLL 20356 zámok na posuvné dvere 10/18mm</v>
      </c>
      <c r="D55" s="29"/>
      <c r="E55" s="207">
        <f>+VLOOKUP(B55,cennik!$A:$G,3,FALSE)</f>
        <v>15.72176</v>
      </c>
      <c r="F55" s="105">
        <f t="shared" si="5"/>
        <v>0</v>
      </c>
      <c r="G55" s="104">
        <f t="shared" si="4"/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L55" s="6"/>
    </row>
    <row r="56" spans="1:14" ht="12.75" customHeight="1" x14ac:dyDescent="0.2">
      <c r="A56" s="7" t="str">
        <f>texty!$A$112</f>
        <v>protiprachový kartáč samolepiaci</v>
      </c>
      <c r="B56" s="24">
        <v>308639</v>
      </c>
      <c r="C56" s="25" t="str">
        <f>+VLOOKUP(B56,cennik!$A:$G,2,FALSE)</f>
        <v>SEVROLL protiprachový kartáč samolep. 6,7x13mm</v>
      </c>
      <c r="D56" s="29"/>
      <c r="E56" s="207">
        <f>+VLOOKUP(B56,cennik!$A:$G,3,FALSE)</f>
        <v>0.29721999999999998</v>
      </c>
      <c r="F56" s="105">
        <f t="shared" si="5"/>
        <v>0</v>
      </c>
      <c r="G56" s="104">
        <f t="shared" si="4"/>
        <v>0</v>
      </c>
      <c r="H56" s="6" t="str">
        <f>cennik!$B$2</f>
        <v>EUR</v>
      </c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">
      <c r="B57" s="167"/>
      <c r="C57" s="167"/>
      <c r="D57" s="91"/>
      <c r="E57" s="91"/>
      <c r="F57" s="91"/>
      <c r="G57" s="96"/>
      <c r="H57" s="92"/>
      <c r="J57" s="181"/>
      <c r="K57" s="181"/>
      <c r="L57" s="6"/>
    </row>
    <row r="58" spans="1:14" ht="15" x14ac:dyDescent="0.2">
      <c r="A58" s="271" t="str">
        <f>texty!$A$190</f>
        <v>Ďalšie príslušenstvo</v>
      </c>
      <c r="B58" s="272"/>
      <c r="C58" s="272"/>
      <c r="D58" s="272"/>
      <c r="E58" s="272"/>
      <c r="F58" s="272"/>
      <c r="G58" s="272"/>
      <c r="H58" s="272"/>
      <c r="I58" s="272"/>
      <c r="J58" s="272"/>
      <c r="K58" s="134"/>
    </row>
    <row r="59" spans="1:14" ht="12.75" customHeight="1" x14ac:dyDescent="0.2">
      <c r="A59" s="271" t="str">
        <f>texty!$A$244</f>
        <v>Technický nákres tohoto systému</v>
      </c>
      <c r="B59" s="8"/>
      <c r="C59" s="8"/>
      <c r="D59" s="76" t="str">
        <f>texty!$A$15</f>
        <v>CELKOM  (bez DPH)</v>
      </c>
      <c r="E59" s="99"/>
      <c r="F59" s="101" t="e">
        <f>SUM(F25:F56)</f>
        <v>#N/A</v>
      </c>
      <c r="G59" s="101" t="e">
        <f>SUM(G25:G56)</f>
        <v>#N/A</v>
      </c>
      <c r="H59" s="6" t="str">
        <f>cennik!$B$2</f>
        <v>EUR</v>
      </c>
      <c r="J59" s="181"/>
      <c r="K59" s="181"/>
      <c r="L59" s="5" t="str">
        <f>texty!A128</f>
        <v xml:space="preserve">strieborná </v>
      </c>
      <c r="M59" s="21" t="s">
        <v>990</v>
      </c>
    </row>
    <row r="60" spans="1:14" ht="12.75" customHeight="1" x14ac:dyDescent="0.2">
      <c r="A60" s="75" t="str">
        <f>System10!$A$67</f>
        <v>Vaša poznámka:</v>
      </c>
      <c r="B60" s="652"/>
      <c r="C60" s="653"/>
      <c r="D60" s="653"/>
      <c r="E60" s="653"/>
      <c r="F60" s="653"/>
      <c r="G60" s="654"/>
      <c r="H60" s="6"/>
      <c r="L60" s="5" t="str">
        <f>texty!A130</f>
        <v>oliva</v>
      </c>
      <c r="M60" s="21" t="s">
        <v>43</v>
      </c>
    </row>
    <row r="61" spans="1:14" ht="12.75" customHeight="1" x14ac:dyDescent="0.2">
      <c r="A61" s="648">
        <f>profil!$U$15</f>
        <v>0</v>
      </c>
      <c r="B61" s="649"/>
      <c r="C61" s="649"/>
      <c r="D61" s="649"/>
      <c r="E61" s="649"/>
      <c r="F61" s="649"/>
      <c r="G61" s="649"/>
      <c r="H61" s="649"/>
    </row>
    <row r="62" spans="1:14" ht="12.75" customHeight="1" x14ac:dyDescent="0.2">
      <c r="A62" s="650">
        <f>IF(N62=1,texty!$A$215,IF(J62&gt;0,texty!$A$214,""))</f>
        <v>0</v>
      </c>
      <c r="B62" s="650"/>
      <c r="C62" s="650"/>
      <c r="D62" s="650"/>
      <c r="E62" s="650"/>
      <c r="F62" s="650"/>
      <c r="G62" s="650"/>
      <c r="H62" s="650"/>
      <c r="J62" s="6" t="e">
        <f>SUM(J25:J56)</f>
        <v>#N/A</v>
      </c>
      <c r="N62" s="5">
        <f>IF(ISERROR(J62),1,0)</f>
        <v>1</v>
      </c>
    </row>
    <row r="63" spans="1:14" ht="12.75" customHeight="1" x14ac:dyDescent="0.2"/>
    <row r="75" spans="1:1" ht="12.75" hidden="1" customHeight="1" x14ac:dyDescent="0.2">
      <c r="A75" s="5">
        <v>3</v>
      </c>
    </row>
    <row r="76" spans="1:1" ht="12.75" customHeight="1" x14ac:dyDescent="0.2"/>
    <row r="77" spans="1:1" ht="12.75" customHeight="1" x14ac:dyDescent="0.2"/>
    <row r="78" spans="1:1" ht="12.75" customHeight="1" x14ac:dyDescent="0.2"/>
    <row r="79" spans="1:1" ht="12.75" customHeight="1" x14ac:dyDescent="0.2"/>
    <row r="80" spans="1:1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</sheetData>
  <sheetProtection algorithmName="SHA-512" hashValue="BtAyJN+VkYS0NwPVDJ+8Uo9pT7pKIvjzjmP4MaEXn3hx0e0JbPTrrNYO94SR4N/r/3Lna6WZ6QypHkqtVvOipA==" saltValue="VW371Y/zx4dHGRPdCMKPD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7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5" customWidth="1"/>
    <col min="2" max="2" width="15.7109375" style="5" customWidth="1"/>
    <col min="3" max="3" width="46.42578125" style="5" bestFit="1" customWidth="1"/>
    <col min="4" max="4" width="13.7109375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22" width="0" style="5" hidden="1" customWidth="1"/>
    <col min="23" max="16384" width="9.140625" style="5" hidden="1"/>
  </cols>
  <sheetData>
    <row r="1" spans="1:21" ht="13.5" customHeight="1" thickBot="1" x14ac:dyDescent="0.25">
      <c r="A1" s="485"/>
      <c r="B1" s="506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 x14ac:dyDescent="0.2">
      <c r="A2" s="523" t="s">
        <v>872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1" ht="26.25" thickBot="1" x14ac:dyDescent="0.25">
      <c r="A3" s="524" t="str">
        <f>CONCATENATE(texty!A243," ",5,".",89)</f>
        <v>katalóg kovania 2018 str. 5.89</v>
      </c>
      <c r="B3" s="420" t="str">
        <f>CONCATENATE(texty!A34," / max.        2 742 mm /")</f>
        <v>výška / max.        2 742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9"/>
      <c r="G3" s="6"/>
      <c r="H3" s="6"/>
      <c r="L3" s="6"/>
    </row>
    <row r="4" spans="1:21" ht="25.5" customHeight="1" x14ac:dyDescent="0.2">
      <c r="A4" s="10" t="str">
        <f>+System10!A4</f>
        <v>VNÚTORNÝ ROZMER SKRINE:</v>
      </c>
      <c r="B4" s="56"/>
      <c r="C4" s="56"/>
      <c r="D4" s="22"/>
      <c r="E4" s="22"/>
      <c r="F4" s="9"/>
      <c r="G4" s="647"/>
      <c r="H4" s="647"/>
      <c r="I4" s="647"/>
      <c r="K4" s="190"/>
      <c r="L4" s="8"/>
      <c r="O4" s="5">
        <f>IF(C4&lt;1701,1700,IF(C4&lt;2351,2350,IF(C4&lt;3001,3000,IF(C4&lt;4051,4050,"chybná hodnota"))))</f>
        <v>1700</v>
      </c>
    </row>
    <row r="5" spans="1:21" ht="18" customHeight="1" x14ac:dyDescent="0.2">
      <c r="A5" s="476"/>
      <c r="B5" s="664" t="str">
        <f>texty!A46</f>
        <v>vypíšte tieto 4 políčka !!! Údaje v mm</v>
      </c>
      <c r="C5" s="664"/>
      <c r="D5" s="664"/>
      <c r="E5" s="664"/>
      <c r="F5" s="473"/>
      <c r="G5" s="647"/>
      <c r="H5" s="647"/>
      <c r="I5" s="647"/>
      <c r="K5" s="190"/>
      <c r="L5" s="3"/>
      <c r="O5" s="5" t="str">
        <f>O8</f>
        <v>1700-</v>
      </c>
    </row>
    <row r="6" spans="1:21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R6" s="636"/>
      <c r="S6" s="636"/>
      <c r="T6" s="636"/>
      <c r="U6" s="636"/>
    </row>
    <row r="7" spans="1:21" ht="12.75" customHeight="1" x14ac:dyDescent="0.2">
      <c r="A7" s="10" t="str">
        <f>+Faworyt!A7</f>
        <v>krídlo dverí:</v>
      </c>
      <c r="B7" s="57">
        <f>+B4-42</f>
        <v>-42</v>
      </c>
      <c r="C7" s="59" t="e">
        <f>+((C4-3+35*(D4-1))/D4+IF(AND(D4=4,D6=2),M1,0))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>
        <f>+E4</f>
        <v>0</v>
      </c>
      <c r="R7" s="636"/>
      <c r="S7" s="636"/>
      <c r="T7" s="636"/>
      <c r="U7" s="636"/>
    </row>
    <row r="8" spans="1:21" ht="12.75" customHeight="1" x14ac:dyDescent="0.2">
      <c r="A8" s="10" t="str">
        <f>+Faworyt!A8</f>
        <v>rozmer výplne 18mm:</v>
      </c>
      <c r="B8" s="57">
        <f>+B7-2</f>
        <v>-44</v>
      </c>
      <c r="C8" s="59" t="e">
        <f>+C7-7</f>
        <v>#DIV/0!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>1700-</v>
      </c>
      <c r="P8" s="21"/>
    </row>
    <row r="9" spans="1:21" ht="12.75" customHeight="1" x14ac:dyDescent="0.2">
      <c r="A9" s="10" t="str">
        <f>+Faworyt!A9</f>
        <v>rozmer výplne 12mm:</v>
      </c>
      <c r="B9" s="57">
        <f>+B8</f>
        <v>-44</v>
      </c>
      <c r="C9" s="59" t="e">
        <f>+C7-7</f>
        <v>#DIV/0!</v>
      </c>
      <c r="D9" s="8"/>
      <c r="E9" s="8"/>
      <c r="F9" s="8"/>
      <c r="G9" s="51"/>
      <c r="H9" s="6"/>
      <c r="L9" s="37"/>
      <c r="M9" s="36"/>
    </row>
    <row r="10" spans="1:21" ht="12.75" customHeight="1" x14ac:dyDescent="0.2">
      <c r="A10" s="10" t="str">
        <f>+Faworyt!A10</f>
        <v>rozmer zrkadla /na DTD 12mm/</v>
      </c>
      <c r="B10" s="57">
        <f>+B8-2</f>
        <v>-46</v>
      </c>
      <c r="C10" s="65" t="e">
        <f>+C9-4</f>
        <v>#DIV/0!</v>
      </c>
      <c r="D10" s="8"/>
      <c r="E10" s="8"/>
      <c r="F10" s="8"/>
      <c r="G10" s="49"/>
      <c r="H10" s="6"/>
      <c r="O10" s="17"/>
      <c r="P10" s="21"/>
    </row>
    <row r="11" spans="1:21" ht="12.75" customHeight="1" x14ac:dyDescent="0.2">
      <c r="A11" s="10" t="str">
        <f>texty!$A$51</f>
        <v>Dĺžka úchytkového profilu (+2 mm)</v>
      </c>
      <c r="B11" s="487">
        <f>B8+2</f>
        <v>-42</v>
      </c>
      <c r="C11" s="136"/>
      <c r="D11" s="8"/>
      <c r="E11" s="8"/>
      <c r="F11" s="8"/>
      <c r="G11" s="3"/>
      <c r="H11" s="6"/>
      <c r="L11" s="36"/>
      <c r="O11" s="23"/>
      <c r="P11" s="21"/>
    </row>
    <row r="12" spans="1:21" ht="25.5" x14ac:dyDescent="0.2">
      <c r="A12" s="486" t="e">
        <f>IF(B7&gt;2400,texty!A194,IF(C7&gt;700,texty!A194,""))</f>
        <v>#DIV/0!</v>
      </c>
      <c r="C12" s="492" t="str">
        <f>texty!A78</f>
        <v>dodatočné odpočty výšky vypočítaných výplní pri použití deliacich profilov výplne:</v>
      </c>
      <c r="D12" s="8"/>
      <c r="E12" s="8"/>
      <c r="F12" s="8"/>
      <c r="G12" s="6"/>
      <c r="L12" s="6"/>
    </row>
    <row r="13" spans="1:21" ht="19.899999999999999" customHeight="1" x14ac:dyDescent="0.2">
      <c r="A13" s="635" t="str">
        <f>IF(SUM(D39:D40)&gt;0,texty!A246,"")</f>
        <v/>
      </c>
      <c r="B13" s="635"/>
      <c r="C13" s="86"/>
      <c r="D13" s="8"/>
      <c r="E13" s="8"/>
      <c r="F13" s="8"/>
      <c r="G13" s="6"/>
      <c r="H13" s="6"/>
      <c r="L13" s="35"/>
    </row>
    <row r="14" spans="1:21" ht="19.899999999999999" customHeight="1" x14ac:dyDescent="0.2">
      <c r="A14" s="635"/>
      <c r="B14" s="635"/>
      <c r="C14" s="86"/>
      <c r="D14" s="8"/>
      <c r="E14" s="8"/>
      <c r="F14" s="8"/>
      <c r="G14" s="6"/>
      <c r="H14" s="6"/>
      <c r="L14" s="35"/>
    </row>
    <row r="15" spans="1:21" ht="12.75" customHeight="1" x14ac:dyDescent="0.2">
      <c r="A15" s="7"/>
      <c r="B15" s="58"/>
      <c r="C15" s="86"/>
      <c r="D15" s="8"/>
      <c r="E15" s="8"/>
      <c r="F15" s="8"/>
      <c r="G15" s="6"/>
      <c r="H15" s="6"/>
      <c r="L15" s="35"/>
    </row>
    <row r="16" spans="1:21" ht="12.75" customHeight="1" x14ac:dyDescent="0.2">
      <c r="A16" s="188"/>
      <c r="B16" s="64"/>
      <c r="C16" s="164"/>
      <c r="D16" s="8"/>
      <c r="E16" s="8"/>
      <c r="F16" s="8"/>
      <c r="G16" s="6"/>
      <c r="H16" s="6"/>
      <c r="L16" s="6"/>
    </row>
    <row r="17" spans="1:22" ht="12.75" customHeight="1" x14ac:dyDescent="0.2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 x14ac:dyDescent="0.2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 x14ac:dyDescent="0.2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 x14ac:dyDescent="0.2">
      <c r="A20" s="10"/>
      <c r="B20" s="8"/>
      <c r="C20" s="8"/>
      <c r="E20" s="8"/>
      <c r="F20" s="8"/>
      <c r="G20" s="6"/>
      <c r="H20" s="6"/>
      <c r="L20" s="6"/>
    </row>
    <row r="21" spans="1:22" ht="12.75" customHeight="1" x14ac:dyDescent="0.2">
      <c r="A21" s="485" t="s">
        <v>1013</v>
      </c>
      <c r="B21" s="506" t="s">
        <v>1020</v>
      </c>
      <c r="C21" s="8"/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">
      <c r="A22" s="7"/>
      <c r="B22" s="8"/>
      <c r="D22" s="8"/>
      <c r="E22" s="8"/>
      <c r="F22" s="8"/>
      <c r="G22" s="130" t="str">
        <f>+System10!G25</f>
        <v>partnerská zľava:</v>
      </c>
      <c r="H22" s="6"/>
      <c r="M22" s="6"/>
      <c r="U22" s="163"/>
    </row>
    <row r="23" spans="1:22" ht="12.75" customHeight="1" x14ac:dyDescent="0.2">
      <c r="A23" s="14" t="str">
        <f>+System10!A26</f>
        <v>Objednávacie kódy, ceny: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">
      <c r="A24" s="7"/>
      <c r="B24" s="19" t="str">
        <f>+System10!B27</f>
        <v>kód</v>
      </c>
      <c r="C24" s="18" t="str">
        <f>+System10!C27</f>
        <v>názov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celkom</v>
      </c>
      <c r="G24" s="20" t="str">
        <f>+System10!G27</f>
        <v>celkom netto:</v>
      </c>
      <c r="H24" s="6"/>
      <c r="I24" s="18" t="str">
        <f>texty!A29</f>
        <v>Poznámka:</v>
      </c>
      <c r="J24" s="18"/>
      <c r="L24" s="6"/>
      <c r="N24" s="160"/>
      <c r="O24" s="160"/>
      <c r="U24" s="163"/>
      <c r="V24" s="163"/>
    </row>
    <row r="25" spans="1:22" ht="12.75" customHeight="1" x14ac:dyDescent="0.2">
      <c r="A25" s="7" t="str">
        <f>+System10!A28</f>
        <v>Horný profil:</v>
      </c>
      <c r="B25" s="16" t="e">
        <f>+VLOOKUP(O5,data!$C$688:$D$697,2,0)</f>
        <v>#N/A</v>
      </c>
      <c r="C25" s="25" t="e">
        <f>+VLOOKUP(B25,cennik!$A:$G,2,FALSE)</f>
        <v>#N/A</v>
      </c>
      <c r="D25" s="17">
        <v>1</v>
      </c>
      <c r="E25" s="91" t="e">
        <f>+VLOOKUP(B25,cennik!$A:$G,3,FALSE)</f>
        <v>#N/A</v>
      </c>
      <c r="F25" s="91" t="e">
        <f t="shared" ref="F25:F31" si="0">+E25*D25</f>
        <v>#N/A</v>
      </c>
      <c r="G25" s="92" t="e">
        <f t="shared" ref="G25:G31" si="1"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J25" s="191" t="e">
        <f>IF(D25&gt;0,IF(VLOOKUP(B25,cennik!A:L,12,FALSE)="O",1,""),"")</f>
        <v>#N/A</v>
      </c>
      <c r="L25" s="6"/>
      <c r="M25" s="160"/>
      <c r="N25" s="160"/>
      <c r="O25" s="160"/>
      <c r="V25" s="163"/>
    </row>
    <row r="26" spans="1:22" ht="12.75" customHeight="1" x14ac:dyDescent="0.2">
      <c r="A26" s="7" t="str">
        <f>+System10!A29</f>
        <v>spodný profil:</v>
      </c>
      <c r="B26" s="16" t="e">
        <f>+VLOOKUP(O5,data!$C$698:$D$707,2,0)</f>
        <v>#N/A</v>
      </c>
      <c r="C26" s="25" t="e">
        <f>+VLOOKUP(B26,cennik!$A:$G,2,FALSE)</f>
        <v>#N/A</v>
      </c>
      <c r="D26" s="17">
        <v>1</v>
      </c>
      <c r="E26" s="91" t="e">
        <f>+VLOOKUP(B26,cennik!$A:$G,3,FALSE)</f>
        <v>#N/A</v>
      </c>
      <c r="F26" s="91" t="e">
        <f t="shared" si="0"/>
        <v>#N/A</v>
      </c>
      <c r="G26" s="92" t="e">
        <f t="shared" si="1"/>
        <v>#N/A</v>
      </c>
      <c r="H26" s="6" t="str">
        <f>cennik!$B$2</f>
        <v>EUR</v>
      </c>
      <c r="I26" s="469" t="str">
        <f>IFERROR(IF((VLOOKUP(B26,cennik!A:L,12,0))="O",texty!$A$250,""),"")</f>
        <v/>
      </c>
      <c r="J26" s="191" t="e">
        <f>IF(D26&gt;0,IF(VLOOKUP(B26,cennik!A:L,12,FALSE)="O",1,""),"")</f>
        <v>#N/A</v>
      </c>
      <c r="L26" s="6"/>
      <c r="N26" s="160"/>
      <c r="O26" s="160"/>
      <c r="P26" s="160"/>
      <c r="T26" s="163"/>
    </row>
    <row r="27" spans="1:22" ht="12.75" customHeight="1" x14ac:dyDescent="0.2">
      <c r="A27" s="7" t="str">
        <f>+System10!$A$30</f>
        <v>krycí profil (maska):</v>
      </c>
      <c r="B27" s="16" t="e">
        <f>+VLOOKUP(O5,data!$C$708:$D$717,2,0)</f>
        <v>#N/A</v>
      </c>
      <c r="C27" s="25" t="e">
        <f>+VLOOKUP(B27,cennik!$A:$G,2,FALSE)</f>
        <v>#N/A</v>
      </c>
      <c r="D27" s="17">
        <v>1</v>
      </c>
      <c r="E27" s="91" t="e">
        <f>+VLOOKUP(B27,cennik!$A:$G,3,FALSE)</f>
        <v>#N/A</v>
      </c>
      <c r="F27" s="91" t="e">
        <f t="shared" si="0"/>
        <v>#N/A</v>
      </c>
      <c r="G27" s="92" t="e">
        <f t="shared" si="1"/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  <c r="L27" s="6"/>
      <c r="N27" s="160"/>
      <c r="O27" s="160"/>
      <c r="P27" s="160"/>
      <c r="T27" s="163"/>
    </row>
    <row r="28" spans="1:22" ht="12.75" customHeight="1" x14ac:dyDescent="0.2">
      <c r="A28" s="7" t="str">
        <f>+System10!A31</f>
        <v>horné vozíky (sady)</v>
      </c>
      <c r="B28" s="16">
        <v>98092</v>
      </c>
      <c r="C28" s="25" t="str">
        <f>+VLOOKUP(B28,cennik!$A:$G,2,FALSE)</f>
        <v>SEVROLL 10203 Comfort horný vozík 18mm - 2ks</v>
      </c>
      <c r="D28" s="17">
        <f>IF((D42+D41)&gt;D4,0,D4-(D41+D42))</f>
        <v>0</v>
      </c>
      <c r="E28" s="91">
        <f>+VLOOKUP(B28,cennik!$A:$G,3,FALSE)</f>
        <v>7.1525999999999996</v>
      </c>
      <c r="F28" s="91">
        <f t="shared" si="0"/>
        <v>0</v>
      </c>
      <c r="G28" s="92">
        <f t="shared" si="1"/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">
      <c r="A29" s="7" t="str">
        <f>+System10!A32</f>
        <v>spodné vozíky (sada)</v>
      </c>
      <c r="B29" s="16">
        <v>362316</v>
      </c>
      <c r="C29" s="25" t="str">
        <f>+VLOOKUP(B29,cennik!$A:$G,2,FALSE)</f>
        <v>SEVROLL 10237 2x spodný vozík pre lamino 18mm bez pozicionéru bez pružiny</v>
      </c>
      <c r="D29" s="17">
        <f>+D4</f>
        <v>0</v>
      </c>
      <c r="E29" s="91">
        <f>+VLOOKUP(B29,cennik!$A:$G,3,FALSE)</f>
        <v>4.8767699999999996</v>
      </c>
      <c r="F29" s="91">
        <f t="shared" si="0"/>
        <v>0</v>
      </c>
      <c r="G29" s="92">
        <f t="shared" si="1"/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">
      <c r="A30" s="7" t="str">
        <f>+System10!A33</f>
        <v>dorazový kartáč</v>
      </c>
      <c r="B30" s="16">
        <v>229433</v>
      </c>
      <c r="C30" s="25" t="str">
        <f>+VLOOKUP(B30,cennik!$A:$G,2,FALSE)</f>
        <v>SEVROLL dorazová kefa zásuvná 4,8x4mm sivá</v>
      </c>
      <c r="D30" s="17">
        <f>CEILING((B4*D4*2/1000),1)</f>
        <v>0</v>
      </c>
      <c r="E30" s="91">
        <f>+VLOOKUP(B30,cennik!$A:$G,3,FALSE)</f>
        <v>0.13</v>
      </c>
      <c r="F30" s="91">
        <f t="shared" si="0"/>
        <v>0</v>
      </c>
      <c r="G30" s="92">
        <f t="shared" si="1"/>
        <v>0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">
      <c r="A31" s="7" t="str">
        <f>+System10!A34</f>
        <v>úchytková lišta</v>
      </c>
      <c r="B31" s="16" t="e">
        <f>+VLOOKUP(P7,data!$C$766:$D$767,2,0)</f>
        <v>#N/A</v>
      </c>
      <c r="C31" s="25" t="e">
        <f>+VLOOKUP(B31,cennik!$A:$G,2,FALSE)</f>
        <v>#N/A</v>
      </c>
      <c r="D31" s="17">
        <f>IF(B10&lt;=1347,D4*2/2,D4*2)</f>
        <v>0</v>
      </c>
      <c r="E31" s="91" t="e">
        <f>+VLOOKUP(B31,cennik!$A:$G,3,FALSE)</f>
        <v>#N/A</v>
      </c>
      <c r="F31" s="91" t="e">
        <f t="shared" si="0"/>
        <v>#N/A</v>
      </c>
      <c r="G31" s="92" t="e">
        <f t="shared" si="1"/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22" ht="12.75" customHeight="1" x14ac:dyDescent="0.2">
      <c r="E32" s="94"/>
      <c r="F32" s="94"/>
      <c r="G32" s="94"/>
      <c r="H32" s="6"/>
      <c r="I32" s="469" t="str">
        <f>IFERROR(IF((VLOOKUP(B32,cennik!A:L,12,0))="O",texty!$A$250,""),"")</f>
        <v/>
      </c>
      <c r="J32" s="191"/>
      <c r="L32" s="3"/>
    </row>
    <row r="33" spans="1:22" ht="12.75" customHeight="1" x14ac:dyDescent="0.2">
      <c r="A33" s="14" t="str">
        <f>texty!$A$66</f>
        <v>Voliteľné príslušenstvo:</v>
      </c>
      <c r="B33" s="123"/>
      <c r="C33" s="124"/>
      <c r="D33" s="478" t="str">
        <f>+Faworyt!D34</f>
        <v>zadajte počet:</v>
      </c>
      <c r="E33" s="125"/>
      <c r="F33" s="125"/>
      <c r="G33" s="126"/>
      <c r="H33" s="127"/>
      <c r="I33" s="469" t="str">
        <f>IFERROR(IF((VLOOKUP(B33,cennik!A:L,12,0))="O",texty!$A$250,""),"")</f>
        <v/>
      </c>
      <c r="J33" s="191"/>
      <c r="L33" s="3"/>
    </row>
    <row r="34" spans="1:22" ht="12.75" customHeight="1" x14ac:dyDescent="0.2">
      <c r="A34" s="7" t="str">
        <f>texty!$A$88</f>
        <v>pozicionér do horného vedenia</v>
      </c>
      <c r="B34" s="187">
        <v>298035</v>
      </c>
      <c r="C34" s="38" t="str">
        <f>+VLOOKUP(B34,cennik!$A:$G,2,FALSE)</f>
        <v>SEVROLL 20326 Fix pozicionér pre horný vozík transparentný</v>
      </c>
      <c r="D34" s="29"/>
      <c r="E34" s="207">
        <f>+VLOOKUP(B34,cennik!$A:$G,3,FALSE)</f>
        <v>1.0837300000000001</v>
      </c>
      <c r="F34" s="105">
        <f>+E34*D34</f>
        <v>0</v>
      </c>
      <c r="G34" s="104">
        <f t="shared" ref="G34:G57" si="2">+F34*(100-$F$23)/100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">
      <c r="A35" s="7" t="str">
        <f>texty!$A$111</f>
        <v xml:space="preserve">pozicionér </v>
      </c>
      <c r="B35" s="16">
        <v>89063</v>
      </c>
      <c r="C35" s="38" t="str">
        <f>+VLOOKUP(B35,cennik!$A:$G,2,FALSE)</f>
        <v>SEVROLL 20080 pozicionér spodného vozíka HI-TEC</v>
      </c>
      <c r="D35" s="29"/>
      <c r="E35" s="207">
        <f>+VLOOKUP(B35,cennik!$A:$G,3,FALSE)</f>
        <v>0.30964000000000003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">
      <c r="A36" s="422" t="str">
        <f>texty!$A$228</f>
        <v> Tlmič dorazu MINI do 25 kg (pár)</v>
      </c>
      <c r="B36" s="16">
        <v>318662</v>
      </c>
      <c r="C36" s="25" t="str">
        <f>+VLOOKUP(B36,cennik!$A:$G,2,FALSE)</f>
        <v>SEVROLL 20368-SV tlmič dorazu Mini SV25 (14-25kg)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2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">
      <c r="A37" s="422" t="str">
        <f>texty!$A$229</f>
        <v> Tlmič dorazu MINI do 40 kg (pár)</v>
      </c>
      <c r="B37" s="24">
        <v>283956</v>
      </c>
      <c r="C37" s="25" t="str">
        <f>+VLOOKUP(B37,cennik!$A:$G,2,FALSE)</f>
        <v>SEVROLL 20258-SV tlmič dorazu Mini SV40 (25 - 40kg)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2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">
      <c r="A38" s="422" t="str">
        <f>texty!$A$230</f>
        <v> Tlmič dorazu MINI do 60 kg (pár)</v>
      </c>
      <c r="B38" s="24">
        <v>351743</v>
      </c>
      <c r="C38" s="25" t="str">
        <f>+VLOOKUP(B38,cennik!$A:$G,2,FALSE)</f>
        <v>SEVROLL 20339-SV tlmič dorazu Mini SV60 (40 - 60kg)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2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">
      <c r="A39" s="422" t="str">
        <f>texty!$A$231</f>
        <v> Tlmič pre stredné krídlo do 25 kg</v>
      </c>
      <c r="B39" s="24">
        <v>318663</v>
      </c>
      <c r="C39" s="25" t="str">
        <f>+VLOOKUP(B39,cennik!$A:$G,2,FALSE)</f>
        <v>SEVROLL 20363-SV tlmič Central 10/18mm obojstranný 25kg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2"/>
        <v>0</v>
      </c>
      <c r="H39" s="24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">
      <c r="A40" s="422" t="str">
        <f>texty!$A$232</f>
        <v> Tlmič pre stredné krídlo do 40 kg</v>
      </c>
      <c r="B40" s="24">
        <v>283955</v>
      </c>
      <c r="C40" s="25" t="str">
        <f>+VLOOKUP(B40,cennik!$A:$G,2,FALSE)</f>
        <v>SEVROLL 20319-SV tlmič Central 10/18mm obojstranný 25-40kg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2"/>
        <v>0</v>
      </c>
      <c r="H40" s="24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 L+P</v>
      </c>
      <c r="D41" s="29"/>
      <c r="E41" s="207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">
      <c r="A43" s="7" t="str">
        <f>texty!$A$196</f>
        <v>Spona dorazovej kefky</v>
      </c>
      <c r="B43" s="16">
        <v>223569</v>
      </c>
      <c r="C43" s="38" t="str">
        <f>+VLOOKUP(B43,cennik!$A:$G,2,FALSE)</f>
        <v>SEVROLL 20223 spona dorazovej kefky</v>
      </c>
      <c r="D43" s="29"/>
      <c r="E43" s="207">
        <f>+VLOOKUP(B43,cennik!$A:$G,3,FALSE)</f>
        <v>7.1209999999999996E-2</v>
      </c>
      <c r="F43" s="105">
        <f t="shared" si="3"/>
        <v>0</v>
      </c>
      <c r="G43" s="104">
        <f t="shared" si="2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">
      <c r="A44" s="145" t="str">
        <f>texty!$A$114</f>
        <v>spojovací profil H18-3metre</v>
      </c>
      <c r="B44" s="16" t="e">
        <f>+VLOOKUP($P$7,data!$C$537:$D$547,2,0)</f>
        <v>#N/A</v>
      </c>
      <c r="C44" s="38" t="e">
        <f>+VLOOKUP(B44,cennik!$A:$G,2,FALSE)</f>
        <v>#N/A</v>
      </c>
      <c r="D44" s="29"/>
      <c r="E44" s="207" t="e">
        <f>+VLOOKUP(B44,cennik!$A:$G,3,FALSE)</f>
        <v>#N/A</v>
      </c>
      <c r="F44" s="105" t="e">
        <f t="shared" si="3"/>
        <v>#N/A</v>
      </c>
      <c r="G44" s="104" t="e">
        <f t="shared" si="2"/>
        <v>#N/A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">
      <c r="A45" s="145" t="str">
        <f>texty!$A$115</f>
        <v>spojovací T profil - 3metre /s drážkou/</v>
      </c>
      <c r="B45" s="16" t="e">
        <f>+VLOOKUP($P$7,data!$C$548:$D$557,2,0)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 t="shared" si="3"/>
        <v>#N/A</v>
      </c>
      <c r="G45" s="104" t="e">
        <f t="shared" si="2"/>
        <v>#N/A</v>
      </c>
      <c r="H45" s="24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">
      <c r="A46" s="145" t="str">
        <f>texty!$A$116</f>
        <v>spojovací T profil - 3metre /s lemom/</v>
      </c>
      <c r="B46" s="16" t="e">
        <f>+VLOOKUP($P$7,data!$C$558:$D$567,2,0)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3"/>
        <v>#N/A</v>
      </c>
      <c r="G46" s="104" t="e">
        <f t="shared" si="2"/>
        <v>#N/A</v>
      </c>
      <c r="H46" s="24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">
      <c r="A47" s="145" t="str">
        <f>texty!$A$117</f>
        <v>"U" profil na DTD 18mm - 3 metre /hladký/</v>
      </c>
      <c r="B47" s="6" t="e">
        <f>+VLOOKUP($P$7,data!$C$568:$D$578,2,0)</f>
        <v>#N/A</v>
      </c>
      <c r="C47" s="38" t="e">
        <f>+VLOOKUP(B47,cennik!$A:$G,2,FALSE)</f>
        <v>#N/A</v>
      </c>
      <c r="D47" s="29"/>
      <c r="E47" s="207" t="e">
        <f>+VLOOKUP(B47,cennik!$A:$G,3,FALSE)</f>
        <v>#N/A</v>
      </c>
      <c r="F47" s="105" t="e">
        <f t="shared" si="3"/>
        <v>#N/A</v>
      </c>
      <c r="G47" s="104" t="e">
        <f t="shared" si="2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">
      <c r="A48" s="145" t="str">
        <f>texty!$A$118</f>
        <v>"U" profil na DTD 18mm - 3 metre /lem/</v>
      </c>
      <c r="B48" s="16" t="e">
        <f>+VLOOKUP($P$7,data!$C$578:$D$588,2,0)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 t="shared" si="3"/>
        <v>#N/A</v>
      </c>
      <c r="G48" s="104" t="e">
        <f t="shared" si="2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4" ht="12.75" customHeight="1" x14ac:dyDescent="0.2">
      <c r="A49" s="145" t="str">
        <f>texty!$A$119</f>
        <v>uholník mini 11x17mm - 1,7m</v>
      </c>
      <c r="B49" s="6" t="e">
        <f>+VLOOKUP($P$7,data!$C$589:$D$599,2,0)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>+E49*D49</f>
        <v>#N/A</v>
      </c>
      <c r="G49" s="104" t="e">
        <f t="shared" si="2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4" ht="12.75" customHeight="1" x14ac:dyDescent="0.2">
      <c r="A50" s="145" t="str">
        <f>texty!$A$120</f>
        <v>uholník mini 11x17mm - 2,35m</v>
      </c>
      <c r="B50" s="6" t="e">
        <f>+VLOOKUP($P$7,data!$C$600:$D$610,2,0)</f>
        <v>#N/A</v>
      </c>
      <c r="C50" s="38" t="e">
        <f>IF(B50=data!$D$64,texty!$A$239,+VLOOKUP(B50,cennik!$A$3:$G$907,2,FALSE))</f>
        <v>#N/A</v>
      </c>
      <c r="D50" s="29"/>
      <c r="E50" s="91" t="e">
        <f>IF(B50=data!$D$73,0,+VLOOKUP(B50,cennik!$A$3:$G$907,3,FALSE))</f>
        <v>#N/A</v>
      </c>
      <c r="F50" s="91" t="e">
        <f>+E50*D50</f>
        <v>#N/A</v>
      </c>
      <c r="G50" s="104" t="e">
        <f t="shared" si="2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">
      <c r="A51" s="145" t="str">
        <f>texty!$A$121</f>
        <v>uholník mini 11x17mm - 3m</v>
      </c>
      <c r="B51" s="15" t="e">
        <f>+VLOOKUP($P$7,data!$C$611:$D$621,2,0)</f>
        <v>#N/A</v>
      </c>
      <c r="C51" s="38" t="e">
        <f>IF(B51=data!$D$64,texty!$A$239,+VLOOKUP(B51,cennik!$A$3:$G$907,2,FALSE))</f>
        <v>#N/A</v>
      </c>
      <c r="D51" s="29"/>
      <c r="E51" s="91" t="e">
        <f>IF(B51=data!$D$73,0,+VLOOKUP(B51,cennik!$A$3:$G$907,3,FALSE))</f>
        <v>#N/A</v>
      </c>
      <c r="F51" s="91" t="e">
        <f>+E51*D51</f>
        <v>#N/A</v>
      </c>
      <c r="G51" s="104" t="e">
        <f t="shared" si="2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4" ht="12.75" customHeight="1" x14ac:dyDescent="0.2">
      <c r="A52" s="145" t="str">
        <f>texty!$A$122</f>
        <v>uholník K2 19x18mm - 1,7m</v>
      </c>
      <c r="B52" s="24" t="e">
        <f>+VLOOKUP($P$7,data!$C$622:$D$631,2,0)</f>
        <v>#N/A</v>
      </c>
      <c r="C52" s="38" t="e">
        <f>IF(B52=data!$D$64,texty!$A$239,+VLOOKUP(B52,cennik!$A$3:$G$907,2,FALSE))</f>
        <v>#N/A</v>
      </c>
      <c r="D52" s="29"/>
      <c r="E52" s="91" t="e">
        <f>IF(B52=data!$D$73,0,+VLOOKUP(B52,cennik!$A$3:$G$907,3,FALSE))</f>
        <v>#N/A</v>
      </c>
      <c r="F52" s="91" t="e">
        <f>+E52*D52</f>
        <v>#N/A</v>
      </c>
      <c r="G52" s="104" t="e">
        <f t="shared" si="2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">
      <c r="A53" s="145" t="str">
        <f>texty!$A$123</f>
        <v>uholník K2 19x18mm - 2,35m</v>
      </c>
      <c r="B53" s="16" t="e">
        <f>+VLOOKUP($P$7,data!$C$632:$D$641,2,0)</f>
        <v>#N/A</v>
      </c>
      <c r="C53" s="38" t="e">
        <f>IF(B53=data!$D$64,texty!$A$239,+VLOOKUP(B53,cennik!$A$3:$G$907,2,FALSE))</f>
        <v>#N/A</v>
      </c>
      <c r="D53" s="30"/>
      <c r="E53" s="91" t="e">
        <f>IF(B53=data!$D$73,0,+VLOOKUP(B53,cennik!$A$3:$G$907,3,FALSE))</f>
        <v>#N/A</v>
      </c>
      <c r="F53" s="91" t="e">
        <f t="shared" si="3"/>
        <v>#N/A</v>
      </c>
      <c r="G53" s="104" t="e">
        <f t="shared" si="2"/>
        <v>#N/A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">
      <c r="A54" s="145" t="str">
        <f>texty!$A$124</f>
        <v>uholník K2 19x18mm - 3,00m</v>
      </c>
      <c r="B54" s="16" t="e">
        <f>+VLOOKUP($P$7,data!$C$642:$D$651,2,0)</f>
        <v>#N/A</v>
      </c>
      <c r="C54" s="38" t="e">
        <f>IF(B54=data!$D$64,texty!$A$239,+VLOOKUP(B54,cennik!$A$3:$G$907,2,FALSE))</f>
        <v>#N/A</v>
      </c>
      <c r="D54" s="30"/>
      <c r="E54" s="91" t="e">
        <f>IF(B54=data!$D$73,0,+VLOOKUP(B54,cennik!$A$3:$G$907,3,FALSE))</f>
        <v>#N/A</v>
      </c>
      <c r="F54" s="91" t="e">
        <f t="shared" si="3"/>
        <v>#N/A</v>
      </c>
      <c r="G54" s="104" t="e">
        <f t="shared" si="2"/>
        <v>#N/A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">
      <c r="A55" s="145" t="str">
        <f>texty!$A$241</f>
        <v>klínok pre dilatáciu výplne 16mm</v>
      </c>
      <c r="B55" s="16">
        <v>308631</v>
      </c>
      <c r="C55" s="38" t="str">
        <f>+VLOOKUP(B55,cennik!$A:$G,2,FALSE)</f>
        <v>SEVROLL 20252 klin pre lamino hrúbka 2mm (100 ks)</v>
      </c>
      <c r="D55" s="29"/>
      <c r="E55" s="207">
        <f>+VLOOKUP(B55,cennik!$A:$G,3,FALSE)</f>
        <v>8.7214100000000006</v>
      </c>
      <c r="F55" s="105">
        <f t="shared" si="3"/>
        <v>0</v>
      </c>
      <c r="G55" s="104">
        <f t="shared" ref="G55" si="4">+F55*(100-$G$23)/100</f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">
      <c r="A56" s="422" t="str">
        <f>texty!$A$240</f>
        <v>zámok posuvných dverí</v>
      </c>
      <c r="B56" s="24">
        <v>216363</v>
      </c>
      <c r="C56" s="38" t="str">
        <f>+VLOOKUP(B56,cennik!$A:$G,2,FALSE)</f>
        <v>SEVROLL 20356 zámok na posuvné dvere 10/18mm</v>
      </c>
      <c r="D56" s="29"/>
      <c r="E56" s="207">
        <f>+VLOOKUP(B56,cennik!$A:$G,3,FALSE)</f>
        <v>15.72176</v>
      </c>
      <c r="F56" s="105">
        <f t="shared" si="3"/>
        <v>0</v>
      </c>
      <c r="G56" s="104">
        <f t="shared" si="2"/>
        <v>0</v>
      </c>
      <c r="H56" s="6" t="str">
        <f>cennik!$B$2</f>
        <v>EUR</v>
      </c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">
      <c r="A57" s="7" t="str">
        <f>texty!$A$112</f>
        <v>protiprachový kartáč samolepiaci</v>
      </c>
      <c r="B57" s="24">
        <v>308639</v>
      </c>
      <c r="C57" s="25" t="str">
        <f>+VLOOKUP(B57,cennik!$A:$G,2,FALSE)</f>
        <v>SEVROLL protiprachový kartáč samolep. 6,7x13mm</v>
      </c>
      <c r="D57" s="29"/>
      <c r="E57" s="207">
        <f>+VLOOKUP(B57,cennik!$A:$G,3,FALSE)</f>
        <v>0.29721999999999998</v>
      </c>
      <c r="F57" s="105">
        <f t="shared" si="3"/>
        <v>0</v>
      </c>
      <c r="G57" s="104">
        <f t="shared" si="2"/>
        <v>0</v>
      </c>
      <c r="H57" s="6" t="str">
        <f>cennik!$B$2</f>
        <v>EUR</v>
      </c>
      <c r="I57" s="469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4" ht="12.75" customHeight="1" x14ac:dyDescent="0.2">
      <c r="A58" s="7"/>
      <c r="B58" s="24"/>
      <c r="C58" s="25"/>
      <c r="D58" s="207"/>
      <c r="E58" s="207"/>
      <c r="F58" s="105"/>
      <c r="G58" s="104"/>
      <c r="H58" s="6"/>
      <c r="I58" s="181"/>
      <c r="J58" s="191"/>
      <c r="L58" s="6"/>
    </row>
    <row r="59" spans="1:14" ht="15" x14ac:dyDescent="0.2">
      <c r="A59" s="271" t="str">
        <f>texty!$A$190</f>
        <v>Ďalšie príslušenstvo</v>
      </c>
      <c r="B59" s="272"/>
      <c r="C59" s="272"/>
      <c r="D59" s="272"/>
      <c r="E59" s="272"/>
      <c r="F59" s="272"/>
      <c r="G59" s="272"/>
      <c r="H59" s="272"/>
      <c r="I59" s="272"/>
      <c r="J59" s="134"/>
    </row>
    <row r="60" spans="1:14" ht="12.75" customHeight="1" x14ac:dyDescent="0.2">
      <c r="A60" s="271" t="str">
        <f>texty!$A$244</f>
        <v>Technický nákres tohoto systému</v>
      </c>
      <c r="B60" s="8"/>
      <c r="C60" s="8"/>
      <c r="D60" s="76" t="str">
        <f>texty!$A$15</f>
        <v>CELKOM  (bez DPH)</v>
      </c>
      <c r="E60" s="99"/>
      <c r="F60" s="101" t="e">
        <f>SUM(F25:F56)</f>
        <v>#N/A</v>
      </c>
      <c r="G60" s="101" t="e">
        <f>SUM(G25:G56)</f>
        <v>#N/A</v>
      </c>
      <c r="H60" s="6" t="str">
        <f>cennik!$B$2</f>
        <v>EUR</v>
      </c>
      <c r="I60" s="181"/>
      <c r="J60" s="181"/>
      <c r="L60" s="5" t="str">
        <f>texty!A128</f>
        <v xml:space="preserve">strieborná </v>
      </c>
    </row>
    <row r="61" spans="1:14" ht="12.75" customHeight="1" x14ac:dyDescent="0.2">
      <c r="A61" s="75" t="str">
        <f>System10!$A$67</f>
        <v>Vaša poznámka:</v>
      </c>
      <c r="B61" s="652"/>
      <c r="C61" s="653"/>
      <c r="D61" s="653"/>
      <c r="E61" s="653"/>
      <c r="F61" s="653"/>
      <c r="G61" s="654"/>
      <c r="H61" s="6"/>
      <c r="L61" s="5" t="str">
        <f>texty!A130</f>
        <v>oliva</v>
      </c>
    </row>
    <row r="62" spans="1:14" ht="12.75" customHeight="1" x14ac:dyDescent="0.2">
      <c r="A62" s="648">
        <f>profil!$U$15</f>
        <v>0</v>
      </c>
      <c r="B62" s="649"/>
      <c r="C62" s="649"/>
      <c r="D62" s="649"/>
      <c r="E62" s="649"/>
      <c r="F62" s="649"/>
      <c r="G62" s="649"/>
      <c r="H62" s="649"/>
    </row>
    <row r="63" spans="1:14" ht="12.75" customHeight="1" x14ac:dyDescent="0.2">
      <c r="A63" s="650">
        <f>IF(N63=1,texty!$A$215,IF(J63&gt;0,texty!$A$214,""))</f>
        <v>0</v>
      </c>
      <c r="B63" s="650"/>
      <c r="C63" s="650"/>
      <c r="D63" s="650"/>
      <c r="E63" s="650"/>
      <c r="F63" s="650"/>
      <c r="G63" s="650"/>
      <c r="H63" s="650"/>
      <c r="J63" s="6" t="e">
        <f>SUM(J25:J56)</f>
        <v>#N/A</v>
      </c>
      <c r="N63" s="5">
        <f>IF(ISERROR(J63),1,0)</f>
        <v>1</v>
      </c>
    </row>
    <row r="64" spans="1:14" ht="12.75" customHeight="1" x14ac:dyDescent="0.2"/>
    <row r="76" spans="1:1" ht="12.75" hidden="1" customHeight="1" x14ac:dyDescent="0.2">
      <c r="A76" s="5">
        <v>3</v>
      </c>
    </row>
    <row r="77" spans="1:1" ht="12.75" customHeight="1" x14ac:dyDescent="0.2"/>
  </sheetData>
  <sheetProtection algorithmName="SHA-512" hashValue="Rq83Fqn7pDhnKLle533hvBgbvN5+8iTcjy+dasdCwbrwo8pQcd9k4EzG4olr0Kb11+NcEnSvhtchHeN8MMmrKg==" saltValue="ymTJ52SvcwRy4V8jcb0l/Q==" spinCount="100000" sheet="1" objects="1" scenario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6:F6 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7"/>
  <sheetViews>
    <sheetView showGridLines="0" zoomScale="85" zoomScaleNormal="85" zoomScaleSheetLayoutView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5" customWidth="1"/>
    <col min="2" max="2" width="15.7109375" style="5" customWidth="1"/>
    <col min="3" max="3" width="46.42578125" style="5" bestFit="1" customWidth="1"/>
    <col min="4" max="4" width="13.7109375" style="5" customWidth="1"/>
    <col min="5" max="7" width="14.7109375" style="5" customWidth="1"/>
    <col min="8" max="8" width="4.7109375" style="5" customWidth="1"/>
    <col min="9" max="9" width="24.7109375" style="6" customWidth="1"/>
    <col min="10" max="11" width="11.28515625" style="6" hidden="1" customWidth="1"/>
    <col min="12" max="12" width="9.140625" style="5" hidden="1" customWidth="1"/>
    <col min="13" max="13" width="8.140625" style="5" hidden="1" customWidth="1"/>
    <col min="14" max="14" width="11.42578125" style="5" hidden="1" customWidth="1"/>
    <col min="15" max="15" width="7.140625" style="5" hidden="1" customWidth="1"/>
    <col min="16" max="16" width="8.7109375" style="5" hidden="1" customWidth="1"/>
    <col min="17" max="17" width="7.140625" style="5" hidden="1" customWidth="1"/>
    <col min="18" max="22" width="0" style="5" hidden="1" customWidth="1"/>
    <col min="23" max="16384" width="9.140625" style="5" hidden="1"/>
  </cols>
  <sheetData>
    <row r="1" spans="1:21" ht="13.5" customHeight="1" thickBot="1" x14ac:dyDescent="0.25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 x14ac:dyDescent="0.2">
      <c r="A2" s="523" t="s">
        <v>871</v>
      </c>
      <c r="B2" s="54" t="str">
        <f>profil!T7</f>
        <v>Zákazník:, , IČO:</v>
      </c>
      <c r="C2" s="8"/>
      <c r="D2" s="8"/>
      <c r="E2" s="8"/>
      <c r="F2" s="8"/>
      <c r="G2" s="6"/>
      <c r="H2" s="6"/>
      <c r="L2" s="6">
        <v>3</v>
      </c>
    </row>
    <row r="3" spans="1:21" ht="26.25" thickBot="1" x14ac:dyDescent="0.25">
      <c r="A3" s="524" t="str">
        <f>CONCATENATE(texty!A243," ",5,".",89)</f>
        <v>katalóg kovania 2018 str. 5.89</v>
      </c>
      <c r="B3" s="420" t="str">
        <f>CONCATENATE(texty!A34," / max.        2 742 mm /")</f>
        <v>výška / max.        2 742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9"/>
      <c r="G3" s="6"/>
      <c r="H3" s="6"/>
      <c r="L3" s="6"/>
    </row>
    <row r="4" spans="1:21" ht="25.5" customHeight="1" x14ac:dyDescent="0.2">
      <c r="A4" s="10" t="str">
        <f>+System10!A4</f>
        <v>VNÚTORNÝ ROZMER SKRINE:</v>
      </c>
      <c r="B4" s="56"/>
      <c r="C4" s="56"/>
      <c r="D4" s="22"/>
      <c r="E4" s="22"/>
      <c r="F4" s="9"/>
      <c r="G4" s="647"/>
      <c r="H4" s="647"/>
      <c r="I4" s="647"/>
      <c r="K4" s="190"/>
      <c r="L4" s="8"/>
      <c r="O4" s="5">
        <f>IF(C4&lt;1701,1700,IF(C4&lt;2351,2350,IF(C4&lt;3001,3000,IF(C4&lt;4051,4050,"chybná hodnota"))))</f>
        <v>1700</v>
      </c>
    </row>
    <row r="5" spans="1:21" ht="18" customHeight="1" x14ac:dyDescent="0.2">
      <c r="A5" s="476"/>
      <c r="B5" s="664" t="str">
        <f>texty!A46</f>
        <v>vypíšte tieto 4 políčka !!! Údaje v mm</v>
      </c>
      <c r="C5" s="664"/>
      <c r="D5" s="664"/>
      <c r="E5" s="664"/>
      <c r="F5" s="473"/>
      <c r="G5" s="647"/>
      <c r="H5" s="647"/>
      <c r="I5" s="647"/>
      <c r="K5" s="190"/>
      <c r="L5" s="3"/>
      <c r="O5" s="5" t="str">
        <f>O8</f>
        <v>1700-</v>
      </c>
    </row>
    <row r="6" spans="1:21" ht="18" customHeight="1" x14ac:dyDescent="0.2">
      <c r="A6" s="10"/>
      <c r="B6" s="11" t="str">
        <f>IF(D4=4,texty!A227,"")</f>
        <v/>
      </c>
      <c r="D6" s="285">
        <v>3</v>
      </c>
      <c r="E6" s="8"/>
      <c r="F6" s="8"/>
      <c r="G6" s="647"/>
      <c r="H6" s="647"/>
      <c r="I6" s="647"/>
      <c r="K6" s="190"/>
      <c r="L6" s="6"/>
      <c r="R6" s="636"/>
      <c r="S6" s="636"/>
      <c r="T6" s="636"/>
      <c r="U6" s="636"/>
    </row>
    <row r="7" spans="1:21" ht="12.75" customHeight="1" x14ac:dyDescent="0.2">
      <c r="A7" s="10" t="str">
        <f>+Faworyt!A7</f>
        <v>krídlo dverí:</v>
      </c>
      <c r="B7" s="57">
        <f>+B4-42</f>
        <v>-42</v>
      </c>
      <c r="C7" s="59" t="e">
        <f>+((C4-3+35*(D4-1))/D4+IF(AND(D4=4,D6=2),M1,0))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>
        <f>+E4</f>
        <v>0</v>
      </c>
      <c r="R7" s="636"/>
      <c r="S7" s="636"/>
      <c r="T7" s="636"/>
      <c r="U7" s="636"/>
    </row>
    <row r="8" spans="1:21" ht="12.75" customHeight="1" x14ac:dyDescent="0.2">
      <c r="A8" s="10" t="str">
        <f>+Faworyt!A8</f>
        <v>rozmer výplne 18mm:</v>
      </c>
      <c r="B8" s="57">
        <f>+B7-2</f>
        <v>-44</v>
      </c>
      <c r="C8" s="59" t="e">
        <f>+C7-40</f>
        <v>#DIV/0!</v>
      </c>
      <c r="D8" s="8"/>
      <c r="E8" s="8"/>
      <c r="F8" s="8"/>
      <c r="G8" s="3" t="str">
        <f>Faworyt!G8</f>
        <v>Maximálna hmotnosť krídla je 50 kg</v>
      </c>
      <c r="H8" s="6"/>
      <c r="L8" s="6"/>
      <c r="O8" s="23" t="str">
        <f>CONCATENATE(O7,"-",E4)</f>
        <v>1700-</v>
      </c>
      <c r="P8" s="21"/>
    </row>
    <row r="9" spans="1:21" ht="12.75" customHeight="1" x14ac:dyDescent="0.2">
      <c r="A9" s="10" t="str">
        <f>+Faworyt!A9</f>
        <v>rozmer výplne 12mm:</v>
      </c>
      <c r="B9" s="57">
        <f>+B8</f>
        <v>-44</v>
      </c>
      <c r="C9" s="59" t="e">
        <f>+C7-7</f>
        <v>#DIV/0!</v>
      </c>
      <c r="D9" s="8"/>
      <c r="E9" s="8"/>
      <c r="F9" s="8"/>
      <c r="G9" s="51"/>
      <c r="H9" s="6"/>
      <c r="L9" s="37"/>
      <c r="M9" s="36"/>
    </row>
    <row r="10" spans="1:21" ht="12.75" customHeight="1" x14ac:dyDescent="0.2">
      <c r="A10" s="10" t="str">
        <f>+Faworyt!A10</f>
        <v>rozmer zrkadla /na DTD 12mm/</v>
      </c>
      <c r="B10" s="57">
        <f>+B8-2</f>
        <v>-46</v>
      </c>
      <c r="C10" s="65" t="e">
        <f>+C9-36</f>
        <v>#DIV/0!</v>
      </c>
      <c r="D10" s="8"/>
      <c r="E10" s="8"/>
      <c r="F10" s="8"/>
      <c r="G10" s="49"/>
      <c r="H10" s="6"/>
      <c r="O10" s="17"/>
      <c r="P10" s="21"/>
    </row>
    <row r="11" spans="1:21" ht="12.75" customHeight="1" x14ac:dyDescent="0.2">
      <c r="A11" s="504" t="str">
        <f>texty!$A$51</f>
        <v>Dĺžka úchytkového profilu (+2 mm)</v>
      </c>
      <c r="B11" s="503">
        <f>B8+2</f>
        <v>-42</v>
      </c>
      <c r="C11" s="136"/>
      <c r="D11" s="8"/>
      <c r="E11" s="8"/>
      <c r="F11" s="8"/>
      <c r="G11" s="3"/>
      <c r="H11" s="6"/>
      <c r="L11" s="36"/>
      <c r="O11" s="23"/>
      <c r="P11" s="21"/>
    </row>
    <row r="12" spans="1:21" ht="25.5" x14ac:dyDescent="0.2">
      <c r="A12" s="486" t="str">
        <f>IFERROR((IF(B7&gt;2400,texty!A194,IF(C7&gt;700,texty!A194,"")))," ")</f>
        <v xml:space="preserve"> </v>
      </c>
      <c r="C12" s="492" t="str">
        <f>texty!A78</f>
        <v>dodatočné odpočty výšky vypočítaných výplní pri použití deliacich profilov výplne:</v>
      </c>
      <c r="D12" s="8"/>
      <c r="E12" s="8"/>
      <c r="F12" s="8"/>
      <c r="G12" s="6"/>
      <c r="L12" s="6"/>
    </row>
    <row r="13" spans="1:21" ht="19.899999999999999" customHeight="1" x14ac:dyDescent="0.2">
      <c r="A13" s="635" t="str">
        <f>IF(SUM(D39:D40)&gt;0,texty!A246,"")</f>
        <v/>
      </c>
      <c r="B13" s="635"/>
      <c r="C13" s="492"/>
      <c r="D13" s="8"/>
      <c r="E13" s="8"/>
      <c r="F13" s="8"/>
      <c r="G13" s="6"/>
      <c r="L13" s="6"/>
    </row>
    <row r="14" spans="1:21" ht="19.899999999999999" customHeight="1" x14ac:dyDescent="0.2">
      <c r="A14" s="635"/>
      <c r="B14" s="635"/>
      <c r="C14" s="492"/>
      <c r="D14" s="8"/>
      <c r="E14" s="8"/>
      <c r="F14" s="8"/>
      <c r="G14" s="6"/>
      <c r="L14" s="6"/>
    </row>
    <row r="15" spans="1:21" ht="12.75" customHeight="1" x14ac:dyDescent="0.2">
      <c r="A15" s="7"/>
      <c r="B15" s="58"/>
      <c r="C15" s="86"/>
      <c r="D15" s="8"/>
      <c r="E15" s="8"/>
      <c r="F15" s="8"/>
      <c r="G15" s="6"/>
      <c r="H15" s="6"/>
      <c r="L15" s="35"/>
    </row>
    <row r="16" spans="1:21" ht="12.75" customHeight="1" x14ac:dyDescent="0.2">
      <c r="A16" s="188"/>
      <c r="B16" s="64"/>
      <c r="C16" s="164"/>
      <c r="D16" s="8"/>
      <c r="E16" s="8"/>
      <c r="F16" s="8"/>
      <c r="G16" s="6"/>
      <c r="H16" s="6"/>
      <c r="L16" s="6"/>
    </row>
    <row r="17" spans="1:22" ht="12.75" customHeight="1" x14ac:dyDescent="0.2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 x14ac:dyDescent="0.2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 x14ac:dyDescent="0.2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 x14ac:dyDescent="0.2">
      <c r="A20" s="10"/>
      <c r="B20" s="8"/>
      <c r="C20" s="8"/>
      <c r="E20" s="8"/>
      <c r="F20" s="8"/>
      <c r="G20" s="6"/>
      <c r="H20" s="6"/>
      <c r="L20" s="6"/>
    </row>
    <row r="21" spans="1:22" ht="12.75" customHeight="1" x14ac:dyDescent="0.2">
      <c r="A21" s="485" t="s">
        <v>1013</v>
      </c>
      <c r="B21" s="506" t="s">
        <v>1020</v>
      </c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">
      <c r="A22" s="7"/>
      <c r="B22" s="8"/>
      <c r="D22" s="8"/>
      <c r="E22" s="8"/>
      <c r="F22" s="8"/>
      <c r="G22" s="130" t="str">
        <f>+System10!G25</f>
        <v>partnerská zľava:</v>
      </c>
      <c r="H22" s="6"/>
      <c r="M22" s="6"/>
      <c r="U22" s="163"/>
    </row>
    <row r="23" spans="1:22" ht="12.75" customHeight="1" x14ac:dyDescent="0.2">
      <c r="A23" s="14" t="str">
        <f>+System10!A26</f>
        <v>Objednávacie kódy, ceny: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">
      <c r="A24" s="7"/>
      <c r="B24" s="19" t="str">
        <f>+System10!B27</f>
        <v>kód</v>
      </c>
      <c r="C24" s="18" t="str">
        <f>+System10!C27</f>
        <v>názov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celkom</v>
      </c>
      <c r="G24" s="20" t="str">
        <f>+System10!G27</f>
        <v>celkom netto:</v>
      </c>
      <c r="H24" s="6"/>
      <c r="I24" s="18" t="str">
        <f>texty!A29</f>
        <v>Poznámka:</v>
      </c>
      <c r="J24" s="18"/>
      <c r="L24" s="6"/>
      <c r="N24" s="160"/>
      <c r="O24" s="160"/>
      <c r="U24" s="163"/>
      <c r="V24" s="163"/>
    </row>
    <row r="25" spans="1:22" ht="12.75" customHeight="1" x14ac:dyDescent="0.2">
      <c r="A25" s="7" t="str">
        <f>+System10!A28</f>
        <v>Horný profil:</v>
      </c>
      <c r="B25" s="16" t="e">
        <f>+VLOOKUP(O5,data!$C$688:$D$697,2,0)</f>
        <v>#N/A</v>
      </c>
      <c r="C25" s="25" t="e">
        <f>+VLOOKUP(B25,cennik!$A:$G,2,FALSE)</f>
        <v>#N/A</v>
      </c>
      <c r="D25" s="17">
        <v>1</v>
      </c>
      <c r="E25" s="91" t="e">
        <f>+VLOOKUP(B25,cennik!$A:$G,3,FALSE)</f>
        <v>#N/A</v>
      </c>
      <c r="F25" s="91" t="e">
        <f t="shared" ref="F25:F31" si="0">+E25*D25</f>
        <v>#N/A</v>
      </c>
      <c r="G25" s="92" t="e">
        <f t="shared" ref="G25:G31" si="1">+F25*(100-$G$23)/100</f>
        <v>#N/A</v>
      </c>
      <c r="H25" s="6" t="str">
        <f>cennik!$B$2</f>
        <v>EUR</v>
      </c>
      <c r="I25" s="469" t="str">
        <f>IFERROR(IF((VLOOKUP(B25,cennik!A:L,12,0))="O",texty!$A$250,""),"")</f>
        <v/>
      </c>
      <c r="J25" s="191" t="e">
        <f>IF(D25&gt;0,IF(VLOOKUP(B25,cennik!A:L,12,FALSE)="O",1,""),"")</f>
        <v>#N/A</v>
      </c>
      <c r="L25" s="6"/>
      <c r="M25" s="160"/>
      <c r="N25" s="160"/>
      <c r="O25" s="160"/>
      <c r="V25" s="163"/>
    </row>
    <row r="26" spans="1:22" ht="12.75" customHeight="1" x14ac:dyDescent="0.2">
      <c r="A26" s="7" t="str">
        <f>+System10!A29</f>
        <v>spodný profil:</v>
      </c>
      <c r="B26" s="16" t="e">
        <f>+VLOOKUP(O5,data!$C$698:$D$707,2,0)</f>
        <v>#N/A</v>
      </c>
      <c r="C26" s="25" t="e">
        <f>+VLOOKUP(B26,cennik!$A:$G,2,FALSE)</f>
        <v>#N/A</v>
      </c>
      <c r="D26" s="17">
        <v>1</v>
      </c>
      <c r="E26" s="91" t="e">
        <f>+VLOOKUP(B26,cennik!$A:$G,3,FALSE)</f>
        <v>#N/A</v>
      </c>
      <c r="F26" s="91" t="e">
        <f t="shared" si="0"/>
        <v>#N/A</v>
      </c>
      <c r="G26" s="92" t="e">
        <f t="shared" si="1"/>
        <v>#N/A</v>
      </c>
      <c r="H26" s="6" t="str">
        <f>cennik!$B$2</f>
        <v>EUR</v>
      </c>
      <c r="I26" s="469" t="str">
        <f>IFERROR(IF((VLOOKUP(B26,cennik!A:L,12,0))="O",texty!$A$250,""),"")</f>
        <v/>
      </c>
      <c r="J26" s="191" t="e">
        <f>IF(D26&gt;0,IF(VLOOKUP(B26,cennik!A:L,12,FALSE)="O",1,""),"")</f>
        <v>#N/A</v>
      </c>
      <c r="L26" s="6"/>
      <c r="N26" s="160"/>
      <c r="O26" s="160"/>
      <c r="P26" s="160"/>
      <c r="T26" s="163"/>
    </row>
    <row r="27" spans="1:22" ht="12.75" customHeight="1" x14ac:dyDescent="0.2">
      <c r="A27" s="7" t="str">
        <f>+System10!$A$30</f>
        <v>krycí profil (maska):</v>
      </c>
      <c r="B27" s="16" t="e">
        <f>+VLOOKUP(O5,data!$C$708:$D$717,2,0)</f>
        <v>#N/A</v>
      </c>
      <c r="C27" s="25" t="e">
        <f>+VLOOKUP(B27,cennik!$A:$G,2,FALSE)</f>
        <v>#N/A</v>
      </c>
      <c r="D27" s="17">
        <v>1</v>
      </c>
      <c r="E27" s="91" t="e">
        <f>+VLOOKUP(B27,cennik!$A:$G,3,FALSE)</f>
        <v>#N/A</v>
      </c>
      <c r="F27" s="91" t="e">
        <f t="shared" si="0"/>
        <v>#N/A</v>
      </c>
      <c r="G27" s="92" t="e">
        <f t="shared" si="1"/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  <c r="L27" s="6"/>
      <c r="N27" s="160"/>
      <c r="O27" s="160"/>
      <c r="P27" s="160"/>
      <c r="T27" s="163"/>
    </row>
    <row r="28" spans="1:22" ht="12.75" customHeight="1" x14ac:dyDescent="0.2">
      <c r="A28" s="7" t="str">
        <f>+System10!A31</f>
        <v>horné vozíky (sady)</v>
      </c>
      <c r="B28" s="16">
        <v>98092</v>
      </c>
      <c r="C28" s="25" t="str">
        <f>+VLOOKUP(B28,cennik!$A:$G,2,FALSE)</f>
        <v>SEVROLL 10203 Comfort horný vozík 18mm - 2ks</v>
      </c>
      <c r="D28" s="17">
        <f>IF((D42+D41)&gt;D4,0,D4-(D42+D41))</f>
        <v>0</v>
      </c>
      <c r="E28" s="91">
        <f>+VLOOKUP(B28,cennik!$A:$G,3,FALSE)</f>
        <v>7.1525999999999996</v>
      </c>
      <c r="F28" s="91">
        <f t="shared" si="0"/>
        <v>0</v>
      </c>
      <c r="G28" s="92">
        <f t="shared" si="1"/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">
      <c r="A29" s="7" t="str">
        <f>+System10!A32</f>
        <v>spodné vozíky (sada)</v>
      </c>
      <c r="B29" s="16">
        <v>362316</v>
      </c>
      <c r="C29" s="25" t="str">
        <f>+VLOOKUP(B29,cennik!$A:$G,2,FALSE)</f>
        <v>SEVROLL 10237 2x spodný vozík pre lamino 18mm bez pozicionéru bez pružiny</v>
      </c>
      <c r="D29" s="17">
        <f>+D4</f>
        <v>0</v>
      </c>
      <c r="E29" s="91">
        <f>+VLOOKUP(B29,cennik!$A:$G,3,FALSE)</f>
        <v>4.8767699999999996</v>
      </c>
      <c r="F29" s="91">
        <f t="shared" si="0"/>
        <v>0</v>
      </c>
      <c r="G29" s="92">
        <f t="shared" si="1"/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">
      <c r="A30" s="7" t="str">
        <f>+System10!A33</f>
        <v>dorazový kartáč</v>
      </c>
      <c r="B30" s="16">
        <v>229433</v>
      </c>
      <c r="C30" s="25" t="str">
        <f>+VLOOKUP(B30,cennik!$A:$G,2,FALSE)</f>
        <v>SEVROLL dorazová kefa zásuvná 4,8x4mm sivá</v>
      </c>
      <c r="D30" s="17">
        <f>CEILING((B4*D4*2/1000),1)</f>
        <v>0</v>
      </c>
      <c r="E30" s="91">
        <f>+VLOOKUP(B30,cennik!$A:$G,3,FALSE)</f>
        <v>0.13</v>
      </c>
      <c r="F30" s="91">
        <f t="shared" si="0"/>
        <v>0</v>
      </c>
      <c r="G30" s="92">
        <f t="shared" si="1"/>
        <v>0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">
      <c r="A31" s="7" t="str">
        <f>+System10!A34</f>
        <v>úchytková lišta</v>
      </c>
      <c r="B31" s="16" t="e">
        <f>+VLOOKUP(P7,data!$C$768:$D$769,2,0)</f>
        <v>#N/A</v>
      </c>
      <c r="C31" s="25" t="e">
        <f>+VLOOKUP(B31,cennik!$A:$G,2,FALSE)</f>
        <v>#N/A</v>
      </c>
      <c r="D31" s="17">
        <f>IF(B10&lt;=1347,D4*2/2,D4*2)</f>
        <v>0</v>
      </c>
      <c r="E31" s="91" t="e">
        <f>+VLOOKUP(B31,cennik!$A:$G,3,FALSE)</f>
        <v>#N/A</v>
      </c>
      <c r="F31" s="91" t="e">
        <f t="shared" si="0"/>
        <v>#N/A</v>
      </c>
      <c r="G31" s="92" t="e">
        <f t="shared" si="1"/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22" ht="12.75" customHeight="1" x14ac:dyDescent="0.2">
      <c r="E32" s="94"/>
      <c r="F32" s="94"/>
      <c r="G32" s="94"/>
      <c r="H32" s="6"/>
      <c r="I32" s="469" t="str">
        <f>IFERROR(IF((VLOOKUP(B32,cennik!A:L,12,0))="O",texty!$A$250,""),"")</f>
        <v/>
      </c>
      <c r="J32" s="191"/>
      <c r="L32" s="3"/>
    </row>
    <row r="33" spans="1:22" ht="12.75" customHeight="1" x14ac:dyDescent="0.2">
      <c r="A33" s="14" t="str">
        <f>texty!$A$66</f>
        <v>Voliteľné príslušenstvo:</v>
      </c>
      <c r="B33" s="123"/>
      <c r="C33" s="124"/>
      <c r="D33" s="478" t="str">
        <f>+Faworyt!D34</f>
        <v>zadajte počet:</v>
      </c>
      <c r="E33" s="125"/>
      <c r="F33" s="125"/>
      <c r="G33" s="126"/>
      <c r="H33" s="127"/>
      <c r="I33" s="469" t="str">
        <f>IFERROR(IF((VLOOKUP(B33,cennik!A:L,12,0))="O",texty!$A$250,""),"")</f>
        <v/>
      </c>
      <c r="J33" s="191"/>
      <c r="L33" s="3"/>
    </row>
    <row r="34" spans="1:22" ht="12.75" customHeight="1" x14ac:dyDescent="0.2">
      <c r="A34" s="7" t="str">
        <f>texty!$A$88</f>
        <v>pozicionér do horného vedenia</v>
      </c>
      <c r="B34" s="187">
        <v>298035</v>
      </c>
      <c r="C34" s="38" t="str">
        <f>+VLOOKUP(B34,cennik!$A:$G,2,FALSE)</f>
        <v>SEVROLL 20326 Fix pozicionér pre horný vozík transparentný</v>
      </c>
      <c r="D34" s="29"/>
      <c r="E34" s="207">
        <f>+VLOOKUP(B34,cennik!$A:$G,3,FALSE)</f>
        <v>1.0837300000000001</v>
      </c>
      <c r="F34" s="105">
        <f>+E34*D34</f>
        <v>0</v>
      </c>
      <c r="G34" s="104">
        <f t="shared" ref="G34:G57" si="2">+F34*(100-$F$23)/100</f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">
      <c r="A35" s="7" t="str">
        <f>texty!$A$111</f>
        <v xml:space="preserve">pozicionér </v>
      </c>
      <c r="B35" s="16">
        <v>89063</v>
      </c>
      <c r="C35" s="38" t="str">
        <f>+VLOOKUP(B35,cennik!$A:$G,2,FALSE)</f>
        <v>SEVROLL 20080 pozicionér spodného vozíka HI-TEC</v>
      </c>
      <c r="D35" s="29"/>
      <c r="E35" s="207">
        <f>+VLOOKUP(B35,cennik!$A:$G,3,FALSE)</f>
        <v>0.30964000000000003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">
      <c r="A36" s="422" t="str">
        <f>texty!$A$228</f>
        <v> Tlmič dorazu MINI do 25 kg (pár)</v>
      </c>
      <c r="B36" s="16">
        <v>318662</v>
      </c>
      <c r="C36" s="25" t="str">
        <f>+VLOOKUP(B36,cennik!$A:$G,2,FALSE)</f>
        <v>SEVROLL 20368-SV tlmič dorazu Mini SV25 (14-25kg)</v>
      </c>
      <c r="D36" s="373"/>
      <c r="E36" s="91">
        <f>+VLOOKUP(B36,cennik!$A:$G,3,FALSE)</f>
        <v>22.75825</v>
      </c>
      <c r="F36" s="96">
        <f>+CEILING(D36,1)*E36</f>
        <v>0</v>
      </c>
      <c r="G36" s="104">
        <f t="shared" si="2"/>
        <v>0</v>
      </c>
      <c r="H36" s="24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">
      <c r="A37" s="422" t="str">
        <f>texty!$A$229</f>
        <v> Tlmič dorazu MINI do 40 kg (pár)</v>
      </c>
      <c r="B37" s="24">
        <v>283956</v>
      </c>
      <c r="C37" s="25" t="str">
        <f>+VLOOKUP(B37,cennik!$A:$G,2,FALSE)</f>
        <v>SEVROLL 20258-SV tlmič dorazu Mini SV40 (25 - 40kg)</v>
      </c>
      <c r="D37" s="373"/>
      <c r="E37" s="91">
        <f>+VLOOKUP(B37,cennik!$A:$G,3,FALSE)</f>
        <v>22.75825</v>
      </c>
      <c r="F37" s="96">
        <f>+CEILING(D37,1)*E37</f>
        <v>0</v>
      </c>
      <c r="G37" s="104">
        <f t="shared" si="2"/>
        <v>0</v>
      </c>
      <c r="H37" s="24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">
      <c r="A38" s="422" t="str">
        <f>texty!$A$230</f>
        <v> Tlmič dorazu MINI do 60 kg (pár)</v>
      </c>
      <c r="B38" s="24">
        <v>351743</v>
      </c>
      <c r="C38" s="25" t="str">
        <f>+VLOOKUP(B38,cennik!$A:$G,2,FALSE)</f>
        <v>SEVROLL 20339-SV tlmič dorazu Mini SV60 (40 - 60kg)</v>
      </c>
      <c r="D38" s="373"/>
      <c r="E38" s="91">
        <f>+VLOOKUP(B38,cennik!$A:$G,3,FALSE)</f>
        <v>22.75825</v>
      </c>
      <c r="F38" s="96">
        <f>+CEILING(D38,1)*E38</f>
        <v>0</v>
      </c>
      <c r="G38" s="104">
        <f t="shared" si="2"/>
        <v>0</v>
      </c>
      <c r="H38" s="24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">
      <c r="A39" s="422" t="str">
        <f>texty!$A$231</f>
        <v> Tlmič pre stredné krídlo do 25 kg</v>
      </c>
      <c r="B39" s="24">
        <v>318663</v>
      </c>
      <c r="C39" s="25" t="str">
        <f>+VLOOKUP(B39,cennik!$A:$G,2,FALSE)</f>
        <v>SEVROLL 20363-SV tlmič Central 10/18mm obojstranný 25kg</v>
      </c>
      <c r="D39" s="373"/>
      <c r="E39" s="91">
        <f>+VLOOKUP(B39,cennik!$A:$G,3,FALSE)</f>
        <v>48.741869999999999</v>
      </c>
      <c r="F39" s="96">
        <f>+CEILING(D39,1)*E39</f>
        <v>0</v>
      </c>
      <c r="G39" s="104">
        <f t="shared" si="2"/>
        <v>0</v>
      </c>
      <c r="H39" s="24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">
      <c r="A40" s="422" t="str">
        <f>texty!$A$232</f>
        <v> Tlmič pre stredné krídlo do 40 kg</v>
      </c>
      <c r="B40" s="24">
        <v>283955</v>
      </c>
      <c r="C40" s="25" t="str">
        <f>+VLOOKUP(B40,cennik!$A:$G,2,FALSE)</f>
        <v>SEVROLL 20319-SV tlmič Central 10/18mm obojstranný 25-40kg</v>
      </c>
      <c r="D40" s="373"/>
      <c r="E40" s="91">
        <f>+VLOOKUP(B40,cennik!$A:$G,3,FALSE)</f>
        <v>48.741869999999999</v>
      </c>
      <c r="F40" s="96">
        <f>+CEILING(D40,1)*E40</f>
        <v>0</v>
      </c>
      <c r="G40" s="104">
        <f t="shared" si="2"/>
        <v>0</v>
      </c>
      <c r="H40" s="24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">
      <c r="A41" s="7" t="str">
        <f>texty!$A$97</f>
        <v>tlmič dorazu (pár) 25 kg</v>
      </c>
      <c r="B41" s="24">
        <v>227185</v>
      </c>
      <c r="C41" s="38" t="str">
        <f>+VLOOKUP(B41,cennik!$A:$G,2,FALSE)</f>
        <v>K-SEVROLL tlmič dorazu 10/18mm 14-25kg L+P</v>
      </c>
      <c r="D41" s="29"/>
      <c r="E41" s="207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">
      <c r="A42" s="7" t="str">
        <f>texty!$A$98</f>
        <v>tlmič dorazu (pár) 50 kg</v>
      </c>
      <c r="B42" s="24">
        <v>227187</v>
      </c>
      <c r="C42" s="38" t="str">
        <f>+VLOOKUP(B42,cennik!$A:$G,2,FALSE)</f>
        <v>K-SEVROLL tlmič dorazu 10/18mm 25-50kg L+P</v>
      </c>
      <c r="D42" s="29"/>
      <c r="E42" s="207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">
      <c r="A43" s="7" t="str">
        <f>texty!$A$196</f>
        <v>Spona dorazovej kefky</v>
      </c>
      <c r="B43" s="16">
        <v>223569</v>
      </c>
      <c r="C43" s="38" t="str">
        <f>+VLOOKUP(B43,cennik!$A:$G,2,FALSE)</f>
        <v>SEVROLL 20223 spona dorazovej kefky</v>
      </c>
      <c r="D43" s="29"/>
      <c r="E43" s="207">
        <f>+VLOOKUP(B43,cennik!$A:$G,3,FALSE)</f>
        <v>7.1209999999999996E-2</v>
      </c>
      <c r="F43" s="105">
        <f t="shared" si="3"/>
        <v>0</v>
      </c>
      <c r="G43" s="104">
        <f t="shared" si="2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">
      <c r="A44" s="145" t="str">
        <f>texty!$A$114</f>
        <v>spojovací profil H18-3metre</v>
      </c>
      <c r="B44" s="16" t="e">
        <f>+VLOOKUP($P$7,data!$C$537:$D$547,2,0)</f>
        <v>#N/A</v>
      </c>
      <c r="C44" s="38" t="e">
        <f>+VLOOKUP(B44,cennik!$A:$G,2,FALSE)</f>
        <v>#N/A</v>
      </c>
      <c r="D44" s="29"/>
      <c r="E44" s="207" t="e">
        <f>+VLOOKUP(B44,cennik!$A:$G,3,FALSE)</f>
        <v>#N/A</v>
      </c>
      <c r="F44" s="105" t="e">
        <f t="shared" si="3"/>
        <v>#N/A</v>
      </c>
      <c r="G44" s="104" t="e">
        <f t="shared" si="2"/>
        <v>#N/A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">
      <c r="A45" s="145" t="str">
        <f>texty!$A$115</f>
        <v>spojovací T profil - 3metre /s drážkou/</v>
      </c>
      <c r="B45" s="16" t="e">
        <f>+VLOOKUP($P$7,data!$C$548:$D$557,2,0)</f>
        <v>#N/A</v>
      </c>
      <c r="C45" s="38" t="e">
        <f>IF(B45=data!$D$64,texty!$A$239,+VLOOKUP(B45,cennik!$A$3:$G$907,2,FALSE))</f>
        <v>#N/A</v>
      </c>
      <c r="D45" s="29"/>
      <c r="E45" s="91" t="e">
        <f>IF(B45=data!$D$73,0,+VLOOKUP(B45,cennik!$A$3:$G$907,3,FALSE))</f>
        <v>#N/A</v>
      </c>
      <c r="F45" s="91" t="e">
        <f t="shared" si="3"/>
        <v>#N/A</v>
      </c>
      <c r="G45" s="104" t="e">
        <f t="shared" si="2"/>
        <v>#N/A</v>
      </c>
      <c r="H45" s="24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">
      <c r="A46" s="145" t="str">
        <f>texty!$A$116</f>
        <v>spojovací T profil - 3metre /s lemom/</v>
      </c>
      <c r="B46" s="16" t="e">
        <f>+VLOOKUP($P$7,data!$C$558:$D$567,2,0)</f>
        <v>#N/A</v>
      </c>
      <c r="C46" s="38" t="e">
        <f>IF(B46=data!$D$64,texty!$A$239,+VLOOKUP(B46,cennik!$A$3:$G$907,2,FALSE))</f>
        <v>#N/A</v>
      </c>
      <c r="D46" s="29"/>
      <c r="E46" s="91" t="e">
        <f>IF(B46=data!$D$73,0,+VLOOKUP(B46,cennik!$A$3:$G$907,3,FALSE))</f>
        <v>#N/A</v>
      </c>
      <c r="F46" s="91" t="e">
        <f t="shared" si="3"/>
        <v>#N/A</v>
      </c>
      <c r="G46" s="104" t="e">
        <f t="shared" si="2"/>
        <v>#N/A</v>
      </c>
      <c r="H46" s="24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">
      <c r="A47" s="145" t="str">
        <f>texty!$A$117</f>
        <v>"U" profil na DTD 18mm - 3 metre /hladký/</v>
      </c>
      <c r="B47" s="6" t="e">
        <f>+VLOOKUP($P$7,data!$C$568:$D$578,2,0)</f>
        <v>#N/A</v>
      </c>
      <c r="C47" s="38" t="e">
        <f>+VLOOKUP(B47,cennik!$A:$G,2,FALSE)</f>
        <v>#N/A</v>
      </c>
      <c r="D47" s="29"/>
      <c r="E47" s="207" t="e">
        <f>+VLOOKUP(B47,cennik!$A:$G,3,FALSE)</f>
        <v>#N/A</v>
      </c>
      <c r="F47" s="105" t="e">
        <f t="shared" si="3"/>
        <v>#N/A</v>
      </c>
      <c r="G47" s="104" t="e">
        <f t="shared" si="2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">
      <c r="A48" s="145" t="str">
        <f>texty!$A$118</f>
        <v>"U" profil na DTD 18mm - 3 metre /lem/</v>
      </c>
      <c r="B48" s="16" t="e">
        <f>+VLOOKUP($P$7,data!$C$578:$D$588,2,0)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 t="shared" si="3"/>
        <v>#N/A</v>
      </c>
      <c r="G48" s="104" t="e">
        <f t="shared" si="2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3" ht="12.75" customHeight="1" x14ac:dyDescent="0.2">
      <c r="A49" s="145" t="str">
        <f>texty!$A$119</f>
        <v>uholník mini 11x17mm - 1,7m</v>
      </c>
      <c r="B49" s="6" t="e">
        <f>+VLOOKUP($P$7,data!$C$589:$D$599,2,0)</f>
        <v>#N/A</v>
      </c>
      <c r="C49" s="38" t="e">
        <f>IF(B49=data!$D$64,texty!$A$239,+VLOOKUP(B49,cennik!$A$3:$G$907,2,FALSE))</f>
        <v>#N/A</v>
      </c>
      <c r="D49" s="29"/>
      <c r="E49" s="91" t="e">
        <f>IF(B49=data!$D$73,0,+VLOOKUP(B49,cennik!$A$3:$G$907,3,FALSE))</f>
        <v>#N/A</v>
      </c>
      <c r="F49" s="91" t="e">
        <f>+E49*D49</f>
        <v>#N/A</v>
      </c>
      <c r="G49" s="104" t="e">
        <f t="shared" si="2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3" ht="12.75" customHeight="1" x14ac:dyDescent="0.2">
      <c r="A50" s="145" t="str">
        <f>texty!$A$120</f>
        <v>uholník mini 11x17mm - 2,35m</v>
      </c>
      <c r="B50" s="6" t="e">
        <f>+VLOOKUP($P$7,data!$C$600:$D$610,2,0)</f>
        <v>#N/A</v>
      </c>
      <c r="C50" s="38" t="e">
        <f>IF(B50=data!$D$64,texty!$A$239,+VLOOKUP(B50,cennik!$A$3:$G$907,2,FALSE))</f>
        <v>#N/A</v>
      </c>
      <c r="D50" s="29"/>
      <c r="E50" s="91" t="e">
        <f>IF(B50=data!$D$73,0,+VLOOKUP(B50,cennik!$A$3:$G$907,3,FALSE))</f>
        <v>#N/A</v>
      </c>
      <c r="F50" s="91" t="e">
        <f>+E50*D50</f>
        <v>#N/A</v>
      </c>
      <c r="G50" s="104" t="e">
        <f t="shared" si="2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3" ht="12.75" customHeight="1" x14ac:dyDescent="0.2">
      <c r="A51" s="145" t="str">
        <f>texty!$A$121</f>
        <v>uholník mini 11x17mm - 3m</v>
      </c>
      <c r="B51" s="15" t="e">
        <f>+VLOOKUP($P$7,data!$C$611:$D$621,2,0)</f>
        <v>#N/A</v>
      </c>
      <c r="C51" s="38" t="e">
        <f>IF(B51=data!$D$64,texty!$A$239,+VLOOKUP(B51,cennik!$A$3:$G$907,2,FALSE))</f>
        <v>#N/A</v>
      </c>
      <c r="D51" s="29"/>
      <c r="E51" s="91" t="e">
        <f>IF(B51=data!$D$73,0,+VLOOKUP(B51,cennik!$A$3:$G$907,3,FALSE))</f>
        <v>#N/A</v>
      </c>
      <c r="F51" s="91" t="e">
        <f>+E51*D51</f>
        <v>#N/A</v>
      </c>
      <c r="G51" s="104" t="e">
        <f t="shared" si="2"/>
        <v>#N/A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3" ht="12.75" customHeight="1" x14ac:dyDescent="0.2">
      <c r="A52" s="145" t="str">
        <f>texty!$A$122</f>
        <v>uholník K2 19x18mm - 1,7m</v>
      </c>
      <c r="B52" s="24" t="e">
        <f>+VLOOKUP($P$7,data!$C$622:$D$631,2,0)</f>
        <v>#N/A</v>
      </c>
      <c r="C52" s="38" t="e">
        <f>IF(B52=data!$D$64,texty!$A$239,+VLOOKUP(B52,cennik!$A$3:$G$907,2,FALSE))</f>
        <v>#N/A</v>
      </c>
      <c r="D52" s="29"/>
      <c r="E52" s="91" t="e">
        <f>IF(B52=data!$D$73,0,+VLOOKUP(B52,cennik!$A$3:$G$907,3,FALSE))</f>
        <v>#N/A</v>
      </c>
      <c r="F52" s="91" t="e">
        <f>+E52*D52</f>
        <v>#N/A</v>
      </c>
      <c r="G52" s="104" t="e">
        <f t="shared" si="2"/>
        <v>#N/A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3" ht="12.75" customHeight="1" x14ac:dyDescent="0.2">
      <c r="A53" s="145" t="str">
        <f>texty!$A$123</f>
        <v>uholník K2 19x18mm - 2,35m</v>
      </c>
      <c r="B53" s="16" t="e">
        <f>+VLOOKUP($P$7,data!$C$632:$D$641,2,0)</f>
        <v>#N/A</v>
      </c>
      <c r="C53" s="38" t="e">
        <f>IF(B53=data!$D$64,texty!$A$239,+VLOOKUP(B53,cennik!$A$3:$G$907,2,FALSE))</f>
        <v>#N/A</v>
      </c>
      <c r="D53" s="30"/>
      <c r="E53" s="91" t="e">
        <f>IF(B53=data!$D$73,0,+VLOOKUP(B53,cennik!$A$3:$G$907,3,FALSE))</f>
        <v>#N/A</v>
      </c>
      <c r="F53" s="91" t="e">
        <f t="shared" si="3"/>
        <v>#N/A</v>
      </c>
      <c r="G53" s="104" t="e">
        <f t="shared" si="2"/>
        <v>#N/A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3" ht="12.75" customHeight="1" x14ac:dyDescent="0.2">
      <c r="A54" s="145" t="str">
        <f>texty!$A$124</f>
        <v>uholník K2 19x18mm - 3,00m</v>
      </c>
      <c r="B54" s="16" t="e">
        <f>+VLOOKUP($P$7,data!$C$642:$D$651,2,0)</f>
        <v>#N/A</v>
      </c>
      <c r="C54" s="38" t="e">
        <f>IF(B54=data!$D$64,texty!$A$239,+VLOOKUP(B54,cennik!$A$3:$G$907,2,FALSE))</f>
        <v>#N/A</v>
      </c>
      <c r="D54" s="30"/>
      <c r="E54" s="91" t="e">
        <f>IF(B54=data!$D$73,0,+VLOOKUP(B54,cennik!$A$3:$G$907,3,FALSE))</f>
        <v>#N/A</v>
      </c>
      <c r="F54" s="91" t="e">
        <f t="shared" si="3"/>
        <v>#N/A</v>
      </c>
      <c r="G54" s="104" t="e">
        <f t="shared" si="2"/>
        <v>#N/A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3" ht="12.75" customHeight="1" x14ac:dyDescent="0.2">
      <c r="A55" s="145" t="str">
        <f>texty!$A$241</f>
        <v>klínok pre dilatáciu výplne 16mm</v>
      </c>
      <c r="B55" s="16">
        <v>308631</v>
      </c>
      <c r="C55" s="38" t="str">
        <f>+VLOOKUP(B55,cennik!$A:$G,2,FALSE)</f>
        <v>SEVROLL 20252 klin pre lamino hrúbka 2mm (100 ks)</v>
      </c>
      <c r="D55" s="29"/>
      <c r="E55" s="207">
        <f>+VLOOKUP(B55,cennik!$A:$G,3,FALSE)</f>
        <v>8.7214100000000006</v>
      </c>
      <c r="F55" s="105">
        <f t="shared" si="3"/>
        <v>0</v>
      </c>
      <c r="G55" s="104">
        <f t="shared" ref="G55" si="4">+F55*(100-$G$23)/100</f>
        <v>0</v>
      </c>
      <c r="H55" s="6" t="str">
        <f>cennik!$B$2</f>
        <v>EUR</v>
      </c>
      <c r="I55" s="469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3" ht="12.75" customHeight="1" x14ac:dyDescent="0.2">
      <c r="A56" s="422" t="str">
        <f>texty!$A$240</f>
        <v>zámok posuvných dverí</v>
      </c>
      <c r="B56" s="24">
        <v>216363</v>
      </c>
      <c r="C56" s="38" t="str">
        <f>+VLOOKUP(B56,cennik!$A:$G,2,FALSE)</f>
        <v>SEVROLL 20356 zámok na posuvné dvere 10/18mm</v>
      </c>
      <c r="D56" s="29"/>
      <c r="E56" s="207">
        <f>+VLOOKUP(B56,cennik!$A:$G,3,FALSE)</f>
        <v>15.72176</v>
      </c>
      <c r="F56" s="105">
        <f t="shared" si="3"/>
        <v>0</v>
      </c>
      <c r="G56" s="104">
        <f t="shared" si="2"/>
        <v>0</v>
      </c>
      <c r="H56" s="6" t="str">
        <f>cennik!$B$2</f>
        <v>EUR</v>
      </c>
      <c r="I56" s="469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3" ht="12.75" customHeight="1" x14ac:dyDescent="0.2">
      <c r="A57" s="7" t="str">
        <f>texty!$A$90</f>
        <v>protiprachový kartáč</v>
      </c>
      <c r="B57" s="24">
        <v>95946</v>
      </c>
      <c r="C57" s="25" t="str">
        <f>+VLOOKUP(B57,cennik!$A:$G,2,FALSE)</f>
        <v>SEVROLL protiprach.kartáč zásuvný 4,8x13mm</v>
      </c>
      <c r="D57" s="29"/>
      <c r="E57" s="207">
        <f>+VLOOKUP(B57,cennik!$A:$G,3,FALSE)</f>
        <v>0.18106</v>
      </c>
      <c r="F57" s="105">
        <f t="shared" si="3"/>
        <v>0</v>
      </c>
      <c r="G57" s="104">
        <f t="shared" si="2"/>
        <v>0</v>
      </c>
      <c r="H57" s="6" t="str">
        <f>cennik!$B$2</f>
        <v>EUR</v>
      </c>
      <c r="I57" s="469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3" ht="12.75" customHeight="1" x14ac:dyDescent="0.2">
      <c r="B58" s="167"/>
      <c r="C58" s="167"/>
      <c r="D58" s="91"/>
      <c r="E58" s="91"/>
      <c r="F58" s="96"/>
      <c r="G58" s="92"/>
      <c r="H58" s="6"/>
      <c r="I58" s="181"/>
      <c r="J58" s="181"/>
      <c r="L58" s="6"/>
    </row>
    <row r="59" spans="1:13" ht="15" x14ac:dyDescent="0.2">
      <c r="A59" s="271" t="str">
        <f>texty!$A$190</f>
        <v>Ďalšie príslušenstvo</v>
      </c>
      <c r="B59" s="272"/>
      <c r="C59" s="272"/>
      <c r="D59" s="272"/>
      <c r="E59" s="272"/>
      <c r="F59" s="272"/>
      <c r="G59" s="272"/>
      <c r="H59" s="272"/>
      <c r="I59" s="272"/>
      <c r="J59" s="272"/>
      <c r="K59" s="134"/>
    </row>
    <row r="60" spans="1:13" ht="12.75" customHeight="1" x14ac:dyDescent="0.2">
      <c r="A60" s="271" t="str">
        <f>texty!$A$244</f>
        <v>Technický nákres tohoto systému</v>
      </c>
      <c r="B60" s="8"/>
      <c r="C60" s="8"/>
      <c r="D60" s="76" t="str">
        <f>texty!$A$15</f>
        <v>CELKOM  (bez DPH)</v>
      </c>
      <c r="E60" s="99"/>
      <c r="F60" s="101" t="e">
        <f>SUM(F25:F58)</f>
        <v>#N/A</v>
      </c>
      <c r="G60" s="101" t="e">
        <f>SUM(G25:G57)</f>
        <v>#N/A</v>
      </c>
      <c r="H60" s="6" t="str">
        <f>cennik!$B$2</f>
        <v>EUR</v>
      </c>
      <c r="I60" s="5"/>
      <c r="J60" s="181"/>
      <c r="K60" s="181"/>
      <c r="L60" s="5" t="str">
        <f>texty!A128</f>
        <v xml:space="preserve">strieborná </v>
      </c>
    </row>
    <row r="61" spans="1:13" ht="12.75" customHeight="1" x14ac:dyDescent="0.2">
      <c r="A61" s="75" t="str">
        <f>System10!$A$67</f>
        <v>Vaša poznámka:</v>
      </c>
      <c r="B61" s="652"/>
      <c r="C61" s="653"/>
      <c r="D61" s="653"/>
      <c r="E61" s="653"/>
      <c r="F61" s="653"/>
      <c r="G61" s="654"/>
      <c r="H61" s="6"/>
      <c r="L61" s="5" t="str">
        <f>texty!A130</f>
        <v>oliva</v>
      </c>
    </row>
    <row r="62" spans="1:13" ht="12.75" customHeight="1" x14ac:dyDescent="0.2">
      <c r="A62" s="648">
        <f>profil!$U$15</f>
        <v>0</v>
      </c>
      <c r="B62" s="649"/>
      <c r="C62" s="649"/>
      <c r="D62" s="649"/>
      <c r="E62" s="649"/>
      <c r="F62" s="649"/>
      <c r="G62" s="649"/>
      <c r="H62" s="649"/>
    </row>
    <row r="63" spans="1:13" ht="12.75" customHeight="1" x14ac:dyDescent="0.2">
      <c r="A63" s="650">
        <f>IF(M63=1,texty!$A$215,IF(J63&gt;0,texty!$A$214,""))</f>
        <v>0</v>
      </c>
      <c r="B63" s="650"/>
      <c r="C63" s="650"/>
      <c r="D63" s="650"/>
      <c r="E63" s="650"/>
      <c r="F63" s="650"/>
      <c r="G63" s="650"/>
      <c r="H63" s="650"/>
      <c r="J63" s="6" t="e">
        <f>SUM(J25:J62)</f>
        <v>#N/A</v>
      </c>
      <c r="K63" s="5"/>
      <c r="M63" s="5">
        <f>IF(ISERROR(J63),1,0)</f>
        <v>1</v>
      </c>
    </row>
    <row r="64" spans="1:13" ht="12.75" customHeight="1" x14ac:dyDescent="0.2"/>
    <row r="76" spans="1:1" ht="12.75" hidden="1" customHeight="1" x14ac:dyDescent="0.2">
      <c r="A76" s="5">
        <v>3</v>
      </c>
    </row>
    <row r="77" spans="1:1" ht="12.75" customHeight="1" x14ac:dyDescent="0.2"/>
  </sheetData>
  <sheetProtection algorithmName="SHA-512" hashValue="ENiwIGGNbhRqWG4bK7kTm2zd0yP7YuIx8vtsngwRpQqR6abldJH+yMnWJ6427/luxjQJgGxMqSyW5opdRcSrEQ==" saltValue="a0d5A9DXQ+v6CvtuE5eGkg==" spinCount="100000" sheet="1" objects="1" scenarios="1" selectLockedCell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6:F6 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7" style="5" customWidth="1"/>
    <col min="2" max="2" width="15.7109375" style="5" customWidth="1"/>
    <col min="3" max="3" width="56.42578125" style="5" customWidth="1"/>
    <col min="4" max="4" width="13.7109375" style="5" customWidth="1"/>
    <col min="5" max="5" width="13.42578125" style="5" customWidth="1"/>
    <col min="6" max="6" width="13.140625" style="5" customWidth="1"/>
    <col min="7" max="7" width="15.140625" style="5" bestFit="1" customWidth="1"/>
    <col min="8" max="8" width="4.7109375" style="6" bestFit="1" customWidth="1"/>
    <col min="9" max="9" width="28.42578125" style="6" customWidth="1"/>
    <col min="10" max="10" width="11.28515625" style="6" hidden="1" customWidth="1"/>
    <col min="11" max="11" width="9.140625" style="5" hidden="1" customWidth="1"/>
    <col min="12" max="12" width="8.140625" style="5" hidden="1" customWidth="1"/>
    <col min="13" max="13" width="11.42578125" style="5" hidden="1" customWidth="1"/>
    <col min="14" max="14" width="7.140625" style="5" hidden="1" customWidth="1"/>
    <col min="15" max="15" width="8.7109375" style="5" hidden="1" customWidth="1"/>
    <col min="16" max="16" width="7.140625" style="5" hidden="1" customWidth="1"/>
    <col min="17" max="16384" width="9.140625" style="5" hidden="1"/>
  </cols>
  <sheetData>
    <row r="1" spans="1:21" ht="13.5" customHeight="1" thickBot="1" x14ac:dyDescent="0.25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">
      <c r="A2" s="523" t="s">
        <v>1009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6.25" thickBot="1" x14ac:dyDescent="0.25">
      <c r="A3" s="524" t="str">
        <f>CONCATENATE(texty!A243," ",5,".",83)</f>
        <v>katalóg kovania 2018 str. 5.83</v>
      </c>
      <c r="B3" s="420" t="str">
        <f>CONCATENATE(texty!A34," / max.        2 740 mm /")</f>
        <v>výška / max.        2 740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25.5" customHeight="1" x14ac:dyDescent="0.2">
      <c r="A4" s="10" t="str">
        <f>+System10!A4</f>
        <v>VNÚTORNÝ ROZMER SKRINE:</v>
      </c>
      <c r="B4" s="56"/>
      <c r="C4" s="56"/>
      <c r="D4" s="22"/>
      <c r="E4" s="22"/>
      <c r="F4" s="655"/>
      <c r="G4" s="655"/>
      <c r="H4" s="655"/>
      <c r="I4" s="655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">
      <c r="A5" s="476"/>
      <c r="B5" s="633" t="str">
        <f>texty!A46</f>
        <v>vypíšte tieto 4 políčka !!! Údaje v mm</v>
      </c>
      <c r="C5" s="633"/>
      <c r="D5" s="633"/>
      <c r="E5" s="633"/>
      <c r="F5" s="655"/>
      <c r="G5" s="655"/>
      <c r="H5" s="655"/>
      <c r="I5" s="655"/>
      <c r="J5" s="190"/>
      <c r="K5" s="3"/>
      <c r="N5" s="5" t="str">
        <f>CONCATENATE(N4,"-",E4)</f>
        <v>1500-</v>
      </c>
    </row>
    <row r="6" spans="1:21" ht="18" customHeight="1" x14ac:dyDescent="0.2">
      <c r="A6" s="10"/>
      <c r="B6" s="11" t="str">
        <f>IF(D4=4,texty!A227,"")</f>
        <v/>
      </c>
      <c r="D6" s="285">
        <v>2</v>
      </c>
      <c r="E6" s="8"/>
      <c r="F6" s="655"/>
      <c r="G6" s="655"/>
      <c r="H6" s="655"/>
      <c r="I6" s="655"/>
      <c r="J6" s="190"/>
      <c r="K6" s="6"/>
      <c r="Q6" s="636" t="s">
        <v>557</v>
      </c>
      <c r="R6" s="636" t="s">
        <v>715</v>
      </c>
      <c r="S6" s="636" t="s">
        <v>716</v>
      </c>
      <c r="T6" s="636" t="s">
        <v>560</v>
      </c>
    </row>
    <row r="7" spans="1:21" ht="12.75" customHeight="1" x14ac:dyDescent="0.2">
      <c r="A7" s="10" t="str">
        <f>texty!A47</f>
        <v>krídlo dverí:</v>
      </c>
      <c r="B7" s="57">
        <f>+B4-40-IF(D40+D41+D42+D43&gt;0,5,0)</f>
        <v>-40</v>
      </c>
      <c r="C7" s="59" t="e">
        <f>+((C4-3+34*(D4-1))/D4+IF(AND(D4=4,D6=2),L1,0))</f>
        <v>#DIV/0!</v>
      </c>
      <c r="D7" s="8"/>
      <c r="E7" s="8"/>
      <c r="F7" s="3" t="str">
        <f>texty!$A$44</f>
        <v>Maximálna hmotnosť krídla je 35 kg</v>
      </c>
      <c r="G7" s="6"/>
      <c r="K7" s="6"/>
      <c r="N7" s="17" t="e">
        <f>IF(K11="jiné",L12,K11)</f>
        <v>#DIV/0!</v>
      </c>
      <c r="O7" s="21">
        <f>+E4</f>
        <v>0</v>
      </c>
      <c r="Q7" s="636"/>
      <c r="R7" s="636"/>
      <c r="S7" s="636"/>
      <c r="T7" s="636"/>
    </row>
    <row r="8" spans="1:21" ht="12.75" customHeight="1" x14ac:dyDescent="0.2">
      <c r="A8" s="10" t="str">
        <f>texty!$A$48</f>
        <v>rozmer výplne 18mm:</v>
      </c>
      <c r="B8" s="57">
        <f>+B7-1</f>
        <v>-41</v>
      </c>
      <c r="C8" s="59" t="e">
        <f>+C7-37</f>
        <v>#DIV/0!</v>
      </c>
      <c r="D8" s="8"/>
      <c r="E8" s="8"/>
      <c r="F8" s="50"/>
      <c r="G8" s="6"/>
      <c r="K8" s="6" t="s">
        <v>60</v>
      </c>
      <c r="L8" s="5" t="s">
        <v>61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">
      <c r="A9" s="10" t="str">
        <f>texty!A49</f>
        <v>rozmer výplne 12mm:</v>
      </c>
      <c r="B9" s="57">
        <f>+B8</f>
        <v>-41</v>
      </c>
      <c r="C9" s="59" t="e">
        <f>+C7-17</f>
        <v>#DIV/0!</v>
      </c>
      <c r="D9" s="8"/>
      <c r="E9" s="8"/>
      <c r="F9" s="50"/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2" si="0">Q8+$C$10+5</f>
        <v>#DIV/0!</v>
      </c>
      <c r="R9" s="5" t="e">
        <f>(1500-C10)*R15</f>
        <v>#DIV/0!</v>
      </c>
      <c r="S9" s="5" t="e">
        <f>(2000-C10)*S15</f>
        <v>#DIV/0!</v>
      </c>
      <c r="T9" s="5" t="e">
        <f>(3000-C10)*T15</f>
        <v>#DIV/0!</v>
      </c>
      <c r="U9" s="5" t="s">
        <v>562</v>
      </c>
    </row>
    <row r="10" spans="1:21" ht="12.75" customHeight="1" x14ac:dyDescent="0.2">
      <c r="A10" s="10" t="str">
        <f>texty!A50</f>
        <v>rozmer zrkadla /na DTD 12mm/</v>
      </c>
      <c r="B10" s="61">
        <f>+B8-4</f>
        <v>-45</v>
      </c>
      <c r="C10" s="65" t="e">
        <f>+C9-6</f>
        <v>#DIV/0!</v>
      </c>
      <c r="D10" s="8"/>
      <c r="E10" s="8"/>
      <c r="G10" s="6"/>
      <c r="K10" s="5" t="s">
        <v>59</v>
      </c>
      <c r="N10" s="17" t="e">
        <f>IF(K11="jiné",#REF!,"")</f>
        <v>#DIV/0!</v>
      </c>
      <c r="O10" s="21">
        <f>+E4</f>
        <v>0</v>
      </c>
      <c r="P10" s="5">
        <v>3</v>
      </c>
      <c r="Q10" s="159" t="e">
        <f t="shared" si="0"/>
        <v>#DIV/0!</v>
      </c>
    </row>
    <row r="11" spans="1:21" ht="12.75" customHeight="1" x14ac:dyDescent="0.2">
      <c r="A11" s="10" t="str">
        <f>texty!$A$51</f>
        <v>Dĺžka úchytkového profilu (+2 mm)</v>
      </c>
      <c r="B11" s="67">
        <f>B8+2</f>
        <v>-39</v>
      </c>
      <c r="D11" s="8"/>
      <c r="E11" s="8"/>
      <c r="G11" s="40"/>
      <c r="K11" s="36" t="e">
        <f>IF((K9+L9)&lt;1500,1500,IF((K9+L9)&lt;2000,2000,IF((K9+L9)&lt;3000,3000,"jiné")))</f>
        <v>#DIV/0!</v>
      </c>
      <c r="M11" s="5" t="s">
        <v>62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">
      <c r="A12" s="10"/>
      <c r="B12" s="10"/>
      <c r="C12" s="525" t="s">
        <v>11</v>
      </c>
      <c r="D12" s="8"/>
      <c r="E12" s="8"/>
      <c r="F12" s="6"/>
      <c r="G12" s="6"/>
      <c r="K12" s="6" t="e">
        <f>C10*(D4-1)+(D4*5)</f>
        <v>#DIV/0!</v>
      </c>
      <c r="L12" s="5" t="e">
        <f>IF(K12&lt;1500,1500,IF(K12&lt;2000,2000,IF(K12&lt;3000,3000,3000)))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">
      <c r="A13" s="7"/>
      <c r="B13" s="58"/>
      <c r="C13" s="525"/>
      <c r="D13" s="8"/>
      <c r="E13" s="8"/>
      <c r="F13" s="6"/>
      <c r="G13" s="6"/>
      <c r="K13" s="35"/>
      <c r="Q13" s="159"/>
    </row>
    <row r="14" spans="1:21" ht="12.75" customHeight="1" x14ac:dyDescent="0.2">
      <c r="A14" s="7"/>
      <c r="B14" s="8"/>
      <c r="C14" s="12"/>
      <c r="D14" s="8"/>
      <c r="E14" s="8"/>
      <c r="F14" s="6"/>
      <c r="G14" s="6"/>
      <c r="K14" s="6"/>
      <c r="L14" s="5" t="e">
        <f>SUM(L12:L12)</f>
        <v>#DIV/0!</v>
      </c>
      <c r="M14" s="5" t="e">
        <f>SUM(M12:M12)</f>
        <v>#DIV/0!</v>
      </c>
      <c r="P14" s="5">
        <v>7</v>
      </c>
      <c r="Q14" s="159" t="e">
        <f>#REF!+$C$10+5</f>
        <v>#REF!</v>
      </c>
    </row>
    <row r="15" spans="1:21" ht="12.75" customHeight="1" x14ac:dyDescent="0.2">
      <c r="B15" s="8"/>
      <c r="C15" s="12"/>
      <c r="D15" s="8"/>
      <c r="E15" s="8"/>
      <c r="F15" s="6"/>
      <c r="G15" s="6"/>
      <c r="K15" s="6"/>
      <c r="L15" s="5" t="e">
        <f>L14-C4</f>
        <v>#DIV/0!</v>
      </c>
      <c r="P15" s="5" t="s">
        <v>561</v>
      </c>
      <c r="R15" s="5" t="e">
        <f>FLOOR($D$4/R8,1)</f>
        <v>#DIV/0!</v>
      </c>
      <c r="S15" s="5" t="e">
        <f>FLOOR($D$4/S8,1)</f>
        <v>#DIV/0!</v>
      </c>
      <c r="T15" s="5" t="e">
        <f>FLOOR($D$4/T8,1)</f>
        <v>#DIV/0!</v>
      </c>
    </row>
    <row r="16" spans="1:21" ht="12.75" customHeight="1" x14ac:dyDescent="0.2">
      <c r="A16" s="7"/>
      <c r="B16" s="8"/>
      <c r="C16" s="12"/>
      <c r="D16" s="8"/>
      <c r="E16" s="8"/>
      <c r="F16" s="6"/>
      <c r="G16" s="6"/>
      <c r="K16" s="6"/>
    </row>
    <row r="17" spans="1:21" ht="14.25" customHeight="1" x14ac:dyDescent="0.2">
      <c r="A17" s="146"/>
      <c r="B17" s="8"/>
      <c r="C17" s="27"/>
      <c r="D17" s="8"/>
      <c r="E17" s="8"/>
      <c r="F17" s="6"/>
      <c r="G17" s="6"/>
      <c r="K17" s="6"/>
    </row>
    <row r="18" spans="1:21" ht="16.5" customHeight="1" x14ac:dyDescent="0.2">
      <c r="A18" s="205"/>
      <c r="B18" s="8"/>
      <c r="C18" s="8"/>
      <c r="E18" s="8"/>
      <c r="F18" s="6"/>
      <c r="G18" s="6"/>
      <c r="K18" s="6"/>
      <c r="L18" s="6"/>
      <c r="Q18" s="5" t="s">
        <v>581</v>
      </c>
      <c r="R18" s="5" t="s">
        <v>580</v>
      </c>
      <c r="S18" s="5">
        <v>1500</v>
      </c>
      <c r="T18" s="5">
        <v>2000</v>
      </c>
      <c r="U18" s="5">
        <v>3000</v>
      </c>
    </row>
    <row r="19" spans="1:21" ht="16.5" customHeight="1" x14ac:dyDescent="0.2">
      <c r="A19" s="7"/>
      <c r="B19" s="8"/>
      <c r="C19" s="8"/>
      <c r="D19" s="13"/>
      <c r="E19" s="8"/>
      <c r="F19" s="6"/>
      <c r="G19" s="6"/>
      <c r="K19" s="6"/>
      <c r="P19" s="5">
        <v>1</v>
      </c>
      <c r="Q19" s="5" t="e">
        <f>R8</f>
        <v>#DIV/0!</v>
      </c>
      <c r="R19" s="5" t="e">
        <f>IF(Q19&gt;=D4,1,"")</f>
        <v>#DIV/0!</v>
      </c>
      <c r="S19" s="163" t="e">
        <f>IF(R19=1,1,"")</f>
        <v>#DIV/0!</v>
      </c>
      <c r="T19" s="163"/>
      <c r="U19" s="163"/>
    </row>
    <row r="20" spans="1:21" ht="12.75" customHeight="1" x14ac:dyDescent="0.2">
      <c r="A20" s="7"/>
      <c r="B20" s="8"/>
      <c r="C20" s="8"/>
      <c r="D20" s="8"/>
      <c r="E20" s="8"/>
      <c r="F20" s="6"/>
      <c r="G20" s="6"/>
      <c r="K20" s="3"/>
      <c r="P20" s="5">
        <v>2</v>
      </c>
      <c r="Q20" s="5" t="e">
        <f>S8</f>
        <v>#DIV/0!</v>
      </c>
      <c r="R20" s="5" t="e">
        <f>IF(Q20&gt;=D4,IF(R19=1,"",1),"")</f>
        <v>#DIV/0!</v>
      </c>
      <c r="S20" s="163"/>
      <c r="T20" s="163" t="e">
        <f>IF(R20=1,1,"")</f>
        <v>#DIV/0!</v>
      </c>
      <c r="U20" s="163"/>
    </row>
    <row r="21" spans="1:21" ht="12.75" customHeight="1" x14ac:dyDescent="0.2">
      <c r="A21" s="485" t="s">
        <v>1013</v>
      </c>
      <c r="B21" s="482" t="s">
        <v>1012</v>
      </c>
      <c r="C21" s="482" t="s">
        <v>1014</v>
      </c>
      <c r="D21" s="8"/>
      <c r="E21" s="8"/>
      <c r="F21" s="6"/>
      <c r="G21" s="6"/>
      <c r="P21" s="5">
        <v>3</v>
      </c>
      <c r="Q21" s="5" t="e">
        <f>T8</f>
        <v>#DIV/0!</v>
      </c>
      <c r="R21" s="5" t="e">
        <f>IF(Q21&gt;=D4,IF(Q20&gt;=D4,"",1),"")</f>
        <v>#DIV/0!</v>
      </c>
      <c r="U21" s="163" t="e">
        <f>IF(R21=1,1,"")</f>
        <v>#DIV/0!</v>
      </c>
    </row>
    <row r="22" spans="1:21" ht="12.75" customHeight="1" x14ac:dyDescent="0.2">
      <c r="A22" s="7"/>
      <c r="B22" s="8"/>
      <c r="C22" s="8"/>
      <c r="D22" s="8"/>
      <c r="E22" s="8"/>
      <c r="F22" s="6"/>
      <c r="G22" s="6"/>
      <c r="K22" s="5" t="str">
        <f>CONCATENATE(M22,"-",$O$7)</f>
        <v>1500-0</v>
      </c>
      <c r="L22" s="6" t="e">
        <f>SUM(S19:S31)</f>
        <v>#DIV/0!</v>
      </c>
      <c r="M22" s="5">
        <v>1500</v>
      </c>
      <c r="O22" s="5" t="s">
        <v>563</v>
      </c>
      <c r="P22" s="162" t="s">
        <v>564</v>
      </c>
      <c r="Q22" s="5" t="e">
        <f>R8+S8</f>
        <v>#DIV/0!</v>
      </c>
      <c r="R22" s="5" t="e">
        <f>IF(Q22&gt;=D4,IF(SUM(R19:R21)&gt;0,"",1),"")</f>
        <v>#DIV/0!</v>
      </c>
      <c r="S22" s="163" t="e">
        <f>IF(R22=1,1,"")</f>
        <v>#DIV/0!</v>
      </c>
      <c r="T22" s="163" t="e">
        <f>IF(R22=1,1,"")</f>
        <v>#DIV/0!</v>
      </c>
    </row>
    <row r="23" spans="1:21" ht="12.75" customHeight="1" x14ac:dyDescent="0.2">
      <c r="A23" s="7"/>
      <c r="B23" s="8"/>
      <c r="D23" s="8"/>
      <c r="E23" s="8"/>
      <c r="F23" s="8"/>
      <c r="G23" s="130" t="str">
        <f>+System10!G25</f>
        <v>partnerská zľava:</v>
      </c>
      <c r="K23" s="5" t="str">
        <f>CONCATENATE(M23,"-",$O$7)</f>
        <v>2000-0</v>
      </c>
      <c r="L23" s="6" t="e">
        <f>SUM(T19:T31)</f>
        <v>#DIV/0!</v>
      </c>
      <c r="M23" s="5">
        <v>2000</v>
      </c>
      <c r="P23" s="5" t="s">
        <v>576</v>
      </c>
      <c r="Q23" s="5" t="e">
        <f>S8+S8</f>
        <v>#DIV/0!</v>
      </c>
      <c r="R23" s="5" t="e">
        <f>IF(Q23&gt;=D4,IF(SUM(R19:R22)&gt;0,"",1),"")</f>
        <v>#DIV/0!</v>
      </c>
      <c r="T23" s="163" t="e">
        <f>IF(R23=1,2,"")</f>
        <v>#DIV/0!</v>
      </c>
    </row>
    <row r="24" spans="1:21" ht="12.75" customHeight="1" x14ac:dyDescent="0.2">
      <c r="A24" s="14" t="str">
        <f>+System10!A26</f>
        <v>Objednávacie kódy, ceny:</v>
      </c>
      <c r="B24" s="8"/>
      <c r="D24" s="8"/>
      <c r="E24" s="8"/>
      <c r="F24" s="8"/>
      <c r="G24" s="142">
        <f>profil!C15</f>
        <v>0</v>
      </c>
      <c r="H24" s="28"/>
      <c r="K24" s="5" t="str">
        <f>CONCATENATE(M24,"-",$O$7)</f>
        <v>3000-0</v>
      </c>
      <c r="L24" s="6" t="e">
        <f>SUM(U19:U31)</f>
        <v>#DIV/0!</v>
      </c>
      <c r="M24" s="5">
        <v>3000</v>
      </c>
      <c r="N24" s="160"/>
      <c r="P24" s="5" t="s">
        <v>565</v>
      </c>
      <c r="Q24" s="5" t="e">
        <f>R8+T8</f>
        <v>#DIV/0!</v>
      </c>
      <c r="R24" s="5" t="e">
        <f>IF(Q24&gt;=D4,IF(SUM(R19:R23)&gt;0,"",1),"")</f>
        <v>#DIV/0!</v>
      </c>
      <c r="S24" s="163" t="e">
        <f>IF(R24=1,1,"")</f>
        <v>#DIV/0!</v>
      </c>
      <c r="U24" s="163" t="e">
        <f>IF(R24=1,1,"")</f>
        <v>#DIV/0!</v>
      </c>
    </row>
    <row r="25" spans="1:21" ht="12.75" customHeight="1" x14ac:dyDescent="0.2">
      <c r="A25" s="7"/>
      <c r="B25" s="19" t="str">
        <f>+System10!B27</f>
        <v>kód</v>
      </c>
      <c r="C25" s="18" t="str">
        <f>+System10!C27</f>
        <v>názov</v>
      </c>
      <c r="D25" s="19" t="str">
        <f>+System10!D27</f>
        <v>ks</v>
      </c>
      <c r="E25" s="19" t="str">
        <f>+System10!E27</f>
        <v>cena/ks</v>
      </c>
      <c r="F25" s="19" t="str">
        <f>+System10!F27</f>
        <v>cena celkom</v>
      </c>
      <c r="G25" s="20" t="str">
        <f>+System10!G27</f>
        <v>celkom netto:</v>
      </c>
      <c r="I25" s="18" t="str">
        <f>texty!A29</f>
        <v>Poznámka:</v>
      </c>
      <c r="J25" s="18"/>
      <c r="K25" s="6"/>
      <c r="L25" s="5">
        <f>COUNT(L22,L23,L24)</f>
        <v>0</v>
      </c>
      <c r="M25" s="160"/>
      <c r="N25" s="160"/>
      <c r="P25" s="5" t="s">
        <v>566</v>
      </c>
      <c r="Q25" s="5" t="e">
        <f>S8+T8</f>
        <v>#DIV/0!</v>
      </c>
      <c r="R25" s="5" t="e">
        <f>IF(Q25&gt;=D4,IF(SUM(R19:R24)&gt;0,"",1),"")</f>
        <v>#DIV/0!</v>
      </c>
      <c r="T25" s="163" t="e">
        <f>IF(R25=1,1,"")</f>
        <v>#DIV/0!</v>
      </c>
      <c r="U25" s="163" t="e">
        <f>IF(R25=1,1,"")</f>
        <v>#DIV/0!</v>
      </c>
    </row>
    <row r="26" spans="1:21" ht="12.75" customHeight="1" x14ac:dyDescent="0.2">
      <c r="A26" s="7" t="str">
        <f>+System10!A28</f>
        <v>Horný profil:</v>
      </c>
      <c r="B26" s="16" t="e">
        <f>+VLOOKUP(N5,data!$C$261:$D$278,2,0)</f>
        <v>#N/A</v>
      </c>
      <c r="C26" s="25" t="e">
        <f>+VLOOKUP(B26,cennik!$A:$G,2,FALSE)</f>
        <v>#N/A</v>
      </c>
      <c r="D26" s="17">
        <v>1</v>
      </c>
      <c r="E26" s="91" t="e">
        <f>+VLOOKUP(B26,cennik!$A:$G,3,FALSE)</f>
        <v>#N/A</v>
      </c>
      <c r="F26" s="91" t="e">
        <f t="shared" ref="F26:F30" si="1">+E26*D26</f>
        <v>#N/A</v>
      </c>
      <c r="G26" s="92" t="e">
        <f t="shared" ref="G26:G30" si="2">+F26*(100-$G$24)/100</f>
        <v>#N/A</v>
      </c>
      <c r="H26" s="6" t="str">
        <f>cennik!$B$2</f>
        <v>EUR</v>
      </c>
      <c r="I26" s="469" t="str">
        <f>IFERROR(IF((VLOOKUP(B26,cennik!A:L,12,0))="O",texty!$A$250,""),"")</f>
        <v/>
      </c>
      <c r="J26" s="191" t="e">
        <f>IF(D26&gt;0,IF(VLOOKUP(B26,cennik!A:L,12,FALSE)="O",1,""),"")</f>
        <v>#N/A</v>
      </c>
      <c r="K26" s="6"/>
      <c r="L26" s="160"/>
      <c r="M26" s="160"/>
      <c r="N26" s="160"/>
      <c r="P26" s="5" t="s">
        <v>577</v>
      </c>
      <c r="Q26" s="5" t="e">
        <f>T8+T8</f>
        <v>#DIV/0!</v>
      </c>
      <c r="R26" s="5" t="e">
        <f>IF(Q26&gt;=D4,IF(SUM(R19:R25)&gt;0,"",1),"")</f>
        <v>#DIV/0!</v>
      </c>
      <c r="U26" s="163" t="e">
        <f>IF(R26=1,2,"")</f>
        <v>#DIV/0!</v>
      </c>
    </row>
    <row r="27" spans="1:21" ht="12.75" customHeight="1" x14ac:dyDescent="0.2">
      <c r="A27" s="7" t="str">
        <f>+System10!A29</f>
        <v>spodný profil:</v>
      </c>
      <c r="B27" s="16" t="e">
        <f>+VLOOKUP(N5,data!$C$281:$D$298,2,0)</f>
        <v>#N/A</v>
      </c>
      <c r="C27" s="25" t="e">
        <f>+VLOOKUP(B27,cennik!$A:$G,2,FALSE)</f>
        <v>#N/A</v>
      </c>
      <c r="D27" s="17">
        <v>1</v>
      </c>
      <c r="E27" s="91" t="e">
        <f>+VLOOKUP(B27,cennik!$A:$G,3,FALSE)</f>
        <v>#N/A</v>
      </c>
      <c r="F27" s="91" t="e">
        <f t="shared" si="1"/>
        <v>#N/A</v>
      </c>
      <c r="G27" s="92" t="e">
        <f t="shared" si="2"/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  <c r="K27" s="6" t="s">
        <v>567</v>
      </c>
      <c r="L27" s="5" t="e">
        <f>IF(L22=0,IF(L23=0,K24,K23),K22)</f>
        <v>#DIV/0!</v>
      </c>
      <c r="M27" s="160" t="e">
        <f>IF(L27=K22,L22,IF(L27=K23,L23,IF(L27=K24,L24,"chyba")))</f>
        <v>#DIV/0!</v>
      </c>
      <c r="N27" s="160"/>
      <c r="O27" s="160"/>
      <c r="P27" s="5" t="s">
        <v>578</v>
      </c>
      <c r="Q27" s="5" t="e">
        <f>R8+R8+R8</f>
        <v>#DIV/0!</v>
      </c>
      <c r="R27" s="5" t="e">
        <f>IF(Q27&gt;=D4,IF(SUM(R19:R26)&gt;0,"",1),"")</f>
        <v>#DIV/0!</v>
      </c>
      <c r="S27" s="163" t="e">
        <f>IF(R27=1,3,"")</f>
        <v>#DIV/0!</v>
      </c>
    </row>
    <row r="28" spans="1:21" ht="12.75" customHeight="1" x14ac:dyDescent="0.2">
      <c r="A28" s="7" t="str">
        <f>texty!$A$210</f>
        <v>záslepko spodného vedenia</v>
      </c>
      <c r="B28" s="16">
        <v>216362</v>
      </c>
      <c r="C28" s="25" t="str">
        <f>+VLOOKUP(B28,cennik!$A:$G,2,FALSE)</f>
        <v>SEVROLL 20233 záslepka spodného vedenia Simple/Blue priesvitná, guma</v>
      </c>
      <c r="D28" s="17">
        <f>CEILING(C4/1000,1)</f>
        <v>0</v>
      </c>
      <c r="E28" s="91">
        <f>+VLOOKUP(B28,cennik!$A:$G,3,FALSE)</f>
        <v>1.0063200000000001</v>
      </c>
      <c r="F28" s="91">
        <f t="shared" si="1"/>
        <v>0</v>
      </c>
      <c r="G28" s="92">
        <f t="shared" si="2"/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K28" s="6"/>
      <c r="M28" s="160"/>
      <c r="N28" s="160"/>
      <c r="O28" s="160"/>
      <c r="S28" s="163"/>
    </row>
    <row r="29" spans="1:21" ht="12.75" customHeight="1" x14ac:dyDescent="0.2">
      <c r="A29" s="7" t="str">
        <f>+System10!A31</f>
        <v>horné vozíky (sady)</v>
      </c>
      <c r="B29" s="16">
        <v>349734</v>
      </c>
      <c r="C29" s="25" t="str">
        <f>+VLOOKUP(B29,cennik!$A:$G,2,FALSE)</f>
        <v>SEVROLL 10217 horný vozík Blue (pro lamino 18mm) bezrámový L+P</v>
      </c>
      <c r="D29" s="17">
        <f>+D4</f>
        <v>0</v>
      </c>
      <c r="E29" s="91">
        <f>+VLOOKUP(B29,cennik!$A:$G,3,FALSE)</f>
        <v>3.6124200000000002</v>
      </c>
      <c r="F29" s="91">
        <f t="shared" si="1"/>
        <v>0</v>
      </c>
      <c r="G29" s="92">
        <f t="shared" si="2"/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K29" s="6" t="s">
        <v>568</v>
      </c>
      <c r="L29" s="5" t="e">
        <f>IF(L27=K24,"jiné",IF(L27=K22,IF(L23&lt;&gt;0,K23,IF(L24&lt;&gt;0,K24,"jiné")),IF(L24&lt;&gt;0,K24,"jiné")))</f>
        <v>#DIV/0!</v>
      </c>
      <c r="M29" s="160" t="e">
        <f>IF(L29=K23,L23,IF(L29=K24,L24,IF(L29=K25,L25,0)))</f>
        <v>#DIV/0!</v>
      </c>
      <c r="N29" s="160"/>
      <c r="O29" s="160"/>
      <c r="P29" s="5" t="s">
        <v>569</v>
      </c>
      <c r="Q29" s="5" t="e">
        <f>R8+2*S8</f>
        <v>#DIV/0!</v>
      </c>
      <c r="R29" s="5" t="e">
        <f>IF(Q29&gt;=D4,IF(SUM(R19:R27)&gt;0,"",1),"")</f>
        <v>#DIV/0!</v>
      </c>
      <c r="S29" s="163" t="e">
        <f>IF(R29=1,1,"")</f>
        <v>#DIV/0!</v>
      </c>
      <c r="T29" s="163" t="e">
        <f>IF(R29=1,2,"")</f>
        <v>#DIV/0!</v>
      </c>
    </row>
    <row r="30" spans="1:21" ht="12.75" customHeight="1" x14ac:dyDescent="0.2">
      <c r="A30" s="7" t="str">
        <f>+System10!A32</f>
        <v>spodné vozíky (sada)</v>
      </c>
      <c r="B30" s="16">
        <v>349735</v>
      </c>
      <c r="C30" s="25" t="str">
        <f>+VLOOKUP(B30,cennik!$A:$G,2,FALSE)</f>
        <v>SEVROLL 10219 spodný vozík Blue V bezrámový pre 18mm - 2ks</v>
      </c>
      <c r="D30" s="17">
        <f>+D4</f>
        <v>0</v>
      </c>
      <c r="E30" s="91">
        <f>+VLOOKUP(B30,cennik!$A:$G,3,FALSE)</f>
        <v>4.7800200000000004</v>
      </c>
      <c r="F30" s="91">
        <f t="shared" si="1"/>
        <v>0</v>
      </c>
      <c r="G30" s="92">
        <f t="shared" si="2"/>
        <v>0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  <c r="L30" s="160"/>
      <c r="M30" s="160"/>
      <c r="N30" s="160"/>
      <c r="O30" s="160"/>
      <c r="P30" s="5" t="s">
        <v>579</v>
      </c>
      <c r="Q30" s="5" t="e">
        <f>S8+S8+S8</f>
        <v>#DIV/0!</v>
      </c>
      <c r="R30" s="5" t="e">
        <f>IF(Q30&gt;=D4,IF(SUM(R19:R29)&gt;0,"",1),"")</f>
        <v>#DIV/0!</v>
      </c>
      <c r="T30" s="163" t="e">
        <f>IF(R30=1,3,"")</f>
        <v>#DIV/0!</v>
      </c>
    </row>
    <row r="31" spans="1:21" ht="12.75" customHeight="1" x14ac:dyDescent="0.2">
      <c r="A31" s="7" t="str">
        <f>+System10!A33</f>
        <v>dorazový kartáč</v>
      </c>
      <c r="B31" s="16">
        <v>98067</v>
      </c>
      <c r="C31" s="25" t="str">
        <f>+VLOOKUP(B31,cennik!$A:$G,2,FALSE)</f>
        <v>SEVROLL dorazová kefa zásuvná 14x4mm sivá</v>
      </c>
      <c r="D31" s="17">
        <f>CEILING((B4*D4*2/1000),1)</f>
        <v>0</v>
      </c>
      <c r="E31" s="91">
        <f>+VLOOKUP(B31,cennik!$A:$G,3,FALSE)</f>
        <v>0.19361999999999999</v>
      </c>
      <c r="F31" s="91">
        <f>+E31*D31</f>
        <v>0</v>
      </c>
      <c r="G31" s="92">
        <f>+F31*(100-$G$24)/100</f>
        <v>0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K31" s="6" t="str">
        <f>CONCATENATE(3000,"-",E4)</f>
        <v>3000-</v>
      </c>
      <c r="L31" s="160"/>
      <c r="M31" s="160"/>
      <c r="N31" s="160"/>
      <c r="O31" s="160"/>
      <c r="P31" s="5" t="s">
        <v>570</v>
      </c>
      <c r="Q31" s="5" t="e">
        <f>R8+2*T8</f>
        <v>#DIV/0!</v>
      </c>
      <c r="R31" s="5" t="e">
        <f>IF(Q31&gt;=D4,IF(SUM(R19:R30)&gt;0,"",1),"")</f>
        <v>#DIV/0!</v>
      </c>
      <c r="S31" s="163" t="e">
        <f>IF(R31=1,1,"")</f>
        <v>#DIV/0!</v>
      </c>
      <c r="U31" s="163" t="e">
        <f>IF(R31=1,2,"")</f>
        <v>#DIV/0!</v>
      </c>
    </row>
    <row r="32" spans="1:21" ht="12.75" customHeight="1" x14ac:dyDescent="0.2">
      <c r="A32" s="7" t="str">
        <f>+System10!A34</f>
        <v>úchytková lišta</v>
      </c>
      <c r="B32" s="16" t="e">
        <f>+VLOOKUP(O7,data!$C$519:$D$522,2,0)</f>
        <v>#N/A</v>
      </c>
      <c r="C32" s="25" t="e">
        <f>+VLOOKUP(B32,cennik!$A:$G,2,FALSE)</f>
        <v>#N/A</v>
      </c>
      <c r="D32" s="17">
        <f>IF(B11&lt;=1347,D4*2/2,D4*2)</f>
        <v>0</v>
      </c>
      <c r="E32" s="91" t="e">
        <f>+VLOOKUP(B32,cennik!$A:$G,3,FALSE)</f>
        <v>#N/A</v>
      </c>
      <c r="F32" s="91" t="e">
        <f>+E32*D32</f>
        <v>#N/A</v>
      </c>
      <c r="G32" s="92" t="e">
        <f>+F32*(100-$G$24)/100</f>
        <v>#N/A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K32" s="3" t="s">
        <v>687</v>
      </c>
    </row>
    <row r="33" spans="1:11" ht="12.75" customHeight="1" x14ac:dyDescent="0.2">
      <c r="A33" s="7"/>
      <c r="B33" s="6"/>
      <c r="C33" s="25"/>
      <c r="D33" s="17"/>
      <c r="E33" s="91"/>
      <c r="F33" s="91"/>
      <c r="G33" s="92"/>
      <c r="I33" s="469" t="str">
        <f>IFERROR(IF((VLOOKUP(B33,cennik!A:L,12,0))="O",texty!$A$250,""),"")</f>
        <v/>
      </c>
      <c r="J33" s="191"/>
      <c r="K33" s="157" t="e">
        <f>(C10*D4)+(D4-1)*5</f>
        <v>#DIV/0!</v>
      </c>
    </row>
    <row r="34" spans="1:11" ht="12.75" customHeight="1" x14ac:dyDescent="0.2">
      <c r="A34" s="14" t="str">
        <f>texty!$A$66</f>
        <v>Voliteľné príslušenstvo:</v>
      </c>
      <c r="B34" s="15"/>
      <c r="D34" s="26" t="str">
        <f>System10!$D$41</f>
        <v>zadajte počet:</v>
      </c>
      <c r="E34" s="95"/>
      <c r="F34" s="95"/>
      <c r="G34" s="94"/>
      <c r="I34" s="469" t="str">
        <f>IFERROR(IF((VLOOKUP(B34,cennik!A:L,12,0))="O",texty!$A$250,""),"")</f>
        <v/>
      </c>
      <c r="J34" s="191"/>
      <c r="K34" s="3"/>
    </row>
    <row r="35" spans="1:11" ht="12.75" customHeight="1" x14ac:dyDescent="0.2">
      <c r="A35" s="7" t="str">
        <f>texty!$A$88</f>
        <v>pozicionér do horného vedenia</v>
      </c>
      <c r="B35" s="15">
        <v>298035</v>
      </c>
      <c r="C35" s="25" t="str">
        <f>+VLOOKUP(B35,cennik!$A:$G,2,FALSE)</f>
        <v>SEVROLL 20326 Fix pozicionér pre horný vozík transparentný</v>
      </c>
      <c r="D35" s="29"/>
      <c r="E35" s="91">
        <f>+VLOOKUP(B35,cennik!$A:$G,3,FALSE)</f>
        <v>1.0837300000000001</v>
      </c>
      <c r="F35" s="96">
        <f t="shared" ref="F35" si="3">+CEILING(D35,1)*E35</f>
        <v>0</v>
      </c>
      <c r="G35" s="92">
        <f t="shared" ref="G35" si="4">+F35*(100-$G$24)/100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7" t="str">
        <f>texty!A87</f>
        <v>pozicionér</v>
      </c>
      <c r="B36" s="200">
        <v>229681</v>
      </c>
      <c r="C36" s="25" t="str">
        <f>+VLOOKUP(B36,cennik!$A:$G,2,FALSE)</f>
        <v>SEVROLL 10163 Simple/Blue pozicionér pre spodný vozík</v>
      </c>
      <c r="D36" s="29"/>
      <c r="E36" s="91">
        <f>+VLOOKUP(B36,cennik!$A:$G,3,FALSE)</f>
        <v>0.36124000000000001</v>
      </c>
      <c r="F36" s="91">
        <f>+E36*D36</f>
        <v>0</v>
      </c>
      <c r="G36" s="92">
        <f>+F36*(100-$G$24)/100</f>
        <v>0</v>
      </c>
      <c r="H36" s="6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K36" s="3"/>
    </row>
    <row r="37" spans="1:11" ht="12.75" customHeight="1" x14ac:dyDescent="0.2">
      <c r="A37" s="7" t="str">
        <f>texty!A179</f>
        <v>skrutka k spodnémi vedeniu</v>
      </c>
      <c r="B37" s="15">
        <v>98019</v>
      </c>
      <c r="C37" s="25" t="str">
        <f>+VLOOKUP(B37,cennik!$A:$G,2,FALSE)</f>
        <v>SEVROLL 20041 skrutka 2,5x18mm polguľatá hlava zinok biely</v>
      </c>
      <c r="D37" s="29"/>
      <c r="E37" s="91">
        <f>+VLOOKUP(B37,cennik!$A:$G,3,FALSE)</f>
        <v>2.9159999999999998E-2</v>
      </c>
      <c r="F37" s="96">
        <f>+CEILING(D37,1)*E37</f>
        <v>0</v>
      </c>
      <c r="G37" s="92">
        <f>+F37*(100-$G$20)/100</f>
        <v>0</v>
      </c>
      <c r="H37" s="6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7" t="str">
        <f>texty!$A$204</f>
        <v>spojovací H21 profil Simple (18mm)</v>
      </c>
      <c r="B38" s="16" t="e">
        <f>+VLOOKUP(O7,data!$C$477:$D$480,2,0)</f>
        <v>#N/A</v>
      </c>
      <c r="C38" s="25" t="e">
        <f>+VLOOKUP(B38,cennik!$A:$G,2,FALSE)</f>
        <v>#N/A</v>
      </c>
      <c r="D38" s="30"/>
      <c r="E38" s="91" t="e">
        <f>+VLOOKUP(B38,cennik!$A:$G,3,FALSE)</f>
        <v>#N/A</v>
      </c>
      <c r="F38" s="91" t="e">
        <f>+E38*D38</f>
        <v>#N/A</v>
      </c>
      <c r="G38" s="92" t="e">
        <f>+F38*(100-$G$24)/100</f>
        <v>#N/A</v>
      </c>
      <c r="H38" s="6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11" ht="12.75" customHeight="1" x14ac:dyDescent="0.2">
      <c r="A39" s="7" t="str">
        <f>texty!$A$205</f>
        <v>spojovací H28 profil Simple (18mm)</v>
      </c>
      <c r="B39" s="16" t="str">
        <f>IFERROR(+VLOOKUP(O7,data!$C$481:$D$483,2,0),"N/A")</f>
        <v>N/A</v>
      </c>
      <c r="C39" s="25" t="str">
        <f>IF(B39=data!$D$64,texty!$A$239,+VLOOKUP(B39,cennik!$A:$G,2,FALSE))</f>
        <v> v tejto farbe a dĺžke sa daný profil nevyrába</v>
      </c>
      <c r="D39" s="30"/>
      <c r="E39" s="91">
        <f>IFERROR(+VLOOKUP(B39,cennik!$A:$G,3,FALSE),0)</f>
        <v>0</v>
      </c>
      <c r="F39" s="91">
        <f>+E39*D39</f>
        <v>0</v>
      </c>
      <c r="G39" s="92">
        <f>+F39*(100-$G$24)/100</f>
        <v>0</v>
      </c>
      <c r="H39" s="6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11" ht="12.75" customHeight="1" x14ac:dyDescent="0.2">
      <c r="A40" s="422" t="str">
        <f>texty!$A$228</f>
        <v> Tlmič dorazu MINI do 25 kg (pár)</v>
      </c>
      <c r="B40" s="16">
        <v>318662</v>
      </c>
      <c r="C40" s="25" t="str">
        <f>+VLOOKUP(B40,cennik!$A:$G,2,FALSE)</f>
        <v>SEVROLL 20368-SV tlmič dorazu Mini SV25 (14-25kg)</v>
      </c>
      <c r="D40" s="29"/>
      <c r="E40" s="91">
        <f>+VLOOKUP(B40,cennik!$A:$G,3,FALSE)</f>
        <v>22.75825</v>
      </c>
      <c r="F40" s="96">
        <f>+CEILING(D40,1)*E40</f>
        <v>0</v>
      </c>
      <c r="G40" s="92">
        <f t="shared" ref="G40:G43" si="5">+F40*(100-$G$24)/100</f>
        <v>0</v>
      </c>
      <c r="H40" s="6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11" ht="12.75" customHeight="1" x14ac:dyDescent="0.2">
      <c r="A41" s="422" t="str">
        <f>texty!$A$229</f>
        <v> Tlmič dorazu MINI do 40 kg (pár)</v>
      </c>
      <c r="B41" s="24">
        <v>283956</v>
      </c>
      <c r="C41" s="25" t="str">
        <f>+VLOOKUP(B41,cennik!$A:$G,2,FALSE)</f>
        <v>SEVROLL 20258-SV tlmič dorazu Mini SV40 (25 - 40kg)</v>
      </c>
      <c r="D41" s="29"/>
      <c r="E41" s="91">
        <f>+VLOOKUP(B41,cennik!$A:$G,3,FALSE)</f>
        <v>22.75825</v>
      </c>
      <c r="F41" s="96">
        <f>+CEILING(D41,1)*E41</f>
        <v>0</v>
      </c>
      <c r="G41" s="92">
        <f t="shared" si="5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K41" s="3"/>
    </row>
    <row r="42" spans="1:11" ht="12.75" customHeight="1" x14ac:dyDescent="0.2">
      <c r="A42" s="422" t="str">
        <f>texty!$A$231</f>
        <v> Tlmič pre stredné krídlo do 25 kg</v>
      </c>
      <c r="B42" s="24">
        <v>318663</v>
      </c>
      <c r="C42" s="25" t="str">
        <f>+VLOOKUP(B42,cennik!$A:$G,2,FALSE)</f>
        <v>SEVROLL 20363-SV tlmič Central 10/18mm obojstranný 25kg</v>
      </c>
      <c r="D42" s="29"/>
      <c r="E42" s="91">
        <f>+VLOOKUP(B42,cennik!$A:$G,3,FALSE)</f>
        <v>48.741869999999999</v>
      </c>
      <c r="F42" s="96">
        <f>+CEILING(D42,1)*E42</f>
        <v>0</v>
      </c>
      <c r="G42" s="92">
        <f t="shared" si="5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11" ht="12.75" customHeight="1" x14ac:dyDescent="0.2">
      <c r="A43" s="422" t="str">
        <f>texty!$A$232</f>
        <v> Tlmič pre stredné krídlo do 40 kg</v>
      </c>
      <c r="B43" s="24">
        <v>283955</v>
      </c>
      <c r="C43" s="25" t="str">
        <f>+VLOOKUP(B43,cennik!$A:$G,2,FALSE)</f>
        <v>SEVROLL 20319-SV tlmič Central 10/18mm obojstranný 25-40kg</v>
      </c>
      <c r="D43" s="29"/>
      <c r="E43" s="91">
        <f>+VLOOKUP(B43,cennik!$A:$G,3,FALSE)</f>
        <v>48.741869999999999</v>
      </c>
      <c r="F43" s="96">
        <f>+CEILING(D43,1)*E43</f>
        <v>0</v>
      </c>
      <c r="G43" s="92">
        <f t="shared" si="5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</row>
    <row r="44" spans="1:11" ht="12.75" customHeight="1" x14ac:dyDescent="0.2">
      <c r="A44" s="7" t="str">
        <f>texty!$A$90</f>
        <v>protiprachový kartáč</v>
      </c>
      <c r="B44" s="16">
        <v>305348</v>
      </c>
      <c r="C44" s="25" t="str">
        <f>+VLOOKUP(B44,cennik!$A:$G,2,FALSE)</f>
        <v>SEVROLL 20082-BL protiprachový kartáč zásuvný 4,8x9mm šedý</v>
      </c>
      <c r="D44" s="30"/>
      <c r="E44" s="91">
        <f>+VLOOKUP(B44,cennik!$A:$G,3,FALSE)</f>
        <v>0.23222999999999999</v>
      </c>
      <c r="F44" s="91">
        <f>+E44*D44</f>
        <v>0</v>
      </c>
      <c r="G44" s="92">
        <f>+F44*(100-$G$24)/100</f>
        <v>0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6"/>
    </row>
    <row r="45" spans="1:11" ht="12.75" customHeight="1" x14ac:dyDescent="0.2">
      <c r="A45" s="145" t="str">
        <f>texty!$A$119</f>
        <v>uholník mini 11x17mm - 1,7m</v>
      </c>
      <c r="B45" s="6" t="e">
        <f>+VLOOKUP($O$7,data!$C$589:$D$599,2,0)</f>
        <v>#N/A</v>
      </c>
      <c r="C45" s="38" t="e">
        <f>IF(B45=data!$D$64,texty!$A$239,+VLOOKUP(B45,cennik!$A$3:$G$9999,2,FALSE))</f>
        <v>#N/A</v>
      </c>
      <c r="D45" s="29"/>
      <c r="E45" s="91" t="e">
        <f>IF(B45=data!$D$73,0,+VLOOKUP(B45,cennik!$A$3:$G$9999,3,FALSE))</f>
        <v>#N/A</v>
      </c>
      <c r="F45" s="91" t="e">
        <f>+E45*D45</f>
        <v>#N/A</v>
      </c>
      <c r="G45" s="104" t="e">
        <f t="shared" ref="G45:G51" si="6">+F45*(100-$G$22)/100</f>
        <v>#N/A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">
      <c r="A46" s="145" t="str">
        <f>texty!$A$120</f>
        <v>uholník mini 11x17mm - 2,35m</v>
      </c>
      <c r="B46" s="6" t="e">
        <f>+VLOOKUP($O$7,data!$C$600:$D$610,2,0)</f>
        <v>#N/A</v>
      </c>
      <c r="C46" s="38" t="e">
        <f>IF(B46=data!$D$64,texty!$A$239,+VLOOKUP(B46,cennik!$A$3:$G$9999,2,FALSE))</f>
        <v>#N/A</v>
      </c>
      <c r="D46" s="29"/>
      <c r="E46" s="91" t="e">
        <f>IF(B46=data!$D$73,0,+VLOOKUP(B46,cennik!$A$3:$G$9999,3,FALSE))</f>
        <v>#N/A</v>
      </c>
      <c r="F46" s="91" t="e">
        <f>+E46*D46</f>
        <v>#N/A</v>
      </c>
      <c r="G46" s="104" t="e">
        <f t="shared" si="6"/>
        <v>#N/A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">
      <c r="A47" s="145" t="str">
        <f>texty!$A$121</f>
        <v>uholník mini 11x17mm - 3m</v>
      </c>
      <c r="B47" s="15" t="e">
        <f>+VLOOKUP($O$7,data!$C$611:$D$621,2,0)</f>
        <v>#N/A</v>
      </c>
      <c r="C47" s="38" t="e">
        <f>IF(B47=data!$D$64,texty!$A$239,+VLOOKUP(B47,cennik!$A$3:$G$9999,2,FALSE))</f>
        <v>#N/A</v>
      </c>
      <c r="D47" s="29"/>
      <c r="E47" s="91" t="e">
        <f>IF(B47=data!$D$73,0,+VLOOKUP(B47,cennik!$A$3:$G$9999,3,FALSE))</f>
        <v>#N/A</v>
      </c>
      <c r="F47" s="91" t="e">
        <f>+E47*D47</f>
        <v>#N/A</v>
      </c>
      <c r="G47" s="104" t="e">
        <f t="shared" si="6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">
      <c r="A48" s="145" t="str">
        <f>texty!$A$122</f>
        <v>uholník K2 19x18mm - 1,7m</v>
      </c>
      <c r="B48" s="24" t="e">
        <f>+VLOOKUP($O$7,data!$C$622:$D$631,2,0)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>+E48*D48</f>
        <v>#N/A</v>
      </c>
      <c r="G48" s="104" t="e">
        <f t="shared" si="6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3" ht="12.75" customHeight="1" x14ac:dyDescent="0.2">
      <c r="A49" s="145" t="str">
        <f>texty!$A$123</f>
        <v>uholník K2 19x18mm - 2,35m</v>
      </c>
      <c r="B49" s="16" t="e">
        <f>+VLOOKUP($O$7,data!$C$632:$D$641,2,0)</f>
        <v>#N/A</v>
      </c>
      <c r="C49" s="38" t="e">
        <f>IF(B49=data!$D$64,texty!$A$239,+VLOOKUP(B49,cennik!$A$3:$G$907,2,FALSE))</f>
        <v>#N/A</v>
      </c>
      <c r="D49" s="30"/>
      <c r="E49" s="91" t="e">
        <f>IF(B49=data!$D$73,0,+VLOOKUP(B49,cennik!$A$3:$G$907,3,FALSE))</f>
        <v>#N/A</v>
      </c>
      <c r="F49" s="91" t="e">
        <f t="shared" ref="F49:F51" si="7">+E49*D49</f>
        <v>#N/A</v>
      </c>
      <c r="G49" s="104" t="e">
        <f t="shared" si="6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3" ht="12.75" customHeight="1" x14ac:dyDescent="0.2">
      <c r="A50" s="145" t="str">
        <f>texty!$A$124</f>
        <v>uholník K2 19x18mm - 3,00m</v>
      </c>
      <c r="B50" s="16" t="e">
        <f>+VLOOKUP($O$7,data!$C$642:$D$651,2,0)</f>
        <v>#N/A</v>
      </c>
      <c r="C50" s="38" t="e">
        <f>IF(B50=data!$D$64,texty!$A$239,+VLOOKUP(B50,cennik!$A$3:$G$907,2,FALSE))</f>
        <v>#N/A</v>
      </c>
      <c r="D50" s="30"/>
      <c r="E50" s="91" t="e">
        <f>IF(B50=data!$D$73,0,+VLOOKUP(B50,cennik!$A$3:$G$907,3,FALSE))</f>
        <v>#N/A</v>
      </c>
      <c r="F50" s="91" t="e">
        <f t="shared" si="7"/>
        <v>#N/A</v>
      </c>
      <c r="G50" s="104" t="e">
        <f t="shared" si="6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3" ht="12.75" customHeight="1" x14ac:dyDescent="0.2">
      <c r="A51" s="145" t="str">
        <f>texty!$A$241</f>
        <v>klínok pre dilatáciu výplne 16mm</v>
      </c>
      <c r="B51" s="16">
        <v>308631</v>
      </c>
      <c r="C51" s="38" t="str">
        <f>+VLOOKUP(B51,cennik!$A:$G,2,FALSE)</f>
        <v>SEVROLL 20252 klin pre lamino hrúbka 2mm (100 ks)</v>
      </c>
      <c r="D51" s="29"/>
      <c r="E51" s="207">
        <f>+VLOOKUP(B51,cennik!$A:$G,3,FALSE)</f>
        <v>8.7214100000000006</v>
      </c>
      <c r="F51" s="105">
        <f t="shared" si="7"/>
        <v>0</v>
      </c>
      <c r="G51" s="104">
        <f t="shared" si="6"/>
        <v>0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3" ht="12.75" customHeight="1" x14ac:dyDescent="0.2">
      <c r="A52" s="422" t="str">
        <f>texty!$A$240</f>
        <v>zámok posuvných dverí</v>
      </c>
      <c r="B52" s="24">
        <v>216363</v>
      </c>
      <c r="C52" s="38" t="str">
        <f>+VLOOKUP(B52,cennik!$A:$G,2,FALSE)</f>
        <v>SEVROLL 20356 zámok na posuvné dvere 10/18mm</v>
      </c>
      <c r="D52" s="29"/>
      <c r="E52" s="207">
        <f>+VLOOKUP(B52,cennik!$A:$G,3,FALSE)</f>
        <v>15.72176</v>
      </c>
      <c r="F52" s="105">
        <f>+E52*D52</f>
        <v>0</v>
      </c>
      <c r="G52" s="104">
        <f>+F52*(100-$G$22)/100</f>
        <v>0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3" ht="12.75" customHeight="1" x14ac:dyDescent="0.2">
      <c r="H53" s="5"/>
      <c r="I53" s="5"/>
      <c r="J53" s="191"/>
      <c r="K53" s="191"/>
    </row>
    <row r="54" spans="1:13" ht="12.75" customHeight="1" x14ac:dyDescent="0.2">
      <c r="A54" s="7"/>
      <c r="B54" s="17"/>
      <c r="C54" s="25"/>
      <c r="E54" s="91"/>
      <c r="F54" s="96"/>
      <c r="G54" s="92"/>
      <c r="I54" s="181"/>
      <c r="J54" s="181"/>
      <c r="K54" s="3"/>
    </row>
    <row r="55" spans="1:13" ht="15" x14ac:dyDescent="0.2">
      <c r="A55" s="271" t="str">
        <f>texty!$A$190</f>
        <v>Ďalšie príslušenstvo</v>
      </c>
      <c r="E55" s="94"/>
      <c r="F55" s="94"/>
      <c r="G55" s="94"/>
      <c r="I55" s="181"/>
      <c r="J55" s="181"/>
      <c r="K55" s="6"/>
    </row>
    <row r="56" spans="1:13" ht="12.75" customHeight="1" x14ac:dyDescent="0.2">
      <c r="A56" s="271" t="str">
        <f>texty!$A$244</f>
        <v>Technický nákres tohoto systému</v>
      </c>
      <c r="B56" s="8"/>
      <c r="C56" s="8"/>
      <c r="D56" s="76" t="str">
        <f>texty!$A$15</f>
        <v>CELKOM  (bez DPH)</v>
      </c>
      <c r="E56" s="99"/>
      <c r="F56" s="101" t="e">
        <f>SUM(F26:F55)</f>
        <v>#N/A</v>
      </c>
      <c r="G56" s="101" t="e">
        <f>SUM(G26:G55)</f>
        <v>#N/A</v>
      </c>
      <c r="H56" s="6" t="str">
        <f>cennik!$B$2</f>
        <v>EUR</v>
      </c>
      <c r="I56" s="181"/>
      <c r="J56" s="181"/>
      <c r="K56" s="5" t="str">
        <f>texty!A128</f>
        <v xml:space="preserve">strieborná </v>
      </c>
    </row>
    <row r="57" spans="1:13" ht="12.75" customHeight="1" x14ac:dyDescent="0.2">
      <c r="A57" s="75" t="str">
        <f>System10!$A$67</f>
        <v>Vaša poznámka:</v>
      </c>
      <c r="B57" s="656"/>
      <c r="C57" s="657"/>
      <c r="D57" s="657"/>
      <c r="E57" s="657"/>
      <c r="F57" s="657"/>
      <c r="G57" s="657"/>
      <c r="K57" s="5" t="str">
        <f>texty!A130</f>
        <v>oliva</v>
      </c>
    </row>
    <row r="58" spans="1:13" ht="12.75" customHeight="1" x14ac:dyDescent="0.2">
      <c r="A58" s="648">
        <f>profil!$U$15</f>
        <v>0</v>
      </c>
      <c r="B58" s="649"/>
      <c r="C58" s="649"/>
      <c r="D58" s="649"/>
      <c r="E58" s="649"/>
      <c r="F58" s="649"/>
      <c r="G58" s="649"/>
      <c r="K58" s="5" t="str">
        <f>data!$J$15</f>
        <v>biela lesk</v>
      </c>
    </row>
    <row r="59" spans="1:13" ht="12.75" customHeight="1" x14ac:dyDescent="0.2">
      <c r="A59" s="650">
        <f>IF(M59=1,texty!$A$215,IF(J59&gt;0,texty!$A$214,""))</f>
        <v>0</v>
      </c>
      <c r="B59" s="650"/>
      <c r="C59" s="650"/>
      <c r="D59" s="650"/>
      <c r="E59" s="650"/>
      <c r="F59" s="650"/>
      <c r="G59" s="650"/>
      <c r="J59" s="6" t="e">
        <f>SUM(J26:J55)</f>
        <v>#N/A</v>
      </c>
      <c r="K59" s="5" t="str">
        <f>data!$J$17</f>
        <v>čierna mat</v>
      </c>
      <c r="M59" s="5">
        <f>IF(ISERROR(J59),1,0)</f>
        <v>1</v>
      </c>
    </row>
    <row r="72" spans="1:1" ht="12.75" hidden="1" customHeight="1" x14ac:dyDescent="0.2">
      <c r="A72" s="5">
        <v>3</v>
      </c>
    </row>
  </sheetData>
  <sheetProtection algorithmName="SHA-512" hashValue="u9edF+wTPAMRWc4oJpFuqqZbrkO/uFxMzxJc78p28yPWkdK/mZcE80DG0qzTbChIp92q3EzHGUfPeOatOOoSmA==" saltValue="RSYBhj+A8Zvf3wBIjwqVO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:E6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8.28515625" style="21" customWidth="1"/>
    <col min="2" max="2" width="15.7109375" style="21" customWidth="1"/>
    <col min="3" max="3" width="37.42578125" style="21" customWidth="1"/>
    <col min="4" max="7" width="14.7109375" style="21" customWidth="1"/>
    <col min="8" max="8" width="4.7109375" style="21" customWidth="1"/>
    <col min="9" max="9" width="24.7109375" style="24" customWidth="1"/>
    <col min="10" max="10" width="4.7109375" style="6" customWidth="1"/>
    <col min="11" max="11" width="11.28515625" style="6" hidden="1" customWidth="1"/>
    <col min="12" max="12" width="14.7109375" style="5" hidden="1" customWidth="1"/>
    <col min="13" max="13" width="11.7109375" style="5" hidden="1" customWidth="1"/>
    <col min="14" max="14" width="8.7109375" style="5" hidden="1" customWidth="1"/>
    <col min="15" max="15" width="7.28515625" style="5" hidden="1" customWidth="1"/>
    <col min="16" max="16" width="9.140625" style="5" hidden="1" customWidth="1"/>
    <col min="17" max="17" width="7" style="5" hidden="1" customWidth="1"/>
    <col min="18" max="18" width="10.42578125" style="5" hidden="1" customWidth="1"/>
    <col min="19" max="19" width="12" style="5" hidden="1" customWidth="1"/>
    <col min="20" max="20" width="11.42578125" style="5" hidden="1" customWidth="1"/>
    <col min="21" max="21" width="5.140625" style="5" hidden="1" customWidth="1"/>
    <col min="22" max="23" width="5.7109375" style="5" hidden="1" customWidth="1"/>
    <col min="24" max="25" width="4.42578125" style="5" hidden="1" customWidth="1"/>
    <col min="26" max="26" width="11.42578125" style="5" hidden="1" customWidth="1"/>
    <col min="27" max="16384" width="9.140625" style="5" hidden="1"/>
  </cols>
  <sheetData>
    <row r="1" spans="1:22" ht="13.5" customHeight="1" thickBot="1" x14ac:dyDescent="0.25">
      <c r="A1" s="418"/>
      <c r="B1" s="17"/>
      <c r="C1" s="17"/>
      <c r="D1" s="17"/>
      <c r="E1" s="17"/>
      <c r="F1" s="17"/>
      <c r="G1" s="24"/>
      <c r="H1" s="24"/>
      <c r="K1" s="6">
        <v>2</v>
      </c>
      <c r="L1" s="5">
        <v>-9.5</v>
      </c>
    </row>
    <row r="2" spans="1:22" ht="18.75" customHeight="1" x14ac:dyDescent="0.2">
      <c r="A2" s="523" t="s">
        <v>751</v>
      </c>
      <c r="B2" s="419" t="str">
        <f>profil!T7</f>
        <v>Zákazník:, , IČO:</v>
      </c>
      <c r="C2" s="17"/>
      <c r="D2" s="17"/>
      <c r="E2" s="17"/>
      <c r="F2" s="17"/>
      <c r="G2" s="24"/>
      <c r="H2" s="24"/>
      <c r="K2" s="6">
        <v>3</v>
      </c>
    </row>
    <row r="3" spans="1:22" ht="26.25" thickBot="1" x14ac:dyDescent="0.25">
      <c r="A3" s="524" t="str">
        <f>CONCATENATE(texty!A243," ",5,".",50)</f>
        <v>katalóg kovania 2018 str. 5.50</v>
      </c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421" t="str">
        <f>texty!A36</f>
        <v>počet dverí:</v>
      </c>
      <c r="E3" s="421" t="str">
        <f>texty!A37</f>
        <v>farba</v>
      </c>
      <c r="F3" s="420" t="str">
        <f>texty!A38</f>
        <v>typ spodného vedenia</v>
      </c>
      <c r="G3" s="24"/>
      <c r="H3" s="24"/>
    </row>
    <row r="4" spans="1:22" ht="18" customHeight="1" x14ac:dyDescent="0.2">
      <c r="A4" s="423" t="str">
        <f>texty!A70</f>
        <v>VNÚTORNÝ ROZMER SKRINE:</v>
      </c>
      <c r="B4" s="456"/>
      <c r="C4" s="456"/>
      <c r="D4" s="457"/>
      <c r="E4" s="457"/>
      <c r="F4" s="458"/>
      <c r="G4" s="644"/>
      <c r="H4" s="644"/>
      <c r="I4" s="644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</row>
    <row r="5" spans="1:22" ht="18" customHeight="1" x14ac:dyDescent="0.2">
      <c r="A5" s="423"/>
      <c r="B5" s="640" t="str">
        <f>texty!A45</f>
        <v>vypíšte týchto 5 políčok !!! Údaje v mm</v>
      </c>
      <c r="C5" s="640"/>
      <c r="D5" s="640"/>
      <c r="E5" s="640"/>
      <c r="F5" s="640"/>
      <c r="G5" s="644"/>
      <c r="H5" s="644"/>
      <c r="I5" s="644"/>
      <c r="K5" s="3" t="str">
        <f>CONCATENATE(K4,"-",E4)</f>
        <v>1700-</v>
      </c>
      <c r="M5" s="3" t="str">
        <f>CONCATENATE(M4,"-",E4,", ",F4)</f>
        <v xml:space="preserve">1700-, </v>
      </c>
      <c r="S5" s="5" t="e">
        <f>#REF!*3</f>
        <v>#REF!</v>
      </c>
    </row>
    <row r="6" spans="1:22" ht="18" customHeight="1" x14ac:dyDescent="0.2">
      <c r="A6" s="423"/>
      <c r="B6" s="431" t="str">
        <f>IF(D4=4,texty!A227,"")</f>
        <v/>
      </c>
      <c r="D6" s="443">
        <v>3</v>
      </c>
      <c r="E6" s="17"/>
      <c r="F6" s="17"/>
      <c r="G6" s="644"/>
      <c r="H6" s="644"/>
      <c r="I6" s="644"/>
      <c r="K6" s="190"/>
      <c r="L6" s="6"/>
      <c r="R6" s="636" t="s">
        <v>557</v>
      </c>
      <c r="S6" s="636" t="s">
        <v>558</v>
      </c>
      <c r="T6" s="636" t="s">
        <v>559</v>
      </c>
      <c r="U6" s="636" t="s">
        <v>560</v>
      </c>
    </row>
    <row r="7" spans="1:22" ht="12.75" customHeight="1" x14ac:dyDescent="0.2">
      <c r="A7" s="424" t="str">
        <f>texty!A71</f>
        <v>krídlo dverí:</v>
      </c>
      <c r="B7" s="57">
        <f>+B4-40</f>
        <v>-40</v>
      </c>
      <c r="C7" s="59" t="e">
        <f>+((C4-3+(35*(D4-1)))/D4+IF(AND(D4=4,D6=2),L1,0))</f>
        <v>#DIV/0!</v>
      </c>
      <c r="D7" s="17"/>
      <c r="E7" s="17"/>
      <c r="F7" s="17"/>
      <c r="G7" s="434" t="str">
        <f>texty!$A$39</f>
        <v>V prípade použitia skla ako výplne</v>
      </c>
      <c r="H7" s="24"/>
      <c r="L7" s="6"/>
      <c r="O7" s="17" t="e">
        <f>IF(L11="jiné",M12,L11)</f>
        <v>#DIV/0!</v>
      </c>
      <c r="P7" s="21">
        <f>+E4</f>
        <v>0</v>
      </c>
      <c r="R7" s="636"/>
      <c r="S7" s="636"/>
      <c r="T7" s="636"/>
      <c r="U7" s="636"/>
    </row>
    <row r="8" spans="1:22" ht="12.75" customHeight="1" x14ac:dyDescent="0.2">
      <c r="A8" s="424" t="str">
        <f>texty!A72</f>
        <v>rozmer výplne 10 mm:</v>
      </c>
      <c r="B8" s="57">
        <f>+B7-64</f>
        <v>-104</v>
      </c>
      <c r="C8" s="59" t="e">
        <f>+C7-36</f>
        <v>#DIV/0!</v>
      </c>
      <c r="D8" s="17"/>
      <c r="E8" s="17"/>
      <c r="F8" s="17"/>
      <c r="G8" s="434" t="str">
        <f>texty!$A$40</f>
        <v>je treba použiť bezpečnostné sklo</v>
      </c>
      <c r="H8" s="24"/>
      <c r="L8" s="6" t="s">
        <v>60</v>
      </c>
      <c r="M8" s="5" t="s">
        <v>61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">
      <c r="A9" s="424" t="str">
        <f>texty!A73</f>
        <v>rozmer zrkadla / skla</v>
      </c>
      <c r="B9" s="57">
        <f>+B8</f>
        <v>-104</v>
      </c>
      <c r="C9" s="59" t="e">
        <f>+C8-4</f>
        <v>#DIV/0!</v>
      </c>
      <c r="D9" s="17"/>
      <c r="E9" s="17"/>
      <c r="F9" s="17"/>
      <c r="G9" s="434" t="str">
        <f>texty!$A$41</f>
        <v>alebo sklo zabezpečiť ochrannou fóliou</v>
      </c>
      <c r="H9" s="24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562</v>
      </c>
    </row>
    <row r="10" spans="1:22" ht="12.75" customHeight="1" x14ac:dyDescent="0.2">
      <c r="A10" s="424" t="str">
        <f>texty!A74</f>
        <v>dĺžka vodiacej a krycej lišty krídla</v>
      </c>
      <c r="B10" s="57"/>
      <c r="C10" s="60" t="e">
        <f>+C7-53</f>
        <v>#DIV/0!</v>
      </c>
      <c r="D10" s="17"/>
      <c r="E10" s="17"/>
      <c r="F10" s="17"/>
      <c r="G10" s="435"/>
      <c r="H10" s="24"/>
      <c r="L10" s="5" t="s">
        <v>59</v>
      </c>
      <c r="O10" s="17" t="e">
        <f>IF(L11="jiné",M13,"")</f>
        <v>#DIV/0!</v>
      </c>
      <c r="P10" s="21">
        <f>+E4</f>
        <v>0</v>
      </c>
      <c r="Q10" s="5">
        <v>3</v>
      </c>
      <c r="R10" s="159" t="e">
        <f t="shared" si="0"/>
        <v>#DIV/0!</v>
      </c>
    </row>
    <row r="11" spans="1:22" ht="12.75" customHeight="1" x14ac:dyDescent="0.2">
      <c r="A11" s="424" t="str">
        <f>texty!A75</f>
        <v>Horný/spodný profil</v>
      </c>
      <c r="B11" s="57"/>
      <c r="C11" s="189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L11" s="36" t="e">
        <f>IF((L9+M9)&lt;1700,1700,IF((L9+M9)&lt;2350,2350,IF((L9+M9)&lt;3000,3000,"jiné")))</f>
        <v>#DIV/0!</v>
      </c>
      <c r="N11" s="5" t="s">
        <v>62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">
      <c r="A12" s="424" t="str">
        <f>texty!A76</f>
        <v>úchytková lišta</v>
      </c>
      <c r="B12" s="488">
        <f>+B7</f>
        <v>-40</v>
      </c>
      <c r="C12" s="489"/>
      <c r="D12" s="17"/>
      <c r="E12" s="17"/>
      <c r="F12" s="17"/>
      <c r="G12" s="24"/>
      <c r="H12" s="24"/>
      <c r="J12" s="157"/>
      <c r="K12" s="157"/>
      <c r="L12" s="6" t="e">
        <f>C10*(D4-1)+(D4*5)</f>
        <v>#DIV/0!</v>
      </c>
      <c r="M12" s="5" t="e">
        <f>IF(L12&lt;1700,1700,IF(L12&lt;2350,2350,IF(L12&lt;3000,3000,3000)))</f>
        <v>#DIV/0!</v>
      </c>
      <c r="N12" s="158" t="e">
        <f>M12-L12</f>
        <v>#DIV/0!</v>
      </c>
      <c r="O12" s="5" t="e">
        <f>IF((C10*2+10)&gt;3000,IF((C10+10)&gt;2350,3000,IF((C10+10)&gt;1700,2350,1700)),1700)</f>
        <v>#DIV/0!</v>
      </c>
      <c r="P12" s="5" t="e">
        <f>IF((O12/(C10+5))&gt;3,3,IF((O12/(C10+5))&gt;2,2,1))</f>
        <v>#DIV/0!</v>
      </c>
      <c r="Q12" s="5">
        <v>5</v>
      </c>
      <c r="R12" s="159" t="e">
        <f t="shared" si="0"/>
        <v>#DIV/0!</v>
      </c>
    </row>
    <row r="13" spans="1:22" ht="12.75" customHeight="1" x14ac:dyDescent="0.2">
      <c r="A13" s="424" t="str">
        <f>texty!A77</f>
        <v>dĺžka tesnenia na sklo na jednom krídle</v>
      </c>
      <c r="B13" s="64"/>
      <c r="C13" s="491" t="e">
        <f>ROUND(B9*2+C9*2,0)</f>
        <v>#DIV/0!</v>
      </c>
      <c r="D13" s="17"/>
      <c r="E13" s="17"/>
      <c r="F13" s="17"/>
      <c r="G13" s="24"/>
      <c r="H13" s="24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158" t="e">
        <f>M13-L13</f>
        <v>#DIV/0!</v>
      </c>
      <c r="Q13" s="5">
        <v>6</v>
      </c>
      <c r="R13" s="159" t="e">
        <f t="shared" si="0"/>
        <v>#DIV/0!</v>
      </c>
    </row>
    <row r="14" spans="1:22" ht="24" customHeight="1" x14ac:dyDescent="0.2">
      <c r="A14" s="635" t="str">
        <f>IF(SUM(D47:D48)&gt;0,texty!A245,"")</f>
        <v/>
      </c>
      <c r="B14" s="635"/>
      <c r="C14" s="490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5" customHeight="1" x14ac:dyDescent="0.2">
      <c r="A15" s="635"/>
      <c r="B15" s="635"/>
      <c r="C15" s="490"/>
      <c r="D15" s="17"/>
      <c r="E15" s="17"/>
      <c r="F15" s="17"/>
      <c r="G15" s="24"/>
      <c r="H15" s="24"/>
      <c r="L15" s="6"/>
      <c r="R15" s="159"/>
    </row>
    <row r="16" spans="1:22" x14ac:dyDescent="0.2">
      <c r="A16" s="422"/>
      <c r="B16" s="17"/>
      <c r="C16" s="490"/>
      <c r="D16" s="17"/>
      <c r="E16" s="17"/>
      <c r="F16" s="17"/>
      <c r="G16" s="24"/>
      <c r="H16" s="24"/>
      <c r="L16" s="6"/>
      <c r="R16" s="159"/>
    </row>
    <row r="17" spans="1:23" ht="12.75" customHeight="1" x14ac:dyDescent="0.2">
      <c r="A17" s="5"/>
      <c r="B17" s="17"/>
      <c r="C17" s="433"/>
      <c r="D17" s="17"/>
      <c r="E17" s="17"/>
      <c r="F17" s="17"/>
      <c r="G17" s="24"/>
      <c r="H17" s="24"/>
      <c r="L17" s="6"/>
      <c r="M17" s="5" t="e">
        <f>M14-C4</f>
        <v>#DIV/0!</v>
      </c>
      <c r="Q17" s="5" t="s">
        <v>561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3" ht="12.75" customHeight="1" x14ac:dyDescent="0.2">
      <c r="A18" s="422"/>
      <c r="B18" s="17"/>
      <c r="C18" s="433"/>
      <c r="D18" s="17"/>
      <c r="E18" s="17"/>
      <c r="F18" s="17"/>
      <c r="G18" s="24"/>
      <c r="H18" s="24"/>
      <c r="L18" s="6"/>
    </row>
    <row r="19" spans="1:23" ht="14.25" customHeight="1" x14ac:dyDescent="0.2">
      <c r="A19" s="422"/>
      <c r="B19" s="484" t="str">
        <f>texty!A242</f>
        <v>dilatácia 4 mm</v>
      </c>
      <c r="C19" s="119"/>
      <c r="D19" s="17"/>
      <c r="E19" s="17"/>
      <c r="F19" s="17"/>
      <c r="G19" s="24"/>
      <c r="H19" s="24"/>
      <c r="I19" s="638" t="s">
        <v>993</v>
      </c>
      <c r="L19" s="6"/>
    </row>
    <row r="20" spans="1:23" ht="16.5" customHeight="1" x14ac:dyDescent="0.2">
      <c r="A20" s="422"/>
      <c r="B20" s="5"/>
      <c r="C20" s="17"/>
      <c r="E20" s="17"/>
      <c r="F20" s="17"/>
      <c r="G20" s="24"/>
      <c r="H20" s="24"/>
      <c r="I20" s="638"/>
      <c r="L20" s="6"/>
      <c r="M20" s="6"/>
      <c r="R20" s="5" t="s">
        <v>581</v>
      </c>
      <c r="S20" s="5" t="s">
        <v>580</v>
      </c>
      <c r="T20" s="5">
        <v>1700</v>
      </c>
      <c r="U20" s="5">
        <v>2350</v>
      </c>
      <c r="V20" s="5">
        <v>3000</v>
      </c>
    </row>
    <row r="21" spans="1:23" ht="16.5" customHeight="1" x14ac:dyDescent="0.2">
      <c r="A21" s="422"/>
      <c r="B21" s="17"/>
      <c r="C21" s="17"/>
      <c r="D21" s="382"/>
      <c r="E21" s="17"/>
      <c r="F21" s="17"/>
      <c r="G21" s="24"/>
      <c r="H21" s="24"/>
      <c r="I21" s="639" t="s">
        <v>994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3" ht="12.75" customHeight="1" x14ac:dyDescent="0.2">
      <c r="A22" s="422"/>
      <c r="B22" s="17"/>
      <c r="C22" s="17"/>
      <c r="D22" s="17"/>
      <c r="E22" s="17"/>
      <c r="F22" s="17"/>
      <c r="G22" s="24"/>
      <c r="H22" s="24"/>
      <c r="I22" s="639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3" ht="12.75" customHeight="1" x14ac:dyDescent="0.2">
      <c r="A23" s="422"/>
      <c r="B23" s="17"/>
      <c r="C23" s="17"/>
      <c r="D23" s="17"/>
      <c r="E23" s="17"/>
      <c r="F23" s="17"/>
      <c r="G23" s="24"/>
      <c r="H23" s="24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3" ht="12.75" customHeight="1" x14ac:dyDescent="0.2">
      <c r="A24" s="422"/>
      <c r="B24" s="17"/>
      <c r="C24" s="17"/>
      <c r="D24" s="17"/>
      <c r="E24" s="17"/>
      <c r="F24" s="17"/>
      <c r="G24" s="24"/>
      <c r="H24" s="24"/>
      <c r="L24" s="5" t="str">
        <f>CONCATENATE(N24,"-",$P$7)</f>
        <v>1700-0</v>
      </c>
      <c r="M24" s="6" t="e">
        <f>SUM(T21:T32)</f>
        <v>#DIV/0!</v>
      </c>
      <c r="N24" s="5">
        <v>1700</v>
      </c>
      <c r="P24" s="5" t="s">
        <v>563</v>
      </c>
      <c r="Q24" s="162" t="s">
        <v>564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3" ht="12.75" customHeight="1" x14ac:dyDescent="0.2">
      <c r="A25" s="422"/>
      <c r="B25" s="17"/>
      <c r="D25" s="17"/>
      <c r="E25" s="17"/>
      <c r="F25" s="17"/>
      <c r="G25" s="438" t="str">
        <f>texty!$A$21</f>
        <v>partnerská zľava:</v>
      </c>
      <c r="H25" s="24"/>
      <c r="L25" s="5" t="str">
        <f>CONCATENATE(N25,"-",$P$7)</f>
        <v>2350-0</v>
      </c>
      <c r="M25" s="6" t="e">
        <f>SUM(U21:U32)</f>
        <v>#DIV/0!</v>
      </c>
      <c r="N25" s="5">
        <v>2350</v>
      </c>
      <c r="Q25" s="5" t="s">
        <v>576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3" ht="12.75" customHeight="1" x14ac:dyDescent="0.2">
      <c r="A26" s="427" t="str">
        <f>texty!A80</f>
        <v>Objednávacie kódy, ceny:</v>
      </c>
      <c r="B26" s="17"/>
      <c r="D26" s="17"/>
      <c r="E26" s="17"/>
      <c r="F26" s="17"/>
      <c r="G26" s="374">
        <f>profil!C15</f>
        <v>0</v>
      </c>
      <c r="H26" s="440" t="s">
        <v>57</v>
      </c>
      <c r="L26" s="5" t="str">
        <f>CONCATENATE(N26,"-",$P$7)</f>
        <v>3000-0</v>
      </c>
      <c r="M26" s="6" t="e">
        <f>SUM(V21:V32)</f>
        <v>#DIV/0!</v>
      </c>
      <c r="N26" s="5">
        <v>3000</v>
      </c>
      <c r="O26" s="160"/>
      <c r="Q26" s="5" t="s">
        <v>565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3" ht="12.75" customHeight="1" thickBot="1" x14ac:dyDescent="0.25">
      <c r="A27" s="422"/>
      <c r="B27" s="19" t="s">
        <v>3</v>
      </c>
      <c r="C27" s="20" t="str">
        <f>texty!$A$16</f>
        <v>názov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celkom</v>
      </c>
      <c r="G27" s="20" t="str">
        <f>texty!$A$20</f>
        <v>celkom netto:</v>
      </c>
      <c r="H27" s="24"/>
      <c r="I27" s="20" t="str">
        <f>texty!A29</f>
        <v>Poznámka:</v>
      </c>
      <c r="K27" s="18" t="s">
        <v>775</v>
      </c>
      <c r="L27" s="6"/>
      <c r="M27" s="5">
        <f>COUNT(M24,M25,M26)</f>
        <v>0</v>
      </c>
      <c r="N27" s="160"/>
      <c r="O27" s="160"/>
      <c r="Q27" s="5" t="s">
        <v>566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3" ht="12.75" customHeight="1" thickBot="1" x14ac:dyDescent="0.25">
      <c r="A28" s="422" t="str">
        <f>texty!A81</f>
        <v>Horný profil:</v>
      </c>
      <c r="B28" s="16" t="e">
        <f>+VLOOKUP(K5,data!$C$196:$D$215,2,0)</f>
        <v>#N/A</v>
      </c>
      <c r="C28" s="25" t="e">
        <f>+VLOOKUP(B28,cennik!$A:$G,2,FALSE)</f>
        <v>#N/A</v>
      </c>
      <c r="D28" s="17">
        <v>1</v>
      </c>
      <c r="E28" s="91" t="e">
        <f>+VLOOKUP(B28,cennik!$A:$G,3,FALSE)</f>
        <v>#N/A</v>
      </c>
      <c r="F28" s="91" t="e">
        <f>+E28*D28</f>
        <v>#N/A</v>
      </c>
      <c r="G28" s="92" t="e">
        <f t="shared" ref="G28:G39" si="1">+F28*(100-$G$26)/100</f>
        <v>#N/A</v>
      </c>
      <c r="H28" s="24" t="str">
        <f>cennik!$B$2</f>
        <v>EUR</v>
      </c>
      <c r="I28" s="469" t="str">
        <f>IFERROR(IF((VLOOKUP(B28,cennik!A:L,12,0))="O",texty!$A$250,""),"")</f>
        <v/>
      </c>
      <c r="K28" s="191" t="e">
        <f>IF(D28&gt;0,IF(VLOOKUP(B28,cennik!A:L,12,FALSE)="O",1,""),"")</f>
        <v>#N/A</v>
      </c>
      <c r="L28" s="6"/>
      <c r="M28" s="160"/>
      <c r="N28" s="160"/>
      <c r="O28" s="160"/>
      <c r="Q28" s="5" t="s">
        <v>577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  <c r="W28" s="161"/>
    </row>
    <row r="29" spans="1:23" ht="12.75" customHeight="1" thickBot="1" x14ac:dyDescent="0.25">
      <c r="A29" s="422" t="str">
        <f>texty!A82</f>
        <v>spodný profil:</v>
      </c>
      <c r="B29" s="16" t="e">
        <f>+VLOOKUP(M5,data!$C$4:$D$83,2,0)</f>
        <v>#N/A</v>
      </c>
      <c r="C29" s="25" t="e">
        <f>IF($B$29=data!$D$64,texty!$A$239,+VLOOKUP($B$29,cennik!$A$3:$G$907,2,FALSE))</f>
        <v>#N/A</v>
      </c>
      <c r="D29" s="17">
        <v>1</v>
      </c>
      <c r="E29" s="91" t="e">
        <f>IF(B29=data!$D$73,0,+VLOOKUP(B29,cennik!$A$3:$G$907,3,FALSE))</f>
        <v>#N/A</v>
      </c>
      <c r="F29" s="91" t="e">
        <f>+E29*D29</f>
        <v>#N/A</v>
      </c>
      <c r="G29" s="92" t="e">
        <f t="shared" si="1"/>
        <v>#N/A</v>
      </c>
      <c r="H29" s="24" t="str">
        <f>cennik!$B$2</f>
        <v>EUR</v>
      </c>
      <c r="I29" s="469" t="str">
        <f>IFERROR(IF((VLOOKUP(B29,cennik!A:L,12,0))="O",texty!$A$250,""),"")</f>
        <v/>
      </c>
      <c r="K29" s="191" t="e">
        <f>IF(D29&gt;0,IF(VLOOKUP(B29,cennik!A:L,12,FALSE)="O",1,""),"")</f>
        <v>#N/A</v>
      </c>
      <c r="L29" s="6" t="s">
        <v>567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578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  <c r="W29" s="161"/>
    </row>
    <row r="30" spans="1:23" ht="12.75" customHeight="1" x14ac:dyDescent="0.2">
      <c r="A30" s="422" t="str">
        <f>texty!A83</f>
        <v>krycí profil (maska):</v>
      </c>
      <c r="B30" s="16" t="e">
        <f>+VLOOKUP(M5,data!$C$105:$D$195,2,0)</f>
        <v>#N/A</v>
      </c>
      <c r="C30" s="25" t="e">
        <f>IF($B$30=data!$D$64,texty!$A$239,+VLOOKUP($B$30,cennik!$A$3:$G$907,2,FALSE))</f>
        <v>#N/A</v>
      </c>
      <c r="D30" s="17">
        <v>1</v>
      </c>
      <c r="E30" s="91" t="e">
        <f>IF(B30=data!$D$73,0,+VLOOKUP(B30,cennik!$A$3:$G$907,3,FALSE))</f>
        <v>#N/A</v>
      </c>
      <c r="F30" s="91" t="e">
        <f>+E30*D30</f>
        <v>#N/A</v>
      </c>
      <c r="G30" s="92" t="e">
        <f t="shared" si="1"/>
        <v>#N/A</v>
      </c>
      <c r="H30" s="24" t="str">
        <f>cennik!$B$2</f>
        <v>EUR</v>
      </c>
      <c r="I30" s="469" t="str">
        <f>IFERROR(IF((VLOOKUP(B30,cennik!A:L,12,0))="O",texty!$A$250,""),"")</f>
        <v/>
      </c>
      <c r="K30" s="191" t="e">
        <f>IF(D30&gt;0,IF(VLOOKUP(B30,cennik!A:L,12,FALSE)="O",1,""),"")</f>
        <v>#N/A</v>
      </c>
      <c r="L30" s="6" t="s">
        <v>568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569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3" ht="12.75" customHeight="1" x14ac:dyDescent="0.2">
      <c r="A31" s="422" t="str">
        <f>texty!A84</f>
        <v>horné vozíky (sady)</v>
      </c>
      <c r="B31" s="16">
        <v>89265</v>
      </c>
      <c r="C31" s="25" t="str">
        <f>+VLOOKUP(B31,cennik!$A:$G,2,FALSE)</f>
        <v>SEVROLL 10202 horný vozík 10mm asymetrický L+P</v>
      </c>
      <c r="D31" s="17">
        <f>IF((D49+D50)&gt;D4,0,D4-(D49+D50))</f>
        <v>0</v>
      </c>
      <c r="E31" s="91">
        <f>+VLOOKUP(B31,cennik!$A:$G,3,FALSE)</f>
        <v>5.55023</v>
      </c>
      <c r="F31" s="91">
        <f t="shared" ref="F31:F39" si="2">+E31*D31</f>
        <v>0</v>
      </c>
      <c r="G31" s="92">
        <f t="shared" si="1"/>
        <v>0</v>
      </c>
      <c r="H31" s="24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579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3" ht="12.75" customHeight="1" x14ac:dyDescent="0.2">
      <c r="A32" s="422" t="str">
        <f>texty!A85</f>
        <v>spodné vozíky (sada)</v>
      </c>
      <c r="B32" s="16">
        <f>IF(F4=M64,328321,229441)</f>
        <v>229441</v>
      </c>
      <c r="C32" s="25" t="str">
        <f>+VLOOKUP(B32,cennik!$A:$G,2,FALSE)</f>
        <v>SEVROLL 10200 spodný vozík WD 10C HI-TEC - 2ks</v>
      </c>
      <c r="D32" s="17">
        <f>+D4</f>
        <v>0</v>
      </c>
      <c r="E32" s="91">
        <f>+VLOOKUP(B32,cennik!$A:$G,3,FALSE)</f>
        <v>6.5952500000000001</v>
      </c>
      <c r="F32" s="91">
        <f t="shared" si="2"/>
        <v>0</v>
      </c>
      <c r="G32" s="92">
        <f t="shared" si="1"/>
        <v>0</v>
      </c>
      <c r="H32" s="24" t="str">
        <f>cennik!$B$2</f>
        <v>EUR</v>
      </c>
      <c r="I32" s="469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570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6" ht="12.75" customHeight="1" x14ac:dyDescent="0.2">
      <c r="A33" s="422" t="str">
        <f>texty!A89</f>
        <v>dorazový kartáč</v>
      </c>
      <c r="B33" s="16">
        <v>98067</v>
      </c>
      <c r="C33" s="25" t="str">
        <f>+VLOOKUP(B33,cennik!$A:$G,2,FALSE)</f>
        <v>SEVROLL dorazová kefa zásuvná 14x4mm sivá</v>
      </c>
      <c r="D33" s="17">
        <f>CEILING((B4*D4*2/1000),1)</f>
        <v>0</v>
      </c>
      <c r="E33" s="91">
        <f>+VLOOKUP(B33,cennik!$A:$G,3,FALSE)</f>
        <v>0.19361999999999999</v>
      </c>
      <c r="F33" s="91">
        <f t="shared" si="2"/>
        <v>0</v>
      </c>
      <c r="G33" s="92">
        <f t="shared" si="1"/>
        <v>0</v>
      </c>
      <c r="H33" s="24" t="str">
        <f>cennik!$B$2</f>
        <v>EUR</v>
      </c>
      <c r="I33" s="469" t="str">
        <f>IFERROR(IF((VLOOKUP(B33,cennik!A:L,12,0))="O",texty!$A$250,""),"")</f>
        <v/>
      </c>
      <c r="K33" s="191" t="str">
        <f>IF(D33&gt;0,IF(VLOOKUP(B33,cennik!A:L,12,FALSE)="O",1,""),"")</f>
        <v/>
      </c>
    </row>
    <row r="34" spans="1:16" ht="12.75" customHeight="1" x14ac:dyDescent="0.2">
      <c r="A34" s="422" t="str">
        <f>texty!A91</f>
        <v>úchytková lišta</v>
      </c>
      <c r="B34" s="16" t="e">
        <f>+VLOOKUP(P7,data!$C$300:$D$302,2,0)</f>
        <v>#N/A</v>
      </c>
      <c r="C34" s="25" t="e">
        <f>+VLOOKUP(B34,cennik!$A:$G,2,FALSE)</f>
        <v>#N/A</v>
      </c>
      <c r="D34" s="17">
        <f>IF(B12&lt;=1347,D4*2/2,D4*2)</f>
        <v>0</v>
      </c>
      <c r="E34" s="91" t="e">
        <f>+VLOOKUP(B34,cennik!$A:$G,3,FALSE)</f>
        <v>#N/A</v>
      </c>
      <c r="F34" s="91" t="e">
        <f t="shared" si="2"/>
        <v>#N/A</v>
      </c>
      <c r="G34" s="92" t="e">
        <f t="shared" si="1"/>
        <v>#N/A</v>
      </c>
      <c r="H34" s="24" t="str">
        <f>cennik!$B$2</f>
        <v>EUR</v>
      </c>
      <c r="I34" s="469" t="str">
        <f>IFERROR(IF((VLOOKUP(B34,cennik!A:L,12,0))="O",texty!$A$250,""),"")</f>
        <v/>
      </c>
      <c r="K34" s="191" t="str">
        <f>IF(D34&gt;0,IF(VLOOKUP(B34,cennik!A:L,12,FALSE)="O",1,""),"")</f>
        <v/>
      </c>
    </row>
    <row r="35" spans="1:16" ht="12.75" customHeight="1" x14ac:dyDescent="0.2">
      <c r="A35" s="422" t="str">
        <f>texty!A92</f>
        <v>spojovacia skrutka</v>
      </c>
      <c r="B35" s="16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 t="shared" si="2"/>
        <v>0</v>
      </c>
      <c r="G35" s="92">
        <f t="shared" si="1"/>
        <v>0</v>
      </c>
      <c r="H35" s="24" t="str">
        <f>cennik!$B$2</f>
        <v>EUR</v>
      </c>
      <c r="I35" s="469" t="str">
        <f>IFERROR(IF((VLOOKUP(B35,cennik!A:L,12,0))="O",texty!$A$250,""),"")</f>
        <v/>
      </c>
      <c r="K35" s="191" t="str">
        <f>IF(D35&gt;0,IF(VLOOKUP(B35,cennik!A:L,12,FALSE)="O",1,""),"")</f>
        <v/>
      </c>
    </row>
    <row r="36" spans="1:16" ht="12.75" customHeight="1" x14ac:dyDescent="0.2">
      <c r="A36" s="422" t="str">
        <f>texty!A93</f>
        <v>horný profil rámu (vodiaca lišta)</v>
      </c>
      <c r="B36" s="16" t="e">
        <f>VLOOKUP(M29,data!C305:D322,2,0)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24" t="str">
        <f>cennik!$B$2</f>
        <v>EUR</v>
      </c>
      <c r="I36" s="469" t="str">
        <f>IFERROR(IF((VLOOKUP(B36,cennik!A:L,12,0))="O",texty!$A$250,""),"")</f>
        <v/>
      </c>
      <c r="K36" s="191" t="e">
        <f>IF(D36&gt;0,IF(VLOOKUP(B36,cennik!A:L,12,FALSE)="O",1,""),"")</f>
        <v>#DIV/0!</v>
      </c>
    </row>
    <row r="37" spans="1:16" ht="12.75" customHeight="1" x14ac:dyDescent="0.2">
      <c r="A37" s="422" t="str">
        <f>texty!A94</f>
        <v>horný profil rámu (vodiaca lišta)</v>
      </c>
      <c r="B37" s="24" t="e">
        <f>IF(M30="jiné","",VLOOKUP(M30,data!C305:D322,2,0))</f>
        <v>#DIV/0!</v>
      </c>
      <c r="C37" s="446" t="e">
        <f>IF(M30="jiné",texty!$A$2,+VLOOKUP(B37,cennik!$A:$G,2,FALSE))</f>
        <v>#DIV/0!</v>
      </c>
      <c r="D37" s="64" t="e">
        <f>N30</f>
        <v>#DIV/0!</v>
      </c>
      <c r="E37" s="447" t="e">
        <f>IF(M30&lt;&gt;"jiné",IF(N26="jiné",0,+VLOOKUP(B37,cennik!$A:$G,3,FALSE)),0)</f>
        <v>#DIV/0!</v>
      </c>
      <c r="F37" s="91" t="e">
        <f t="shared" si="2"/>
        <v>#DIV/0!</v>
      </c>
      <c r="G37" s="92" t="e">
        <f t="shared" si="1"/>
        <v>#DIV/0!</v>
      </c>
      <c r="H37" s="24" t="str">
        <f>cennik!$B$2</f>
        <v>EUR</v>
      </c>
      <c r="I37" s="469" t="str">
        <f>IFERROR(IF((VLOOKUP(B37,cennik!A:L,12,0))="O",texty!$A$250,""),"")</f>
        <v/>
      </c>
      <c r="K37" s="191" t="e">
        <f>IF(D37&gt;0,IF(VLOOKUP(B37,cennik!A:L,12,FALSE)="O",1,""),"")</f>
        <v>#DIV/0!</v>
      </c>
    </row>
    <row r="38" spans="1:16" ht="12.75" customHeight="1" x14ac:dyDescent="0.2">
      <c r="A38" s="422" t="str">
        <f>texty!A95</f>
        <v>horizontálny spodný profil rámu</v>
      </c>
      <c r="B38" s="16" t="e">
        <f>VLOOKUP(M29,data!C370:D384,2,0)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24" t="str">
        <f>cennik!$B$2</f>
        <v>EUR</v>
      </c>
      <c r="I38" s="469" t="str">
        <f>IFERROR(IF((VLOOKUP(B38,cennik!A:L,12,0))="O",texty!$A$250,""),"")</f>
        <v/>
      </c>
      <c r="K38" s="191" t="e">
        <f>IF(D38&gt;0,IF(VLOOKUP(B38,cennik!A:L,12,FALSE)="O",1,""),"")</f>
        <v>#DIV/0!</v>
      </c>
    </row>
    <row r="39" spans="1:16" ht="12.75" customHeight="1" x14ac:dyDescent="0.2">
      <c r="A39" s="422" t="str">
        <f>texty!A96</f>
        <v>horizontálny spodný profil rámu</v>
      </c>
      <c r="B39" s="24" t="e">
        <f>IF(M30="jiné","",VLOOKUP(M30,data!C370:D384,2,0))</f>
        <v>#DIV/0!</v>
      </c>
      <c r="C39" s="25" t="e">
        <f>IF(M30="jiné",texty!$A$2,VLOOKUP(B39,cennik!$A:$G,2,FALSE))</f>
        <v>#DIV/0!</v>
      </c>
      <c r="D39" s="64" t="e">
        <f>N30</f>
        <v>#DIV/0!</v>
      </c>
      <c r="E39" s="447" t="e">
        <f>IF(M30&lt;&gt;"jiné",IF(N26="jiné",0,+VLOOKUP(B39,cennik!$A:$G,3,FALSE)),0)</f>
        <v>#DIV/0!</v>
      </c>
      <c r="F39" s="91" t="e">
        <f t="shared" si="2"/>
        <v>#DIV/0!</v>
      </c>
      <c r="G39" s="92" t="e">
        <f t="shared" si="1"/>
        <v>#DIV/0!</v>
      </c>
      <c r="H39" s="24" t="str">
        <f>cennik!$B$2</f>
        <v>EUR</v>
      </c>
      <c r="I39" s="469" t="str">
        <f>IFERROR(IF((VLOOKUP(B39,cennik!A:L,12,0))="O",texty!$A$250,""),"")</f>
        <v/>
      </c>
      <c r="K39" s="191" t="e">
        <f>IF(D39&gt;0,IF(VLOOKUP(B39,cennik!A:L,12,FALSE)="O",1,""),"")</f>
        <v>#DIV/0!</v>
      </c>
    </row>
    <row r="40" spans="1:16" ht="12.75" customHeight="1" x14ac:dyDescent="0.2">
      <c r="E40" s="361"/>
      <c r="F40" s="361"/>
      <c r="G40" s="361"/>
      <c r="H40" s="24"/>
      <c r="I40" s="469" t="str">
        <f>IFERROR(IF((VLOOKUP(B40,cennik!A:L,12,0))="O",texty!$A$250,""),"")</f>
        <v/>
      </c>
      <c r="K40" s="191"/>
    </row>
    <row r="41" spans="1:16" ht="12.75" customHeight="1" x14ac:dyDescent="0.2">
      <c r="A41" s="427" t="str">
        <f>texty!$A$66</f>
        <v>Voliteľné príslušenstvo:</v>
      </c>
      <c r="B41" s="16"/>
      <c r="D41" s="448" t="str">
        <f>texty!A33</f>
        <v>zadajte počet:</v>
      </c>
      <c r="E41" s="91"/>
      <c r="F41" s="91"/>
      <c r="G41" s="361"/>
      <c r="H41" s="24"/>
      <c r="I41" s="469" t="str">
        <f>IFERROR(IF((VLOOKUP(B41,cennik!A:L,12,0))="O",texty!$A$250,""),"")</f>
        <v/>
      </c>
      <c r="K41" s="191"/>
    </row>
    <row r="42" spans="1:16" ht="12.75" customHeight="1" x14ac:dyDescent="0.2">
      <c r="A42" s="422" t="str">
        <f>texty!A88</f>
        <v>pozicionér do horného vedenia</v>
      </c>
      <c r="B42" s="16">
        <v>298035</v>
      </c>
      <c r="C42" s="25" t="str">
        <f>+VLOOKUP(B42,cennik!$A:$G,2,FALSE)</f>
        <v>SEVROLL 20326 Fix pozicionér pre horný vozík transparentný</v>
      </c>
      <c r="D42" s="373"/>
      <c r="E42" s="91">
        <f>+VLOOKUP(B42,cennik!$A:$G,3,FALSE)</f>
        <v>1.0837300000000001</v>
      </c>
      <c r="F42" s="91">
        <f>+E42*D42</f>
        <v>0</v>
      </c>
      <c r="G42" s="92">
        <f>+F42*(100-$G$26)/100</f>
        <v>0</v>
      </c>
      <c r="H42" s="24" t="str">
        <f>cennik!$B$2</f>
        <v>EUR</v>
      </c>
      <c r="I42" s="469" t="str">
        <f>IFERROR(IF((VLOOKUP(B42,cennik!A:L,12,0))="O",texty!$A$250,""),"")</f>
        <v/>
      </c>
      <c r="K42" s="191"/>
    </row>
    <row r="43" spans="1:16" ht="12.75" customHeight="1" x14ac:dyDescent="0.2">
      <c r="A43" s="422" t="str">
        <f>texty!A86</f>
        <v xml:space="preserve">pozicionér </v>
      </c>
      <c r="B43" s="16">
        <f>IF(F4="Gemini",387424,89063)</f>
        <v>89063</v>
      </c>
      <c r="C43" s="25" t="str">
        <f>+VLOOKUP(B43,cennik!$A:$G,2,FALSE)</f>
        <v>SEVROLL 20080 pozicionér spodného vozíka HI-TEC</v>
      </c>
      <c r="D43" s="373"/>
      <c r="E43" s="91">
        <f>+VLOOKUP(B43,cennik!$A:$G,3,FALSE)</f>
        <v>0.30964000000000003</v>
      </c>
      <c r="F43" s="91">
        <f>+E43*D43</f>
        <v>0</v>
      </c>
      <c r="G43" s="92">
        <f>+F43*(100-$G$26)/100</f>
        <v>0</v>
      </c>
      <c r="H43" s="24" t="str">
        <f>cennik!$B$2</f>
        <v>EUR</v>
      </c>
      <c r="I43" s="469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  <c r="N43" s="160"/>
      <c r="P43" s="160"/>
    </row>
    <row r="44" spans="1:16" ht="12.75" customHeight="1" x14ac:dyDescent="0.2">
      <c r="A44" s="422" t="str">
        <f>texty!$A$228</f>
        <v> Tlmič dorazu MINI do 25 kg (pár)</v>
      </c>
      <c r="B44" s="16">
        <v>318662</v>
      </c>
      <c r="C44" s="25" t="str">
        <f>+VLOOKUP(B44,cennik!$A:$G,2,FALSE)</f>
        <v>SEVROLL 20368-SV tlmič dorazu Mini SV25 (14-25kg)</v>
      </c>
      <c r="D44" s="373"/>
      <c r="E44" s="91">
        <f>+VLOOKUP(B44,cennik!$A:$G,3,FALSE)</f>
        <v>22.75825</v>
      </c>
      <c r="F44" s="96">
        <f>+CEILING(D44,1)*E44</f>
        <v>0</v>
      </c>
      <c r="G44" s="92">
        <f t="shared" ref="G44:G55" si="3">+F44*(100-$G$26)/100</f>
        <v>0</v>
      </c>
      <c r="H44" s="24" t="str">
        <f>cennik!$B$2</f>
        <v>EUR</v>
      </c>
      <c r="I44" s="469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  <c r="N44" s="160"/>
      <c r="P44" s="160"/>
    </row>
    <row r="45" spans="1:16" ht="12.75" customHeight="1" x14ac:dyDescent="0.2">
      <c r="A45" s="422" t="str">
        <f>texty!$A$229</f>
        <v> Tlmič dorazu MINI do 40 kg (pár)</v>
      </c>
      <c r="B45" s="24">
        <v>283956</v>
      </c>
      <c r="C45" s="25" t="str">
        <f>+VLOOKUP(B45,cennik!$A:$G,2,FALSE)</f>
        <v>SEVROLL 20258-SV tlmič dorazu Mini SV40 (25 - 40kg)</v>
      </c>
      <c r="D45" s="373"/>
      <c r="E45" s="91">
        <f>+VLOOKUP(B45,cennik!$A:$G,3,FALSE)</f>
        <v>22.75825</v>
      </c>
      <c r="F45" s="96">
        <f>+CEILING(D45,1)*E45</f>
        <v>0</v>
      </c>
      <c r="G45" s="92">
        <f t="shared" si="3"/>
        <v>0</v>
      </c>
      <c r="H45" s="24" t="str">
        <f>cennik!$B$2</f>
        <v>EUR</v>
      </c>
      <c r="I45" s="469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6" ht="12.75" customHeight="1" x14ac:dyDescent="0.2">
      <c r="A46" s="422" t="str">
        <f>texty!$A$230</f>
        <v> Tlmič dorazu MINI do 60 kg (pár)</v>
      </c>
      <c r="B46" s="24">
        <v>351743</v>
      </c>
      <c r="C46" s="25" t="str">
        <f>+VLOOKUP(B46,cennik!$A:$G,2,FALSE)</f>
        <v>SEVROLL 20339-SV tlmič dorazu Mini SV60 (40 - 60kg)</v>
      </c>
      <c r="D46" s="373"/>
      <c r="E46" s="91">
        <f>+VLOOKUP(B46,cennik!$A:$G,3,FALSE)</f>
        <v>22.75825</v>
      </c>
      <c r="F46" s="96">
        <f>+CEILING(D46,1)*E46</f>
        <v>0</v>
      </c>
      <c r="G46" s="92">
        <f t="shared" si="3"/>
        <v>0</v>
      </c>
      <c r="H46" s="24" t="str">
        <f>cennik!$B$2</f>
        <v>EUR</v>
      </c>
      <c r="I46" s="469" t="str">
        <f>IFERROR(IF((VLOOKUP(B46,cennik!A:L,12,0))="O",texty!$A$250,""),"")</f>
        <v/>
      </c>
      <c r="K46" s="191" t="str">
        <f>IF(D46&gt;0,IF(VLOOKUP(B46,cennik!A:L,12,FALSE)="O",1,""),"")</f>
        <v/>
      </c>
    </row>
    <row r="47" spans="1:16" ht="12.75" customHeight="1" x14ac:dyDescent="0.2">
      <c r="A47" s="422" t="str">
        <f>texty!$A$231</f>
        <v> Tlmič pre stredné krídlo do 25 kg</v>
      </c>
      <c r="B47" s="24">
        <v>318663</v>
      </c>
      <c r="C47" s="25" t="str">
        <f>+VLOOKUP(B47,cennik!$A:$G,2,FALSE)</f>
        <v>SEVROLL 20363-SV tlmič Central 10/18mm obojstranný 25kg</v>
      </c>
      <c r="D47" s="373"/>
      <c r="E47" s="91">
        <f>+VLOOKUP(B47,cennik!$A:$G,3,FALSE)</f>
        <v>48.741869999999999</v>
      </c>
      <c r="F47" s="96">
        <f>+CEILING(D47,1)*E47</f>
        <v>0</v>
      </c>
      <c r="G47" s="92">
        <f t="shared" si="3"/>
        <v>0</v>
      </c>
      <c r="H47" s="24" t="str">
        <f>cennik!$B$2</f>
        <v>EUR</v>
      </c>
      <c r="I47" s="469" t="str">
        <f>IFERROR(IF((VLOOKUP(B47,cennik!A:L,12,0))="O",texty!$A$250,""),"")</f>
        <v/>
      </c>
      <c r="K47" s="191" t="str">
        <f>IF(D47&gt;0,IF(VLOOKUP(B47,cennik!A:L,12,FALSE)="O",1,""),"")</f>
        <v/>
      </c>
    </row>
    <row r="48" spans="1:16" ht="12.75" customHeight="1" x14ac:dyDescent="0.2">
      <c r="A48" s="422" t="str">
        <f>texty!$A$232</f>
        <v> Tlmič pre stredné krídlo do 40 kg</v>
      </c>
      <c r="B48" s="24">
        <v>283955</v>
      </c>
      <c r="C48" s="25" t="str">
        <f>+VLOOKUP(B48,cennik!$A:$G,2,FALSE)</f>
        <v>SEVROLL 20319-SV tlmič Central 10/18mm obojstranný 25-40kg</v>
      </c>
      <c r="D48" s="373"/>
      <c r="E48" s="91">
        <f>+VLOOKUP(B48,cennik!$A:$G,3,FALSE)</f>
        <v>48.741869999999999</v>
      </c>
      <c r="F48" s="96">
        <f>+CEILING(D48,1)*E48</f>
        <v>0</v>
      </c>
      <c r="G48" s="92">
        <f t="shared" si="3"/>
        <v>0</v>
      </c>
      <c r="H48" s="24" t="str">
        <f>cennik!$B$2</f>
        <v>EUR</v>
      </c>
      <c r="I48" s="469" t="str">
        <f>IFERROR(IF((VLOOKUP(B48,cennik!A:L,12,0))="O",texty!$A$250,""),"")</f>
        <v/>
      </c>
      <c r="K48" s="191" t="str">
        <f>IF(D48&gt;0,IF(VLOOKUP(B48,cennik!A:L,12,FALSE)="O",1,""),"")</f>
        <v/>
      </c>
    </row>
    <row r="49" spans="1:13" ht="12.75" customHeight="1" x14ac:dyDescent="0.2">
      <c r="A49" s="422" t="str">
        <f>texty!A97</f>
        <v>tlmič dorazu (pár) 25 kg</v>
      </c>
      <c r="B49" s="24">
        <v>227185</v>
      </c>
      <c r="C49" s="25" t="str">
        <f>+VLOOKUP(B49,cennik!$A:$G,2,FALSE)</f>
        <v>K-SEVROLL tlmič dorazu 10/18mm 14-25kg L+P</v>
      </c>
      <c r="D49" s="373"/>
      <c r="E49" s="91">
        <f>+VLOOKUP(B49,cennik!$A:$G,3,FALSE)</f>
        <v>0</v>
      </c>
      <c r="F49" s="91">
        <f t="shared" ref="F49:F55" si="4">+E49*D49</f>
        <v>0</v>
      </c>
      <c r="G49" s="92">
        <f t="shared" si="3"/>
        <v>0</v>
      </c>
      <c r="H49" s="24" t="str">
        <f>cennik!$B$2</f>
        <v>EUR</v>
      </c>
      <c r="I49" s="469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3" ht="12.75" customHeight="1" x14ac:dyDescent="0.2">
      <c r="A50" s="422" t="str">
        <f>texty!A98</f>
        <v>tlmič dorazu (pár) 50 kg</v>
      </c>
      <c r="B50" s="24">
        <v>227187</v>
      </c>
      <c r="C50" s="25" t="str">
        <f>+VLOOKUP(B50,cennik!$A:$G,2,FALSE)</f>
        <v>K-SEVROLL tlmič dorazu 10/18mm 25-50kg L+P</v>
      </c>
      <c r="D50" s="373"/>
      <c r="E50" s="91">
        <f>+VLOOKUP(B50,cennik!$A:$G,3,FALSE)</f>
        <v>0</v>
      </c>
      <c r="F50" s="91">
        <f t="shared" si="4"/>
        <v>0</v>
      </c>
      <c r="G50" s="92">
        <f t="shared" si="3"/>
        <v>0</v>
      </c>
      <c r="H50" s="24" t="str">
        <f>cennik!$B$2</f>
        <v>EUR</v>
      </c>
      <c r="I50" s="469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3" ht="12.75" customHeight="1" x14ac:dyDescent="0.2">
      <c r="A51" s="422" t="str">
        <f>texty!A100</f>
        <v>spojovací profil H10-3metre</v>
      </c>
      <c r="B51" s="16" t="e">
        <f>+VLOOKUP(P7,data!C457:D459,2,0)</f>
        <v>#N/A</v>
      </c>
      <c r="C51" s="25" t="e">
        <f>+VLOOKUP(B51,cennik!$A:$G,2,FALSE)</f>
        <v>#N/A</v>
      </c>
      <c r="D51" s="459"/>
      <c r="E51" s="91" t="e">
        <f>+VLOOKUP(B51,cennik!$A:$G,3,FALSE)</f>
        <v>#N/A</v>
      </c>
      <c r="F51" s="91" t="e">
        <f t="shared" si="4"/>
        <v>#N/A</v>
      </c>
      <c r="G51" s="92" t="e">
        <f t="shared" si="3"/>
        <v>#N/A</v>
      </c>
      <c r="H51" s="24" t="str">
        <f>cennik!$B$2</f>
        <v>EUR</v>
      </c>
      <c r="I51" s="469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3" ht="12.75" customHeight="1" x14ac:dyDescent="0.2">
      <c r="A52" s="422" t="str">
        <f>texty!A101</f>
        <v>spojovací profil H30-3metre</v>
      </c>
      <c r="B52" s="17" t="e">
        <f>+VLOOKUP(P7,data!C468:D470,2,0)</f>
        <v>#N/A</v>
      </c>
      <c r="C52" s="25" t="e">
        <f>IF($B$52=data!$D$64,texty!$A$239,+VLOOKUP($B$52,cennik!$A$3:$G$907,2,FALSE))</f>
        <v>#N/A</v>
      </c>
      <c r="D52" s="459"/>
      <c r="E52" s="91" t="e">
        <f>IF(B52=data!$D$73,0,+VLOOKUP(B52,cennik!$A$3:$G$907,3,FALSE))</f>
        <v>#N/A</v>
      </c>
      <c r="F52" s="91" t="e">
        <f t="shared" si="4"/>
        <v>#N/A</v>
      </c>
      <c r="G52" s="92" t="e">
        <f>+F52*(100-$G$26)/100</f>
        <v>#N/A</v>
      </c>
      <c r="H52" s="24" t="str">
        <f>cennik!$B$2</f>
        <v>EUR</v>
      </c>
      <c r="I52" s="469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3" ht="12.75" customHeight="1" x14ac:dyDescent="0.2">
      <c r="A53" s="422" t="str">
        <f>texty!A92</f>
        <v>spojovacia skrutka</v>
      </c>
      <c r="B53" s="16">
        <v>89244</v>
      </c>
      <c r="C53" s="25" t="str">
        <f>+VLOOKUP(B53,cennik!$A:$G,2,FALSE)</f>
        <v>SEVROLL 20001 skrutkovrut 6,3x32 SEVROLL a Simple</v>
      </c>
      <c r="D53" s="459"/>
      <c r="E53" s="91">
        <f>+VLOOKUP(B53,cennik!$A:$G,3,FALSE)</f>
        <v>0.15482000000000001</v>
      </c>
      <c r="F53" s="91">
        <f t="shared" si="4"/>
        <v>0</v>
      </c>
      <c r="G53" s="92">
        <f>+F53*(100-$G$26)/100</f>
        <v>0</v>
      </c>
      <c r="H53" s="24" t="str">
        <f>cennik!$B$2</f>
        <v>EUR</v>
      </c>
      <c r="I53" s="469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3" ht="12.75" customHeight="1" x14ac:dyDescent="0.2">
      <c r="A54" s="422" t="str">
        <f>texty!A240</f>
        <v>zámok posuvných dverí</v>
      </c>
      <c r="B54" s="17">
        <v>216363</v>
      </c>
      <c r="C54" s="25" t="str">
        <f>+VLOOKUP(B54,cennik!$A:$G,2,FALSE)</f>
        <v>SEVROLL 20356 zámok na posuvné dvere 10/18mm</v>
      </c>
      <c r="D54" s="459"/>
      <c r="E54" s="91">
        <f>+VLOOKUP(B54,cennik!$A:$G,3,FALSE)</f>
        <v>15.72176</v>
      </c>
      <c r="F54" s="91">
        <f t="shared" si="4"/>
        <v>0</v>
      </c>
      <c r="G54" s="92">
        <f t="shared" si="3"/>
        <v>0</v>
      </c>
      <c r="H54" s="24" t="str">
        <f>cennik!$B$2</f>
        <v>EUR</v>
      </c>
      <c r="I54" s="469" t="str">
        <f>IFERROR(IF((VLOOKUP(B54,cennik!A:L,12,0))="O",texty!$A$250,""),"")</f>
        <v/>
      </c>
      <c r="K54" s="191" t="str">
        <f>IF(D54&gt;0,IF(VLOOKUP(B54,cennik!A:L,12,FALSE)="O",1,""),"")</f>
        <v/>
      </c>
    </row>
    <row r="55" spans="1:13" ht="12.75" customHeight="1" x14ac:dyDescent="0.2">
      <c r="A55" s="422" t="str">
        <f>texty!A90</f>
        <v>protiprachový kartáč</v>
      </c>
      <c r="B55" s="17">
        <v>95946</v>
      </c>
      <c r="C55" s="25" t="str">
        <f>+VLOOKUP(B55,cennik!$A:$G,2,FALSE)</f>
        <v>SEVROLL protiprach.kartáč zásuvný 4,8x13mm</v>
      </c>
      <c r="D55" s="459"/>
      <c r="E55" s="91">
        <f>+VLOOKUP(B55,cennik!$A:$G,3,FALSE)</f>
        <v>0.18106</v>
      </c>
      <c r="F55" s="91">
        <f t="shared" si="4"/>
        <v>0</v>
      </c>
      <c r="G55" s="92">
        <f t="shared" si="3"/>
        <v>0</v>
      </c>
      <c r="H55" s="24" t="str">
        <f>cennik!$B$2</f>
        <v>EUR</v>
      </c>
      <c r="I55" s="469" t="str">
        <f>IFERROR(IF((VLOOKUP(B55,cennik!A:L,12,0))="O",texty!$A$250,""),"")</f>
        <v/>
      </c>
      <c r="K55" s="191" t="str">
        <f>IF(D55&gt;0,IF(VLOOKUP(B55,cennik!A:L,12,FALSE)="O",1,""),"")</f>
        <v/>
      </c>
    </row>
    <row r="56" spans="1:13" ht="12.75" customHeight="1" x14ac:dyDescent="0.2">
      <c r="A56" s="429" t="e">
        <f>CONCATENATE(texty!$A$6,ROUND((C13/1000),1),texty!$A$8)</f>
        <v>#DIV/0!</v>
      </c>
      <c r="B56" s="42"/>
      <c r="C56" s="43"/>
      <c r="D56" s="42"/>
      <c r="E56" s="97"/>
      <c r="F56" s="97"/>
      <c r="G56" s="97"/>
      <c r="H56" s="361"/>
      <c r="I56" s="469" t="str">
        <f>IFERROR(IF((VLOOKUP(B56,cennik!A:L,12,0))="O",texty!$A$250,""),"")</f>
        <v/>
      </c>
      <c r="K56" s="191"/>
    </row>
    <row r="57" spans="1:13" ht="12.75" customHeight="1" x14ac:dyDescent="0.2">
      <c r="C57" s="449" t="str">
        <f>texty!$A$10</f>
        <v>Potrebná dĺžka tesnenia pri celkovom presklení (nutné objednať celé metre)</v>
      </c>
      <c r="D57" s="439" t="e">
        <f>CEILING(((B9+C9)*2/1000*D4),1)</f>
        <v>#DIV/0!</v>
      </c>
      <c r="E57" s="361"/>
      <c r="F57" s="361"/>
      <c r="G57" s="361"/>
      <c r="H57" s="361"/>
      <c r="I57" s="469" t="str">
        <f>IFERROR(IF((VLOOKUP(B57,cennik!A:L,12,0))="O",texty!$A$250,""),"")</f>
        <v/>
      </c>
      <c r="K57" s="191"/>
      <c r="L57" s="3" t="s">
        <v>14</v>
      </c>
    </row>
    <row r="58" spans="1:13" ht="12.75" customHeight="1" x14ac:dyDescent="0.2">
      <c r="A58" s="450" t="str">
        <f>texty!$A$12</f>
        <v>(pri kombináciach s H profilmi je nutné pripočítať potrebnú dĺžku - tesnenie musí byť po celom odvode každého skla</v>
      </c>
      <c r="B58" s="451"/>
      <c r="C58" s="452"/>
      <c r="D58" s="451"/>
      <c r="E58" s="441"/>
      <c r="F58" s="441"/>
      <c r="G58" s="441"/>
      <c r="H58" s="361"/>
      <c r="I58" s="469" t="str">
        <f>IFERROR(IF((VLOOKUP(B58,cennik!A:L,12,0))="O",texty!$A$250,""),"")</f>
        <v/>
      </c>
      <c r="K58" s="191"/>
      <c r="L58" s="3"/>
    </row>
    <row r="59" spans="1:13" ht="12.75" customHeight="1" x14ac:dyDescent="0.2">
      <c r="A59" s="422" t="str">
        <f>texty!A102</f>
        <v>tesnenie na sklo 4mm</v>
      </c>
      <c r="B59" s="17">
        <v>89238</v>
      </c>
      <c r="C59" s="25" t="str">
        <f>+VLOOKUP(B59,cennik!$A:$G,2,FALSE)</f>
        <v>SEVROLL 20031-SV tesnenie na sklo 10/4mm</v>
      </c>
      <c r="D59" s="460"/>
      <c r="E59" s="91">
        <f>+VLOOKUP(B59,cennik!$A:$G,3,FALSE)</f>
        <v>0.79988999999999999</v>
      </c>
      <c r="F59" s="96">
        <f>+CEILING(D59,1)*E59</f>
        <v>0</v>
      </c>
      <c r="G59" s="92">
        <f>+F59*(100-$G$26)/100</f>
        <v>0</v>
      </c>
      <c r="H59" s="24" t="str">
        <f>cennik!$B$2</f>
        <v>EUR</v>
      </c>
      <c r="I59" s="469" t="str">
        <f>IFERROR(IF((VLOOKUP(B59,cennik!A:L,12,0))="O",texty!$A$250,""),"")</f>
        <v/>
      </c>
      <c r="K59" s="191" t="str">
        <f>IF(D59&gt;0,IF(VLOOKUP(B59,cennik!A:L,12,FALSE)="O",1,""),"")</f>
        <v/>
      </c>
      <c r="L59" s="3" t="s">
        <v>14</v>
      </c>
    </row>
    <row r="60" spans="1:13" ht="12.75" customHeight="1" x14ac:dyDescent="0.2">
      <c r="A60" s="422" t="str">
        <f>texty!A103</f>
        <v>tesnenie na sklo 4,5 mm</v>
      </c>
      <c r="B60" s="17">
        <v>135164</v>
      </c>
      <c r="C60" s="25" t="str">
        <f>+VLOOKUP(B60,cennik!$A:$G,2,FALSE)</f>
        <v>SEVROLL 20032-SV tesnenie na sklo 10/4,5mm</v>
      </c>
      <c r="D60" s="460"/>
      <c r="E60" s="91">
        <f>+VLOOKUP(B60,cennik!$A:$G,3,FALSE)</f>
        <v>0.79988999999999999</v>
      </c>
      <c r="F60" s="96">
        <f>+CEILING(D60,1)*E60</f>
        <v>0</v>
      </c>
      <c r="G60" s="92">
        <f>+F60*(100-$G$26)/100</f>
        <v>0</v>
      </c>
      <c r="H60" s="24" t="str">
        <f>cennik!$B$2</f>
        <v>EUR</v>
      </c>
      <c r="I60" s="469" t="str">
        <f>IFERROR(IF((VLOOKUP(B60,cennik!A:L,12,0))="O",texty!$A$250,""),"")</f>
        <v/>
      </c>
      <c r="K60" s="191" t="str">
        <f>IF(D60&gt;0,IF(VLOOKUP(B60,cennik!A:L,12,FALSE)="O",1,""),"")</f>
        <v/>
      </c>
    </row>
    <row r="61" spans="1:13" ht="12.75" customHeight="1" x14ac:dyDescent="0.2">
      <c r="A61" s="422" t="str">
        <f>texty!A104</f>
        <v>tesnenie na sklo 6mm</v>
      </c>
      <c r="B61" s="17">
        <v>89243</v>
      </c>
      <c r="C61" s="25" t="str">
        <f>+VLOOKUP(B61,cennik!$A:$G,2,FALSE)</f>
        <v>SEVROLL 20033-SV tesnenie na sklo 10/6mm</v>
      </c>
      <c r="D61" s="460"/>
      <c r="E61" s="91">
        <f>+VLOOKUP(B61,cennik!$A:$G,3,FALSE)</f>
        <v>0.79988999999999999</v>
      </c>
      <c r="F61" s="96">
        <f>+CEILING(D61,1)*E61</f>
        <v>0</v>
      </c>
      <c r="G61" s="92">
        <f>+F61*(100-$G$26)/100</f>
        <v>0</v>
      </c>
      <c r="H61" s="24" t="str">
        <f>cennik!$B$2</f>
        <v>EUR</v>
      </c>
      <c r="I61" s="469" t="str">
        <f>IFERROR(IF((VLOOKUP(B61,cennik!A:L,12,0))="O",texty!$A$250,""),"")</f>
        <v/>
      </c>
      <c r="K61" s="191" t="str">
        <f>IF(D61&gt;0,IF(VLOOKUP(B61,cennik!A:L,12,FALSE)="O",1,""),"")</f>
        <v/>
      </c>
    </row>
    <row r="62" spans="1:13" ht="15" x14ac:dyDescent="0.2">
      <c r="A62" s="271" t="str">
        <f>texty!$A$190</f>
        <v>Ďalšie príslušenstvo</v>
      </c>
      <c r="E62" s="361"/>
      <c r="F62" s="361"/>
      <c r="G62" s="361"/>
      <c r="H62" s="24"/>
      <c r="I62" s="469" t="str">
        <f>IFERROR(IF((VLOOKUP(B62,cennik!A:L,12,0))="O",texty!$A$250,""),"")</f>
        <v/>
      </c>
      <c r="K62" s="191"/>
    </row>
    <row r="63" spans="1:13" ht="12.75" customHeight="1" x14ac:dyDescent="0.2">
      <c r="A63" s="271" t="str">
        <f>texty!$A$244</f>
        <v>Technický nákres tohoto systému</v>
      </c>
      <c r="B63" s="17">
        <v>129677</v>
      </c>
      <c r="C63" s="453" t="str">
        <f>VLOOKUP(B63,cennik!A:C,2,0)</f>
        <v>SEVROLL 20173 montážny prípravok pre lamino 10mm malý</v>
      </c>
      <c r="D63" s="460"/>
      <c r="E63" s="91">
        <f>+VLOOKUP(B63,cennik!$A:$G,3,FALSE)</f>
        <v>5.0214600000000003</v>
      </c>
      <c r="F63" s="96">
        <f>+CEILING(D63,1)*E63</f>
        <v>0</v>
      </c>
      <c r="G63" s="92">
        <f>+F63</f>
        <v>0</v>
      </c>
      <c r="H63" s="24" t="str">
        <f>cennik!$B$2</f>
        <v>EUR</v>
      </c>
      <c r="I63" s="469" t="str">
        <f>IFERROR(IF((VLOOKUP(B63,cennik!A:L,12,0))="O",texty!$A$250,""),"")</f>
        <v/>
      </c>
      <c r="K63" s="191" t="str">
        <f>IF(D63&gt;0,IF(VLOOKUP(B63,cennik!A:L,12,FALSE)="O",1,""),"")</f>
        <v/>
      </c>
    </row>
    <row r="64" spans="1:13" ht="12.75" customHeight="1" x14ac:dyDescent="0.2">
      <c r="B64" s="17">
        <v>128842</v>
      </c>
      <c r="C64" s="453" t="str">
        <f>VLOOKUP(B64,cennik!A:C,2,0)</f>
        <v>SEVROLL 20144 vrták stupňovitý 6,5/9,5mm</v>
      </c>
      <c r="D64" s="460"/>
      <c r="E64" s="91">
        <f>+VLOOKUP(B64,cennik!$A:$G,3,FALSE)</f>
        <v>26.752659999999999</v>
      </c>
      <c r="F64" s="96">
        <f>+CEILING(D64,1)*E64</f>
        <v>0</v>
      </c>
      <c r="G64" s="92">
        <f>+F64</f>
        <v>0</v>
      </c>
      <c r="H64" s="24" t="str">
        <f>cennik!$B$2</f>
        <v>EUR</v>
      </c>
      <c r="I64" s="469" t="str">
        <f>IFERROR(IF((VLOOKUP(B64,cennik!A:L,12,0))="O",texty!$A$250,""),"")</f>
        <v/>
      </c>
      <c r="K64" s="191" t="str">
        <f>IF(D64&gt;0,IF(VLOOKUP(B64,cennik!A:L,12,FALSE)="O",1,""),"")</f>
        <v/>
      </c>
      <c r="L64" s="5" t="str">
        <f>texty!A128</f>
        <v xml:space="preserve">strieborná </v>
      </c>
      <c r="M64" s="5" t="s">
        <v>987</v>
      </c>
    </row>
    <row r="65" spans="1:14" ht="12.75" customHeight="1" x14ac:dyDescent="0.2">
      <c r="A65" s="637" t="str">
        <f>IF(SUM(D49:D50)&gt;0,IF(C7&lt;(B4/3),texty!$A$212,""),"")</f>
        <v/>
      </c>
      <c r="B65" s="637"/>
      <c r="C65" s="637"/>
      <c r="D65" s="637"/>
      <c r="E65" s="637"/>
      <c r="F65" s="637"/>
      <c r="G65" s="637"/>
      <c r="H65" s="637"/>
      <c r="I65" s="454"/>
      <c r="J65" s="272"/>
      <c r="K65" s="134"/>
      <c r="L65" s="5" t="str">
        <f>texty!A129</f>
        <v>zlatá</v>
      </c>
      <c r="M65" s="5" t="s">
        <v>43</v>
      </c>
    </row>
    <row r="66" spans="1:14" ht="12.75" customHeight="1" x14ac:dyDescent="0.2">
      <c r="B66" s="17"/>
      <c r="C66" s="17"/>
      <c r="D66" s="455" t="str">
        <f>texty!$A$15</f>
        <v>CELKOM  (bez DPH)</v>
      </c>
      <c r="E66" s="441"/>
      <c r="F66" s="100" t="e">
        <f>SUM(F28:F64)</f>
        <v>#N/A</v>
      </c>
      <c r="G66" s="101" t="e">
        <f>SUM(G28:G64)</f>
        <v>#N/A</v>
      </c>
      <c r="H66" s="24" t="str">
        <f>cennik!$B$2</f>
        <v>EUR</v>
      </c>
      <c r="I66" s="5"/>
      <c r="J66" s="181"/>
      <c r="K66" s="181"/>
      <c r="L66" s="5" t="str">
        <f>texty!A130</f>
        <v>oliva</v>
      </c>
    </row>
    <row r="67" spans="1:14" ht="12.75" customHeight="1" x14ac:dyDescent="0.2">
      <c r="A67" s="442" t="str">
        <f>texty!A14</f>
        <v>Vaša poznámka:</v>
      </c>
      <c r="B67" s="641"/>
      <c r="C67" s="642"/>
      <c r="D67" s="642"/>
      <c r="E67" s="642"/>
      <c r="F67" s="642"/>
      <c r="G67" s="643"/>
      <c r="H67" s="24"/>
      <c r="J67" s="181"/>
      <c r="K67" s="181"/>
    </row>
    <row r="68" spans="1:14" ht="12.75" customHeight="1" x14ac:dyDescent="0.2">
      <c r="A68" s="630">
        <f>profil!$U$15</f>
        <v>0</v>
      </c>
      <c r="B68" s="631"/>
      <c r="C68" s="631"/>
      <c r="D68" s="631"/>
      <c r="E68" s="631"/>
      <c r="F68" s="631"/>
      <c r="G68" s="631"/>
      <c r="H68" s="631"/>
    </row>
    <row r="69" spans="1:14" ht="12.75" customHeight="1" x14ac:dyDescent="0.2">
      <c r="A69" s="632" t="str">
        <f>IF(N69=1,"texty!$A$213",IF(K69&gt;0,texty!$A$214,""))</f>
        <v/>
      </c>
      <c r="B69" s="632"/>
      <c r="C69" s="632"/>
      <c r="D69" s="632"/>
      <c r="E69" s="632"/>
      <c r="F69" s="632"/>
      <c r="G69" s="632"/>
      <c r="H69" s="632"/>
      <c r="K69" s="6">
        <f>SUM(K56:K64)</f>
        <v>0</v>
      </c>
      <c r="N69" s="5">
        <f>IF(ISERROR(K69),1,0)</f>
        <v>0</v>
      </c>
    </row>
  </sheetData>
  <sheetProtection algorithmName="SHA-512" hashValue="6nz50aB59NkOrW+Qpv3/PpqFEiUX9I3tLWTnQTnMBXHqcSKkDKogmi5ho2Kr0CWj2JbrIs05EJV/zgJcfj6M/A==" saltValue="/slKa7aYVxokK1xLK4RJ8A==" spinCount="100000" sheet="1" objects="1" scenarios="1" selectLockedCell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A14">
    <cfRule type="expression" dxfId="338" priority="2">
      <formula>SUM($D$47:$D$48)&gt;0</formula>
    </cfRule>
  </conditionalFormatting>
  <conditionalFormatting sqref="D6">
    <cfRule type="expression" dxfId="336" priority="8">
      <formula>$D$4=4</formula>
    </cfRule>
    <cfRule type="expression" dxfId="335" priority="9">
      <formula>$D$4&lt;&gt;4</formula>
    </cfRule>
  </conditionalFormatting>
  <conditionalFormatting sqref="G4">
    <cfRule type="expression" dxfId="334" priority="7">
      <formula>$D$4=4</formula>
    </cfRule>
  </conditionalFormatting>
  <conditionalFormatting sqref="I19:I20">
    <cfRule type="expression" dxfId="333" priority="15">
      <formula>$F$4=$M$65</formula>
    </cfRule>
    <cfRule type="expression" dxfId="332" priority="16">
      <formula>$F$4=$L$65</formula>
    </cfRule>
  </conditionalFormatting>
  <conditionalFormatting sqref="I21:I22">
    <cfRule type="expression" dxfId="331" priority="23">
      <formula>$F$4=$M$64</formula>
    </cfRule>
    <cfRule type="expression" dxfId="330" priority="24">
      <formula>$F$4=$L$64</formula>
    </cfRule>
  </conditionalFormatting>
  <dataValidations count="7">
    <dataValidation type="list" allowBlank="1" showInputMessage="1" showErrorMessage="1" sqref="E6:F6" xr:uid="{00000000-0002-0000-0600-000000000000}">
      <formula1>"stříbrná,zlatá,oliva"</formula1>
      <formula2>0</formula2>
    </dataValidation>
    <dataValidation type="decimal" allowBlank="1" showInputMessage="1" showErrorMessage="1" errorTitle="Nelze" error="Maximální výška je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$M$64:$M$65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7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6.7109375" style="5" customWidth="1"/>
    <col min="2" max="2" width="15.7109375" style="5" customWidth="1"/>
    <col min="3" max="3" width="55" style="5" customWidth="1"/>
    <col min="4" max="4" width="13.7109375" style="5" customWidth="1"/>
    <col min="5" max="5" width="13.42578125" style="5" customWidth="1"/>
    <col min="6" max="6" width="13.140625" style="5" customWidth="1"/>
    <col min="7" max="7" width="15.140625" style="5" bestFit="1" customWidth="1"/>
    <col min="8" max="8" width="4.7109375" style="6" bestFit="1" customWidth="1"/>
    <col min="9" max="9" width="22.7109375" style="6" customWidth="1"/>
    <col min="10" max="10" width="11.28515625" style="6" hidden="1" customWidth="1"/>
    <col min="11" max="11" width="9.140625" style="5" hidden="1" customWidth="1"/>
    <col min="12" max="12" width="8.140625" style="5" hidden="1" customWidth="1"/>
    <col min="13" max="13" width="11.42578125" style="5" hidden="1" customWidth="1"/>
    <col min="14" max="14" width="7.140625" style="5" hidden="1" customWidth="1"/>
    <col min="15" max="15" width="8.7109375" style="5" hidden="1" customWidth="1"/>
    <col min="16" max="16" width="7.140625" style="5" hidden="1" customWidth="1"/>
    <col min="17" max="21" width="0" style="5" hidden="1" customWidth="1"/>
    <col min="22" max="16384" width="9.140625" style="5" hidden="1"/>
  </cols>
  <sheetData>
    <row r="1" spans="1:21" ht="13.5" customHeight="1" thickBot="1" x14ac:dyDescent="0.25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">
      <c r="A2" s="523" t="s">
        <v>922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6.25" thickBot="1" x14ac:dyDescent="0.25">
      <c r="A3" s="524" t="str">
        <f>CONCATENATE(texty!A243," ",5,".",83)</f>
        <v>katalóg kovania 2018 str. 5.83</v>
      </c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25.5" customHeight="1" x14ac:dyDescent="0.2">
      <c r="A4" s="10" t="str">
        <f>+System10!A4</f>
        <v>VNÚTORNÝ ROZMER SKRINE:</v>
      </c>
      <c r="B4" s="56"/>
      <c r="C4" s="56"/>
      <c r="D4" s="22"/>
      <c r="E4" s="22"/>
      <c r="F4" s="655"/>
      <c r="G4" s="655"/>
      <c r="H4" s="655"/>
      <c r="I4" s="655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">
      <c r="A5" s="476"/>
      <c r="B5" s="633" t="str">
        <f>texty!A46</f>
        <v>vypíšte tieto 4 políčka !!! Údaje v mm</v>
      </c>
      <c r="C5" s="633"/>
      <c r="D5" s="633"/>
      <c r="E5" s="633"/>
      <c r="F5" s="655"/>
      <c r="G5" s="655"/>
      <c r="H5" s="655"/>
      <c r="I5" s="655"/>
      <c r="J5" s="190"/>
      <c r="K5" s="3"/>
      <c r="N5" s="5" t="str">
        <f>CONCATENATE(N4,"-",E4)</f>
        <v>1500-</v>
      </c>
    </row>
    <row r="6" spans="1:21" ht="18" customHeight="1" x14ac:dyDescent="0.2">
      <c r="A6" s="10"/>
      <c r="B6" s="11"/>
      <c r="D6" s="285">
        <v>2</v>
      </c>
      <c r="E6" s="8"/>
      <c r="F6" s="655"/>
      <c r="G6" s="655"/>
      <c r="H6" s="655"/>
      <c r="I6" s="655"/>
      <c r="J6" s="190"/>
      <c r="K6" s="6"/>
      <c r="Q6" s="636" t="s">
        <v>557</v>
      </c>
      <c r="R6" s="636" t="s">
        <v>715</v>
      </c>
      <c r="S6" s="636" t="s">
        <v>716</v>
      </c>
      <c r="T6" s="636" t="s">
        <v>560</v>
      </c>
    </row>
    <row r="7" spans="1:21" ht="12.75" customHeight="1" x14ac:dyDescent="0.2">
      <c r="A7" s="10" t="str">
        <f>texty!A47</f>
        <v>krídlo dverí:</v>
      </c>
      <c r="B7" s="57">
        <f>+B4-40-IF(D40+D41+D42+D43&gt;0,5,0)</f>
        <v>-40</v>
      </c>
      <c r="C7" s="59" t="e">
        <f>+((C4-3+30*(D4-1))/D4+IF(AND(D4=4,D6=2),L1,0))</f>
        <v>#DIV/0!</v>
      </c>
      <c r="D7" s="8"/>
      <c r="E7" s="8"/>
      <c r="F7" s="3" t="str">
        <f>texty!$A$44</f>
        <v>Maximálna hmotnosť krídla je 35 kg</v>
      </c>
      <c r="G7" s="6"/>
      <c r="K7" s="6"/>
      <c r="N7" s="17" t="e">
        <f>IF(K11="jiné",L12,K11)</f>
        <v>#DIV/0!</v>
      </c>
      <c r="O7" s="21">
        <f>+E4</f>
        <v>0</v>
      </c>
      <c r="Q7" s="636"/>
      <c r="R7" s="636"/>
      <c r="S7" s="636"/>
      <c r="T7" s="636"/>
    </row>
    <row r="8" spans="1:21" ht="12.75" customHeight="1" x14ac:dyDescent="0.2">
      <c r="A8" s="10" t="str">
        <f>texty!$A$48</f>
        <v>rozmer výplne 18mm:</v>
      </c>
      <c r="B8" s="57">
        <f>+B7-1</f>
        <v>-41</v>
      </c>
      <c r="C8" s="59" t="e">
        <f>+C7-37</f>
        <v>#DIV/0!</v>
      </c>
      <c r="D8" s="8"/>
      <c r="E8" s="8"/>
      <c r="F8" s="50"/>
      <c r="G8" s="6"/>
      <c r="K8" s="6" t="s">
        <v>60</v>
      </c>
      <c r="L8" s="5" t="s">
        <v>61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">
      <c r="A9" s="10" t="str">
        <f>texty!A49</f>
        <v>rozmer výplne 12mm:</v>
      </c>
      <c r="B9" s="57">
        <f>+B8</f>
        <v>-41</v>
      </c>
      <c r="C9" s="59" t="e">
        <f>+C7-17</f>
        <v>#DIV/0!</v>
      </c>
      <c r="D9" s="8"/>
      <c r="E9" s="8"/>
      <c r="F9" s="50"/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4" si="0">Q8+$C$10+5</f>
        <v>#DIV/0!</v>
      </c>
      <c r="R9" s="5" t="e">
        <f>(1500-C10)*R15</f>
        <v>#DIV/0!</v>
      </c>
      <c r="S9" s="5" t="e">
        <f>(2000-C10)*S15</f>
        <v>#DIV/0!</v>
      </c>
      <c r="T9" s="5" t="e">
        <f>(3000-C10)*T15</f>
        <v>#DIV/0!</v>
      </c>
      <c r="U9" s="5" t="s">
        <v>562</v>
      </c>
    </row>
    <row r="10" spans="1:21" ht="12.75" customHeight="1" x14ac:dyDescent="0.2">
      <c r="A10" s="10" t="str">
        <f>texty!A50</f>
        <v>rozmer zrkadla /na DTD 12mm/</v>
      </c>
      <c r="B10" s="61">
        <f>+B8-4</f>
        <v>-45</v>
      </c>
      <c r="C10" s="65" t="e">
        <f>+C9-6</f>
        <v>#DIV/0!</v>
      </c>
      <c r="D10" s="8"/>
      <c r="E10" s="8"/>
      <c r="G10" s="6"/>
      <c r="K10" s="5" t="s">
        <v>59</v>
      </c>
      <c r="N10" s="17" t="e">
        <f>IF(K11="jiné",L13,"")</f>
        <v>#DIV/0!</v>
      </c>
      <c r="O10" s="21">
        <f>+E4</f>
        <v>0</v>
      </c>
      <c r="P10" s="5">
        <v>3</v>
      </c>
      <c r="Q10" s="159" t="e">
        <f t="shared" si="0"/>
        <v>#DIV/0!</v>
      </c>
    </row>
    <row r="11" spans="1:21" ht="12.75" customHeight="1" x14ac:dyDescent="0.2">
      <c r="A11" s="10" t="str">
        <f>texty!$A$51</f>
        <v>Dĺžka úchytkového profilu (+2 mm)</v>
      </c>
      <c r="B11" s="67">
        <f>B8+2</f>
        <v>-39</v>
      </c>
      <c r="D11" s="8"/>
      <c r="E11" s="8"/>
      <c r="G11" s="40"/>
      <c r="K11" s="36" t="e">
        <f>IF((K9+L9)&lt;1500,1500,IF((K9+L9)&lt;2000,2000,IF((K9+L9)&lt;3000,3000,"jiné")))</f>
        <v>#DIV/0!</v>
      </c>
      <c r="M11" s="5" t="s">
        <v>62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24" x14ac:dyDescent="0.2">
      <c r="A12" s="10"/>
      <c r="B12" s="10"/>
      <c r="C12" s="483" t="str">
        <f>texty!A78</f>
        <v>dodatočné odpočty výšky vypočítaných výplní pri použití deliacich profilov výplne:</v>
      </c>
      <c r="D12" s="8"/>
      <c r="E12" s="8"/>
      <c r="F12" s="6"/>
      <c r="G12" s="6"/>
      <c r="K12" s="6" t="e">
        <f>C10*(D4-1)+(D4*5)</f>
        <v>#DIV/0!</v>
      </c>
      <c r="L12" s="5" t="e">
        <f>IF(K12&lt;1500,1500,IF(K12&lt;2000,2000,IF(K12&lt;3000,3000,3000)))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">
      <c r="A13" s="7"/>
      <c r="B13" s="58"/>
      <c r="C13" s="12"/>
      <c r="D13" s="8"/>
      <c r="E13" s="8"/>
      <c r="F13" s="6"/>
      <c r="G13" s="6"/>
      <c r="K13" s="35" t="e">
        <f>C10+10</f>
        <v>#DIV/0!</v>
      </c>
      <c r="L13" s="5" t="e">
        <f>IF(M12&gt;=0,IF(K13&lt;1500,1500,IF(K13&lt;2000,2000,IF(K13&lt;3000,3000,"jiné"))),IF((K13+C10)&lt;1500,1500,IF((K13+C10)&lt;2000,2000,IF((K13+C10)&lt;3000,3000,"jiné"))))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ht="12.75" customHeight="1" x14ac:dyDescent="0.2">
      <c r="A14" s="7"/>
      <c r="B14" s="8"/>
      <c r="C14" s="12"/>
      <c r="D14" s="8"/>
      <c r="E14" s="8"/>
      <c r="F14" s="6"/>
      <c r="G14" s="6"/>
      <c r="K14" s="6"/>
      <c r="L14" s="5" t="e">
        <f>SUM(L12:L13)</f>
        <v>#DIV/0!</v>
      </c>
      <c r="M14" s="5" t="e">
        <f>SUM(M12:M13)</f>
        <v>#DIV/0!</v>
      </c>
      <c r="P14" s="5">
        <v>7</v>
      </c>
      <c r="Q14" s="159" t="e">
        <f t="shared" si="0"/>
        <v>#DIV/0!</v>
      </c>
    </row>
    <row r="15" spans="1:21" ht="12.75" customHeight="1" x14ac:dyDescent="0.2">
      <c r="B15" s="8"/>
      <c r="C15" s="12"/>
      <c r="D15" s="8"/>
      <c r="E15" s="8"/>
      <c r="F15" s="6"/>
      <c r="G15" s="6"/>
      <c r="K15" s="6"/>
      <c r="L15" s="5" t="e">
        <f>L14-C4</f>
        <v>#DIV/0!</v>
      </c>
      <c r="P15" s="5" t="s">
        <v>561</v>
      </c>
      <c r="R15" s="5" t="e">
        <f>FLOOR($D$4/R8,1)</f>
        <v>#DIV/0!</v>
      </c>
      <c r="S15" s="5" t="e">
        <f>FLOOR($D$4/S8,1)</f>
        <v>#DIV/0!</v>
      </c>
      <c r="T15" s="5" t="e">
        <f>FLOOR($D$4/T8,1)</f>
        <v>#DIV/0!</v>
      </c>
    </row>
    <row r="16" spans="1:21" ht="12.75" customHeight="1" x14ac:dyDescent="0.2">
      <c r="A16" s="7"/>
      <c r="B16" s="8"/>
      <c r="C16" s="12"/>
      <c r="D16" s="8"/>
      <c r="E16" s="8"/>
      <c r="F16" s="6"/>
      <c r="G16" s="6"/>
      <c r="K16" s="6"/>
    </row>
    <row r="17" spans="1:21" ht="14.25" customHeight="1" x14ac:dyDescent="0.2">
      <c r="A17" s="146"/>
      <c r="B17" s="8"/>
      <c r="C17" s="27"/>
      <c r="D17" s="8"/>
      <c r="E17" s="8"/>
      <c r="F17" s="6"/>
      <c r="G17" s="6"/>
      <c r="K17" s="6"/>
    </row>
    <row r="18" spans="1:21" ht="16.5" customHeight="1" x14ac:dyDescent="0.2">
      <c r="A18" s="205"/>
      <c r="B18" s="8"/>
      <c r="C18" s="8"/>
      <c r="E18" s="8"/>
      <c r="F18" s="6"/>
      <c r="G18" s="6"/>
      <c r="K18" s="6"/>
      <c r="L18" s="6"/>
      <c r="Q18" s="5" t="s">
        <v>581</v>
      </c>
      <c r="R18" s="5" t="s">
        <v>580</v>
      </c>
      <c r="S18" s="5">
        <v>1500</v>
      </c>
      <c r="T18" s="5">
        <v>2000</v>
      </c>
      <c r="U18" s="5">
        <v>3000</v>
      </c>
    </row>
    <row r="19" spans="1:21" ht="16.5" customHeight="1" x14ac:dyDescent="0.2">
      <c r="A19" s="7"/>
      <c r="B19" s="8"/>
      <c r="C19" s="8"/>
      <c r="D19" s="13"/>
      <c r="E19" s="8"/>
      <c r="F19" s="6"/>
      <c r="G19" s="6"/>
      <c r="K19" s="6"/>
      <c r="P19" s="5">
        <v>1</v>
      </c>
      <c r="Q19" s="5" t="e">
        <f>R8</f>
        <v>#DIV/0!</v>
      </c>
      <c r="R19" s="5" t="e">
        <f>IF(Q19&gt;=D4,1,"")</f>
        <v>#DIV/0!</v>
      </c>
      <c r="S19" s="163" t="e">
        <f>IF(R19=1,1,"")</f>
        <v>#DIV/0!</v>
      </c>
      <c r="T19" s="163"/>
      <c r="U19" s="163"/>
    </row>
    <row r="20" spans="1:21" ht="12.75" customHeight="1" x14ac:dyDescent="0.2">
      <c r="A20" s="7"/>
      <c r="B20" s="8"/>
      <c r="C20" s="8"/>
      <c r="D20" s="8"/>
      <c r="E20" s="8"/>
      <c r="F20" s="6"/>
      <c r="G20" s="6"/>
      <c r="K20" s="3"/>
      <c r="P20" s="5">
        <v>2</v>
      </c>
      <c r="Q20" s="5" t="e">
        <f>S8</f>
        <v>#DIV/0!</v>
      </c>
      <c r="R20" s="5" t="e">
        <f>IF(Q20&gt;=D4,IF(R19=1,"",1),"")</f>
        <v>#DIV/0!</v>
      </c>
      <c r="S20" s="163"/>
      <c r="T20" s="163" t="e">
        <f>IF(R20=1,1,"")</f>
        <v>#DIV/0!</v>
      </c>
      <c r="U20" s="163"/>
    </row>
    <row r="21" spans="1:21" ht="12.75" customHeight="1" x14ac:dyDescent="0.2">
      <c r="A21" s="485" t="s">
        <v>1011</v>
      </c>
      <c r="B21" s="482" t="s">
        <v>1012</v>
      </c>
      <c r="C21" s="482" t="s">
        <v>1008</v>
      </c>
      <c r="D21" s="8"/>
      <c r="E21" s="8"/>
      <c r="F21" s="6"/>
      <c r="G21" s="6"/>
      <c r="P21" s="5">
        <v>3</v>
      </c>
      <c r="Q21" s="5" t="e">
        <f>T8</f>
        <v>#DIV/0!</v>
      </c>
      <c r="R21" s="5" t="e">
        <f>IF(Q21&gt;=D4,IF(Q20&gt;=D4,"",1),"")</f>
        <v>#DIV/0!</v>
      </c>
      <c r="U21" s="163" t="e">
        <f>IF(R21=1,1,"")</f>
        <v>#DIV/0!</v>
      </c>
    </row>
    <row r="22" spans="1:21" ht="12.75" customHeight="1" x14ac:dyDescent="0.2">
      <c r="A22" s="7"/>
      <c r="B22" s="8"/>
      <c r="C22" s="8"/>
      <c r="D22" s="8"/>
      <c r="E22" s="8"/>
      <c r="F22" s="6"/>
      <c r="G22" s="6"/>
      <c r="K22" s="5" t="str">
        <f>CONCATENATE(M22,"-",$O$7)</f>
        <v>1500-0</v>
      </c>
      <c r="L22" s="6" t="e">
        <f>SUM(S19:S31)</f>
        <v>#DIV/0!</v>
      </c>
      <c r="M22" s="5">
        <v>1500</v>
      </c>
      <c r="O22" s="5" t="s">
        <v>563</v>
      </c>
      <c r="P22" s="162" t="s">
        <v>564</v>
      </c>
      <c r="Q22" s="5" t="e">
        <f>R8+S8</f>
        <v>#DIV/0!</v>
      </c>
      <c r="R22" s="5" t="e">
        <f>IF(Q22&gt;=D4,IF(SUM(R19:R21)&gt;0,"",1),"")</f>
        <v>#DIV/0!</v>
      </c>
      <c r="S22" s="163" t="e">
        <f>IF(R22=1,1,"")</f>
        <v>#DIV/0!</v>
      </c>
      <c r="T22" s="163" t="e">
        <f>IF(R22=1,1,"")</f>
        <v>#DIV/0!</v>
      </c>
    </row>
    <row r="23" spans="1:21" ht="12.75" customHeight="1" x14ac:dyDescent="0.2">
      <c r="A23" s="7"/>
      <c r="B23" s="8"/>
      <c r="D23" s="8"/>
      <c r="E23" s="8"/>
      <c r="F23" s="8"/>
      <c r="G23" s="130" t="str">
        <f>+System10!G25</f>
        <v>partnerská zľava:</v>
      </c>
      <c r="K23" s="5" t="str">
        <f>CONCATENATE(M23,"-",$O$7)</f>
        <v>2000-0</v>
      </c>
      <c r="L23" s="6" t="e">
        <f>SUM(T19:T31)</f>
        <v>#DIV/0!</v>
      </c>
      <c r="M23" s="5">
        <v>2000</v>
      </c>
      <c r="P23" s="5" t="s">
        <v>576</v>
      </c>
      <c r="Q23" s="5" t="e">
        <f>S8+S8</f>
        <v>#DIV/0!</v>
      </c>
      <c r="R23" s="5" t="e">
        <f>IF(Q23&gt;=D4,IF(SUM(R19:R22)&gt;0,"",1),"")</f>
        <v>#DIV/0!</v>
      </c>
      <c r="T23" s="163" t="e">
        <f>IF(R23=1,2,"")</f>
        <v>#DIV/0!</v>
      </c>
    </row>
    <row r="24" spans="1:21" ht="12.75" customHeight="1" x14ac:dyDescent="0.2">
      <c r="A24" s="14" t="str">
        <f>+System10!A26</f>
        <v>Objednávacie kódy, ceny:</v>
      </c>
      <c r="B24" s="8"/>
      <c r="D24" s="8"/>
      <c r="E24" s="8"/>
      <c r="F24" s="8"/>
      <c r="G24" s="142">
        <f>profil!C15</f>
        <v>0</v>
      </c>
      <c r="H24" s="28"/>
      <c r="K24" s="5" t="str">
        <f>CONCATENATE(M24,"-",$O$7)</f>
        <v>3000-0</v>
      </c>
      <c r="L24" s="6" t="e">
        <f>SUM(U19:U31)</f>
        <v>#DIV/0!</v>
      </c>
      <c r="M24" s="5">
        <v>3000</v>
      </c>
      <c r="N24" s="160"/>
      <c r="P24" s="5" t="s">
        <v>565</v>
      </c>
      <c r="Q24" s="5" t="e">
        <f>R8+T8</f>
        <v>#DIV/0!</v>
      </c>
      <c r="R24" s="5" t="e">
        <f>IF(Q24&gt;=D4,IF(SUM(R19:R23)&gt;0,"",1),"")</f>
        <v>#DIV/0!</v>
      </c>
      <c r="S24" s="163" t="e">
        <f>IF(R24=1,1,"")</f>
        <v>#DIV/0!</v>
      </c>
      <c r="U24" s="163" t="e">
        <f>IF(R24=1,1,"")</f>
        <v>#DIV/0!</v>
      </c>
    </row>
    <row r="25" spans="1:21" ht="12.75" customHeight="1" x14ac:dyDescent="0.2">
      <c r="A25" s="7"/>
      <c r="B25" s="19" t="str">
        <f>+System10!B27</f>
        <v>kód</v>
      </c>
      <c r="C25" s="18" t="str">
        <f>+System10!C27</f>
        <v>názov</v>
      </c>
      <c r="D25" s="19" t="str">
        <f>+System10!D27</f>
        <v>ks</v>
      </c>
      <c r="E25" s="19" t="str">
        <f>+System10!E27</f>
        <v>cena/ks</v>
      </c>
      <c r="F25" s="19" t="str">
        <f>+System10!F27</f>
        <v>cena celkom</v>
      </c>
      <c r="G25" s="20" t="str">
        <f>+System10!G27</f>
        <v>celkom netto:</v>
      </c>
      <c r="I25" s="18" t="str">
        <f>texty!A29</f>
        <v>Poznámka:</v>
      </c>
      <c r="J25" s="18"/>
      <c r="K25" s="6"/>
      <c r="L25" s="5">
        <f>COUNT(L22,L23,L24)</f>
        <v>0</v>
      </c>
      <c r="M25" s="160"/>
      <c r="N25" s="160"/>
      <c r="P25" s="5" t="s">
        <v>566</v>
      </c>
      <c r="Q25" s="5" t="e">
        <f>S8+T8</f>
        <v>#DIV/0!</v>
      </c>
      <c r="R25" s="5" t="e">
        <f>IF(Q25&gt;=D4,IF(SUM(R19:R24)&gt;0,"",1),"")</f>
        <v>#DIV/0!</v>
      </c>
      <c r="T25" s="163" t="e">
        <f>IF(R25=1,1,"")</f>
        <v>#DIV/0!</v>
      </c>
      <c r="U25" s="163" t="e">
        <f>IF(R25=1,1,"")</f>
        <v>#DIV/0!</v>
      </c>
    </row>
    <row r="26" spans="1:21" ht="12.75" customHeight="1" x14ac:dyDescent="0.2">
      <c r="A26" s="7" t="str">
        <f>+System10!A28</f>
        <v>Horný profil:</v>
      </c>
      <c r="B26" s="16" t="e">
        <f>+VLOOKUP(N5,data!$C$261:$D$278,2,0)</f>
        <v>#N/A</v>
      </c>
      <c r="C26" s="25" t="e">
        <f>+VLOOKUP(B26,cennik!$A:$G,2,FALSE)</f>
        <v>#N/A</v>
      </c>
      <c r="D26" s="17">
        <v>1</v>
      </c>
      <c r="E26" s="91" t="e">
        <f>+VLOOKUP(B26,cennik!$A:$G,3,FALSE)</f>
        <v>#N/A</v>
      </c>
      <c r="F26" s="91" t="e">
        <f t="shared" ref="F26:F30" si="1">+E26*D26</f>
        <v>#N/A</v>
      </c>
      <c r="G26" s="92" t="e">
        <f t="shared" ref="G26:G30" si="2">+F26*(100-$G$24)/100</f>
        <v>#N/A</v>
      </c>
      <c r="H26" s="6" t="str">
        <f>cennik!$B$2</f>
        <v>EUR</v>
      </c>
      <c r="I26" s="469" t="str">
        <f>IFERROR(IF((VLOOKUP(B26,cennik!A:L,12,0))="O",texty!$A$250,""),"")</f>
        <v/>
      </c>
      <c r="J26" s="191" t="e">
        <f>IF(D26&gt;0,IF(VLOOKUP(B26,cennik!A:L,12,FALSE)="O",1,""),"")</f>
        <v>#N/A</v>
      </c>
      <c r="K26" s="6"/>
      <c r="L26" s="160"/>
      <c r="M26" s="160"/>
      <c r="N26" s="160"/>
      <c r="P26" s="5" t="s">
        <v>577</v>
      </c>
      <c r="Q26" s="5" t="e">
        <f>T8+T8</f>
        <v>#DIV/0!</v>
      </c>
      <c r="R26" s="5" t="e">
        <f>IF(Q26&gt;=D4,IF(SUM(R19:R25)&gt;0,"",1),"")</f>
        <v>#DIV/0!</v>
      </c>
      <c r="U26" s="163" t="e">
        <f>IF(R26=1,2,"")</f>
        <v>#DIV/0!</v>
      </c>
    </row>
    <row r="27" spans="1:21" ht="12.75" customHeight="1" x14ac:dyDescent="0.2">
      <c r="A27" s="7" t="str">
        <f>+System10!A29</f>
        <v>spodný profil:</v>
      </c>
      <c r="B27" s="16" t="e">
        <f>+VLOOKUP(N5,data!$C$281:$D$298,2,0)</f>
        <v>#N/A</v>
      </c>
      <c r="C27" s="25" t="e">
        <f>+VLOOKUP(B27,cennik!$A:$G,2,FALSE)</f>
        <v>#N/A</v>
      </c>
      <c r="D27" s="17">
        <v>1</v>
      </c>
      <c r="E27" s="91" t="e">
        <f>+VLOOKUP(B27,cennik!$A:$G,3,FALSE)</f>
        <v>#N/A</v>
      </c>
      <c r="F27" s="91" t="e">
        <f t="shared" si="1"/>
        <v>#N/A</v>
      </c>
      <c r="G27" s="92" t="e">
        <f t="shared" si="2"/>
        <v>#N/A</v>
      </c>
      <c r="H27" s="6" t="str">
        <f>cennik!$B$2</f>
        <v>EUR</v>
      </c>
      <c r="I27" s="469" t="str">
        <f>IFERROR(IF((VLOOKUP(B27,cennik!A:L,12,0))="O",texty!$A$250,""),"")</f>
        <v/>
      </c>
      <c r="J27" s="191" t="e">
        <f>IF(D27&gt;0,IF(VLOOKUP(B27,cennik!A:L,12,FALSE)="O",1,""),"")</f>
        <v>#N/A</v>
      </c>
      <c r="K27" s="6" t="s">
        <v>567</v>
      </c>
      <c r="L27" s="5" t="e">
        <f>IF(L22=0,IF(L23=0,K24,K23),K22)</f>
        <v>#DIV/0!</v>
      </c>
      <c r="M27" s="160" t="e">
        <f>IF(L27=K22,L22,IF(L27=K23,L23,IF(L27=K24,L24,"chyba")))</f>
        <v>#DIV/0!</v>
      </c>
      <c r="N27" s="160"/>
      <c r="O27" s="160"/>
      <c r="P27" s="5" t="s">
        <v>578</v>
      </c>
      <c r="Q27" s="5" t="e">
        <f>R8+R8+R8</f>
        <v>#DIV/0!</v>
      </c>
      <c r="R27" s="5" t="e">
        <f>IF(Q27&gt;=D4,IF(SUM(R19:R26)&gt;0,"",1),"")</f>
        <v>#DIV/0!</v>
      </c>
      <c r="S27" s="163" t="e">
        <f>IF(R27=1,3,"")</f>
        <v>#DIV/0!</v>
      </c>
    </row>
    <row r="28" spans="1:21" ht="12.75" customHeight="1" x14ac:dyDescent="0.2">
      <c r="A28" s="7" t="str">
        <f>texty!$A$210</f>
        <v>záslepko spodného vedenia</v>
      </c>
      <c r="B28" s="16">
        <v>216362</v>
      </c>
      <c r="C28" s="25" t="str">
        <f>+VLOOKUP(B28,cennik!$A:$G,2,FALSE)</f>
        <v>SEVROLL 20233 záslepka spodného vedenia Simple/Blue priesvitná, guma</v>
      </c>
      <c r="D28" s="17">
        <f>CEILING(C4/1000,1)</f>
        <v>0</v>
      </c>
      <c r="E28" s="91">
        <f>+VLOOKUP(B28,cennik!$A:$G,3,FALSE)</f>
        <v>1.0063200000000001</v>
      </c>
      <c r="F28" s="91">
        <f t="shared" si="1"/>
        <v>0</v>
      </c>
      <c r="G28" s="92">
        <f t="shared" si="2"/>
        <v>0</v>
      </c>
      <c r="H28" s="6" t="str">
        <f>cennik!$B$2</f>
        <v>EUR</v>
      </c>
      <c r="I28" s="469" t="str">
        <f>IFERROR(IF((VLOOKUP(B28,cennik!A:L,12,0))="O",texty!$A$250,""),"")</f>
        <v/>
      </c>
      <c r="J28" s="191" t="str">
        <f>IF(D28&gt;0,IF(VLOOKUP(B28,cennik!A:L,12,FALSE)="O",1,""),"")</f>
        <v/>
      </c>
      <c r="K28" s="6"/>
      <c r="M28" s="160"/>
      <c r="N28" s="160"/>
      <c r="O28" s="160"/>
      <c r="S28" s="163"/>
    </row>
    <row r="29" spans="1:21" ht="12.75" customHeight="1" x14ac:dyDescent="0.2">
      <c r="A29" s="7" t="str">
        <f>+System10!A31</f>
        <v>horné vozíky (sady)</v>
      </c>
      <c r="B29" s="16">
        <v>349734</v>
      </c>
      <c r="C29" s="25" t="str">
        <f>+VLOOKUP(B29,cennik!$A:$G,2,FALSE)</f>
        <v>SEVROLL 10217 horný vozík Blue (pro lamino 18mm) bezrámový L+P</v>
      </c>
      <c r="D29" s="17">
        <f>+D4</f>
        <v>0</v>
      </c>
      <c r="E29" s="91">
        <f>+VLOOKUP(B29,cennik!$A:$G,3,FALSE)</f>
        <v>3.6124200000000002</v>
      </c>
      <c r="F29" s="91">
        <f t="shared" si="1"/>
        <v>0</v>
      </c>
      <c r="G29" s="92">
        <f t="shared" si="2"/>
        <v>0</v>
      </c>
      <c r="H29" s="6" t="str">
        <f>cennik!$B$2</f>
        <v>EUR</v>
      </c>
      <c r="I29" s="469" t="str">
        <f>IFERROR(IF((VLOOKUP(B29,cennik!A:L,12,0))="O",texty!$A$250,""),"")</f>
        <v/>
      </c>
      <c r="J29" s="191" t="str">
        <f>IF(D29&gt;0,IF(VLOOKUP(B29,cennik!A:L,12,FALSE)="O",1,""),"")</f>
        <v/>
      </c>
      <c r="K29" s="6" t="s">
        <v>568</v>
      </c>
      <c r="L29" s="5" t="e">
        <f>IF(L27=K24,"jiné",IF(L27=K22,IF(L23&lt;&gt;0,K23,IF(L24&lt;&gt;0,K24,"jiné")),IF(L24&lt;&gt;0,K24,"jiné")))</f>
        <v>#DIV/0!</v>
      </c>
      <c r="M29" s="160" t="e">
        <f>IF(L29=K23,L23,IF(L29=K24,L24,IF(L29=K25,L25,0)))</f>
        <v>#DIV/0!</v>
      </c>
      <c r="N29" s="160"/>
      <c r="O29" s="160"/>
      <c r="P29" s="5" t="s">
        <v>569</v>
      </c>
      <c r="Q29" s="5" t="e">
        <f>R8+2*S8</f>
        <v>#DIV/0!</v>
      </c>
      <c r="R29" s="5" t="e">
        <f>IF(Q29&gt;=D4,IF(SUM(R19:R27)&gt;0,"",1),"")</f>
        <v>#DIV/0!</v>
      </c>
      <c r="S29" s="163" t="e">
        <f>IF(R29=1,1,"")</f>
        <v>#DIV/0!</v>
      </c>
      <c r="T29" s="163" t="e">
        <f>IF(R29=1,2,"")</f>
        <v>#DIV/0!</v>
      </c>
    </row>
    <row r="30" spans="1:21" ht="12.75" customHeight="1" x14ac:dyDescent="0.2">
      <c r="A30" s="7" t="str">
        <f>+System10!A32</f>
        <v>spodné vozíky (sada)</v>
      </c>
      <c r="B30" s="16">
        <v>349735</v>
      </c>
      <c r="C30" s="25" t="str">
        <f>+VLOOKUP(B30,cennik!$A:$G,2,FALSE)</f>
        <v>SEVROLL 10219 spodný vozík Blue V bezrámový pre 18mm - 2ks</v>
      </c>
      <c r="D30" s="17">
        <f>+D4</f>
        <v>0</v>
      </c>
      <c r="E30" s="91">
        <f>+VLOOKUP(B30,cennik!$A:$G,3,FALSE)</f>
        <v>4.7800200000000004</v>
      </c>
      <c r="F30" s="91">
        <f t="shared" si="1"/>
        <v>0</v>
      </c>
      <c r="G30" s="92">
        <f t="shared" si="2"/>
        <v>0</v>
      </c>
      <c r="H30" s="6" t="str">
        <f>cennik!$B$2</f>
        <v>EUR</v>
      </c>
      <c r="I30" s="469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  <c r="L30" s="160"/>
      <c r="M30" s="160"/>
      <c r="N30" s="160"/>
      <c r="O30" s="160"/>
      <c r="P30" s="5" t="s">
        <v>579</v>
      </c>
      <c r="Q30" s="5" t="e">
        <f>S8+S8+S8</f>
        <v>#DIV/0!</v>
      </c>
      <c r="R30" s="5" t="e">
        <f>IF(Q30&gt;=D4,IF(SUM(R19:R29)&gt;0,"",1),"")</f>
        <v>#DIV/0!</v>
      </c>
      <c r="T30" s="163" t="e">
        <f>IF(R30=1,3,"")</f>
        <v>#DIV/0!</v>
      </c>
    </row>
    <row r="31" spans="1:21" ht="12.75" customHeight="1" x14ac:dyDescent="0.2">
      <c r="A31" s="7" t="str">
        <f>+System10!A33</f>
        <v>dorazový kartáč</v>
      </c>
      <c r="B31" s="16">
        <v>98067</v>
      </c>
      <c r="C31" s="25" t="str">
        <f>+VLOOKUP(B31,cennik!$A:$G,2,FALSE)</f>
        <v>SEVROLL dorazová kefa zásuvná 14x4mm sivá</v>
      </c>
      <c r="D31" s="17">
        <f>CEILING((B4*D4*2/1000),1)</f>
        <v>0</v>
      </c>
      <c r="E31" s="91">
        <f>+VLOOKUP(B31,cennik!$A:$G,3,FALSE)</f>
        <v>0.19361999999999999</v>
      </c>
      <c r="F31" s="91">
        <f>+E31*D31</f>
        <v>0</v>
      </c>
      <c r="G31" s="92">
        <f>+F31*(100-$G$24)/100</f>
        <v>0</v>
      </c>
      <c r="H31" s="6" t="str">
        <f>cennik!$B$2</f>
        <v>EUR</v>
      </c>
      <c r="I31" s="469" t="str">
        <f>IFERROR(IF((VLOOKUP(B31,cennik!A:L,12,0))="O",texty!$A$250,""),"")</f>
        <v/>
      </c>
      <c r="J31" s="191" t="str">
        <f>IF(D31&gt;0,IF(VLOOKUP(B31,cennik!A:L,12,FALSE)="O",1,""),"")</f>
        <v/>
      </c>
      <c r="K31" s="6" t="str">
        <f>CONCATENATE(3000,"-",E4)</f>
        <v>3000-</v>
      </c>
      <c r="L31" s="160"/>
      <c r="M31" s="160"/>
      <c r="N31" s="160"/>
      <c r="O31" s="160"/>
      <c r="P31" s="5" t="s">
        <v>570</v>
      </c>
      <c r="Q31" s="5" t="e">
        <f>R8+2*T8</f>
        <v>#DIV/0!</v>
      </c>
      <c r="R31" s="5" t="e">
        <f>IF(Q31&gt;=D4,IF(SUM(R19:R30)&gt;0,"",1),"")</f>
        <v>#DIV/0!</v>
      </c>
      <c r="S31" s="163" t="e">
        <f>IF(R31=1,1,"")</f>
        <v>#DIV/0!</v>
      </c>
      <c r="U31" s="163" t="e">
        <f>IF(R31=1,2,"")</f>
        <v>#DIV/0!</v>
      </c>
    </row>
    <row r="32" spans="1:21" ht="12.75" customHeight="1" x14ac:dyDescent="0.2">
      <c r="A32" s="7" t="str">
        <f>+System10!A34</f>
        <v>úchytková lišta</v>
      </c>
      <c r="B32" s="16" t="e">
        <f>+VLOOKUP(O7,data!$C$524:$D$526,2,0)</f>
        <v>#N/A</v>
      </c>
      <c r="C32" s="25" t="e">
        <f>+VLOOKUP(B32,cennik!$A:$G,2,FALSE)</f>
        <v>#N/A</v>
      </c>
      <c r="D32" s="17">
        <f>IF(B11&lt;=1347,D4*2/2,D4*2)</f>
        <v>0</v>
      </c>
      <c r="E32" s="91" t="e">
        <f>+VLOOKUP(B32,cennik!$A:$G,3,FALSE)</f>
        <v>#N/A</v>
      </c>
      <c r="F32" s="91" t="e">
        <f>+E32*D32</f>
        <v>#N/A</v>
      </c>
      <c r="G32" s="92" t="e">
        <f>+F32*(100-$G$24)/100</f>
        <v>#N/A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K32" s="3" t="s">
        <v>687</v>
      </c>
    </row>
    <row r="33" spans="1:11" ht="12.75" customHeight="1" x14ac:dyDescent="0.2">
      <c r="A33" s="7"/>
      <c r="B33" s="6"/>
      <c r="C33" s="25"/>
      <c r="D33" s="17"/>
      <c r="E33" s="91"/>
      <c r="F33" s="91"/>
      <c r="G33" s="92"/>
      <c r="I33" s="469" t="str">
        <f>IFERROR(IF((VLOOKUP(B33,cennik!A:L,12,0))="O",texty!$A$250,""),"")</f>
        <v/>
      </c>
      <c r="J33" s="191"/>
      <c r="K33" s="157" t="e">
        <f>(C10*D4)+(D4-1)*5</f>
        <v>#DIV/0!</v>
      </c>
    </row>
    <row r="34" spans="1:11" ht="12.75" customHeight="1" x14ac:dyDescent="0.2">
      <c r="A34" s="14" t="str">
        <f>texty!$A$66</f>
        <v>Voliteľné príslušenstvo:</v>
      </c>
      <c r="B34" s="15"/>
      <c r="D34" s="26" t="str">
        <f>System10!$D$41</f>
        <v>zadajte počet:</v>
      </c>
      <c r="E34" s="95"/>
      <c r="F34" s="95"/>
      <c r="G34" s="94"/>
      <c r="I34" s="469" t="str">
        <f>IFERROR(IF((VLOOKUP(B34,cennik!A:L,12,0))="O",texty!$A$250,""),"")</f>
        <v/>
      </c>
      <c r="J34" s="191"/>
      <c r="K34" s="3"/>
    </row>
    <row r="35" spans="1:11" ht="12.75" customHeight="1" x14ac:dyDescent="0.2">
      <c r="A35" s="7" t="str">
        <f>texty!$A$88</f>
        <v>pozicionér do horného vedenia</v>
      </c>
      <c r="B35" s="15">
        <v>298035</v>
      </c>
      <c r="C35" s="25" t="str">
        <f>+VLOOKUP(B35,cennik!$A:$G,2,FALSE)</f>
        <v>SEVROLL 20326 Fix pozicionér pre horný vozík transparentný</v>
      </c>
      <c r="D35" s="29"/>
      <c r="E35" s="91">
        <f>+VLOOKUP(B35,cennik!$A:$G,3,FALSE)</f>
        <v>1.0837300000000001</v>
      </c>
      <c r="F35" s="96">
        <f t="shared" ref="F35" si="3">+CEILING(D35,1)*E35</f>
        <v>0</v>
      </c>
      <c r="G35" s="92">
        <f t="shared" ref="G35" si="4">+F35*(100-$G$24)/100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7" t="str">
        <f>texty!A87</f>
        <v>pozicionér</v>
      </c>
      <c r="B36" s="200">
        <v>229681</v>
      </c>
      <c r="C36" s="25" t="str">
        <f>+VLOOKUP(B36,cennik!$A:$G,2,FALSE)</f>
        <v>SEVROLL 10163 Simple/Blue pozicionér pre spodný vozík</v>
      </c>
      <c r="D36" s="29"/>
      <c r="E36" s="91">
        <f>+VLOOKUP(B36,cennik!$A:$G,3,FALSE)</f>
        <v>0.36124000000000001</v>
      </c>
      <c r="F36" s="91">
        <f>+E36*D36</f>
        <v>0</v>
      </c>
      <c r="G36" s="92">
        <f>+F36*(100-$G$24)/100</f>
        <v>0</v>
      </c>
      <c r="H36" s="6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K36" s="3"/>
    </row>
    <row r="37" spans="1:11" ht="12.75" customHeight="1" x14ac:dyDescent="0.2">
      <c r="A37" s="7" t="str">
        <f>texty!A179</f>
        <v>skrutka k spodnémi vedeniu</v>
      </c>
      <c r="B37" s="15">
        <v>98019</v>
      </c>
      <c r="C37" s="25" t="str">
        <f>+VLOOKUP(B37,cennik!$A:$G,2,FALSE)</f>
        <v>SEVROLL 20041 skrutka 2,5x18mm polguľatá hlava zinok biely</v>
      </c>
      <c r="D37" s="29"/>
      <c r="E37" s="91">
        <f>+VLOOKUP(B37,cennik!$A:$G,3,FALSE)</f>
        <v>2.9159999999999998E-2</v>
      </c>
      <c r="F37" s="96">
        <f>+CEILING(D37,1)*E37</f>
        <v>0</v>
      </c>
      <c r="G37" s="92">
        <f>+F37*(100-$G$20)/100</f>
        <v>0</v>
      </c>
      <c r="H37" s="6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7" t="str">
        <f>texty!$A$204</f>
        <v>spojovací H21 profil Simple (18mm)</v>
      </c>
      <c r="B38" s="16" t="e">
        <f>+VLOOKUP(O7,data!$C$477:$D$480,2,0)</f>
        <v>#N/A</v>
      </c>
      <c r="C38" s="25" t="e">
        <f>+VLOOKUP(B38,cennik!$A:$G,2,FALSE)</f>
        <v>#N/A</v>
      </c>
      <c r="D38" s="30"/>
      <c r="E38" s="91" t="e">
        <f>+VLOOKUP(B38,cennik!$A:$G,3,FALSE)</f>
        <v>#N/A</v>
      </c>
      <c r="F38" s="91" t="e">
        <f>+E38*D38</f>
        <v>#N/A</v>
      </c>
      <c r="G38" s="92" t="e">
        <f>+F38*(100-$G$24)/100</f>
        <v>#N/A</v>
      </c>
      <c r="H38" s="6" t="str">
        <f>cennik!$B$2</f>
        <v>EUR</v>
      </c>
      <c r="I38" s="469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11" ht="12.75" customHeight="1" x14ac:dyDescent="0.2">
      <c r="A39" s="7" t="str">
        <f>texty!$A$205</f>
        <v>spojovací H28 profil Simple (18mm)</v>
      </c>
      <c r="B39" s="16" t="str">
        <f>IFERROR(+VLOOKUP(O7,data!$C$481:$D$483,2,0),"N/A")</f>
        <v>N/A</v>
      </c>
      <c r="C39" s="25" t="str">
        <f>IF(B39=data!$D$64,texty!$A$239,+VLOOKUP(B39,cennik!$A:$G,2,FALSE))</f>
        <v> v tejto farbe a dĺžke sa daný profil nevyrába</v>
      </c>
      <c r="D39" s="30"/>
      <c r="E39" s="91">
        <f>IFERROR(+VLOOKUP(B39,cennik!$A:$G,3,FALSE),0)</f>
        <v>0</v>
      </c>
      <c r="F39" s="91">
        <f>+E39*D39</f>
        <v>0</v>
      </c>
      <c r="G39" s="92">
        <f>+F39*(100-$G$24)/100</f>
        <v>0</v>
      </c>
      <c r="H39" s="6" t="str">
        <f>cennik!$B$2</f>
        <v>EUR</v>
      </c>
      <c r="I39" s="469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11" ht="12.75" customHeight="1" x14ac:dyDescent="0.2">
      <c r="A40" s="422" t="str">
        <f>texty!$A$228</f>
        <v> Tlmič dorazu MINI do 25 kg (pár)</v>
      </c>
      <c r="B40" s="16">
        <v>318662</v>
      </c>
      <c r="C40" s="25" t="str">
        <f>+VLOOKUP(B40,cennik!$A:$G,2,FALSE)</f>
        <v>SEVROLL 20368-SV tlmič dorazu Mini SV25 (14-25kg)</v>
      </c>
      <c r="D40" s="29"/>
      <c r="E40" s="91">
        <f>+VLOOKUP(B40,cennik!$A:$G,3,FALSE)</f>
        <v>22.75825</v>
      </c>
      <c r="F40" s="96">
        <f>+CEILING(D40,1)*E40</f>
        <v>0</v>
      </c>
      <c r="G40" s="92">
        <f t="shared" ref="G40:G43" si="5">+F40*(100-$G$24)/100</f>
        <v>0</v>
      </c>
      <c r="H40" s="6" t="str">
        <f>cennik!$B$2</f>
        <v>EUR</v>
      </c>
      <c r="I40" s="469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11" ht="12.75" customHeight="1" x14ac:dyDescent="0.2">
      <c r="A41" s="422" t="str">
        <f>texty!$A$229</f>
        <v> Tlmič dorazu MINI do 40 kg (pár)</v>
      </c>
      <c r="B41" s="24">
        <v>283956</v>
      </c>
      <c r="C41" s="25" t="str">
        <f>+VLOOKUP(B41,cennik!$A:$G,2,FALSE)</f>
        <v>SEVROLL 20258-SV tlmič dorazu Mini SV40 (25 - 40kg)</v>
      </c>
      <c r="D41" s="29"/>
      <c r="E41" s="91">
        <f>+VLOOKUP(B41,cennik!$A:$G,3,FALSE)</f>
        <v>22.75825</v>
      </c>
      <c r="F41" s="96">
        <f>+CEILING(D41,1)*E41</f>
        <v>0</v>
      </c>
      <c r="G41" s="92">
        <f t="shared" si="5"/>
        <v>0</v>
      </c>
      <c r="H41" s="6" t="str">
        <f>cennik!$B$2</f>
        <v>EUR</v>
      </c>
      <c r="I41" s="469" t="str">
        <f>IFERROR(IF((VLOOKUP(B41,cennik!A:L,12,0))="O",texty!$A$250,""),"")</f>
        <v/>
      </c>
      <c r="J41" s="191" t="str">
        <f>IF(D41&gt;0,IF(VLOOKUP(B41,cennik!A:L,12,FALSE)="O",1,""),"")</f>
        <v/>
      </c>
      <c r="K41" s="3"/>
    </row>
    <row r="42" spans="1:11" ht="12.75" customHeight="1" x14ac:dyDescent="0.2">
      <c r="A42" s="422" t="str">
        <f>texty!$A$231</f>
        <v> Tlmič pre stredné krídlo do 25 kg</v>
      </c>
      <c r="B42" s="24">
        <v>318663</v>
      </c>
      <c r="C42" s="25" t="str">
        <f>+VLOOKUP(B42,cennik!$A:$G,2,FALSE)</f>
        <v>SEVROLL 20363-SV tlmič Central 10/18mm obojstranný 25kg</v>
      </c>
      <c r="D42" s="29"/>
      <c r="E42" s="91">
        <f>+VLOOKUP(B42,cennik!$A:$G,3,FALSE)</f>
        <v>48.741869999999999</v>
      </c>
      <c r="F42" s="96">
        <f>+CEILING(D42,1)*E42</f>
        <v>0</v>
      </c>
      <c r="G42" s="92">
        <f t="shared" si="5"/>
        <v>0</v>
      </c>
      <c r="H42" s="6" t="str">
        <f>cennik!$B$2</f>
        <v>EUR</v>
      </c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11" ht="12.75" customHeight="1" x14ac:dyDescent="0.2">
      <c r="A43" s="422" t="str">
        <f>texty!$A$232</f>
        <v> Tlmič pre stredné krídlo do 40 kg</v>
      </c>
      <c r="B43" s="24">
        <v>283955</v>
      </c>
      <c r="C43" s="25" t="str">
        <f>+VLOOKUP(B43,cennik!$A:$G,2,FALSE)</f>
        <v>SEVROLL 20319-SV tlmič Central 10/18mm obojstranný 25-40kg</v>
      </c>
      <c r="D43" s="29"/>
      <c r="E43" s="91">
        <f>+VLOOKUP(B43,cennik!$A:$G,3,FALSE)</f>
        <v>48.741869999999999</v>
      </c>
      <c r="F43" s="96">
        <f>+CEILING(D43,1)*E43</f>
        <v>0</v>
      </c>
      <c r="G43" s="92">
        <f t="shared" si="5"/>
        <v>0</v>
      </c>
      <c r="H43" s="6" t="str">
        <f>cennik!$B$2</f>
        <v>EUR</v>
      </c>
      <c r="I43" s="469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</row>
    <row r="44" spans="1:11" ht="12.75" customHeight="1" x14ac:dyDescent="0.2">
      <c r="A44" s="7" t="str">
        <f>texty!$A$90</f>
        <v>protiprachový kartáč</v>
      </c>
      <c r="B44" s="16">
        <v>305348</v>
      </c>
      <c r="C44" s="25" t="str">
        <f>+VLOOKUP(B44,cennik!$A:$G,2,FALSE)</f>
        <v>SEVROLL 20082-BL protiprachový kartáč zásuvný 4,8x9mm šedý</v>
      </c>
      <c r="D44" s="30"/>
      <c r="E44" s="91">
        <f>+VLOOKUP(B44,cennik!$A:$G,3,FALSE)</f>
        <v>0.23222999999999999</v>
      </c>
      <c r="F44" s="91">
        <f>+E44*D44</f>
        <v>0</v>
      </c>
      <c r="G44" s="92">
        <f>+F44*(100-$G$24)/100</f>
        <v>0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6"/>
    </row>
    <row r="45" spans="1:11" ht="12.75" customHeight="1" x14ac:dyDescent="0.2">
      <c r="A45" s="145" t="str">
        <f>texty!$A$119</f>
        <v>uholník mini 11x17mm - 1,7m</v>
      </c>
      <c r="B45" s="6" t="e">
        <f>+VLOOKUP($O$7,data!$C$589:$D$599,2,0)</f>
        <v>#N/A</v>
      </c>
      <c r="C45" s="38" t="e">
        <f>IF(B45=data!$D$64,texty!$A$239,+VLOOKUP(B45,cennik!$A$3:$G$9999,2,FALSE))</f>
        <v>#N/A</v>
      </c>
      <c r="D45" s="29"/>
      <c r="E45" s="91" t="e">
        <f>IF(B45=data!$D$73,0,+VLOOKUP(B45,cennik!$A$3:$G$9999,3,FALSE))</f>
        <v>#N/A</v>
      </c>
      <c r="F45" s="91" t="e">
        <f>+E45*D45</f>
        <v>#N/A</v>
      </c>
      <c r="G45" s="104" t="e">
        <f t="shared" ref="G45:G51" si="6">+F45*(100-$G$22)/100</f>
        <v>#N/A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">
      <c r="A46" s="145" t="str">
        <f>texty!$A$120</f>
        <v>uholník mini 11x17mm - 2,35m</v>
      </c>
      <c r="B46" s="6" t="e">
        <f>+VLOOKUP($O$7,data!$C$600:$D$610,2,0)</f>
        <v>#N/A</v>
      </c>
      <c r="C46" s="38" t="e">
        <f>IF(B46=data!$D$64,texty!$A$239,+VLOOKUP(B46,cennik!$A$3:$G$9999,2,FALSE))</f>
        <v>#N/A</v>
      </c>
      <c r="D46" s="29"/>
      <c r="E46" s="91" t="e">
        <f>IF(B46=data!$D$73,0,+VLOOKUP(B46,cennik!$A$3:$G$9999,3,FALSE))</f>
        <v>#N/A</v>
      </c>
      <c r="F46" s="91" t="e">
        <f>+E46*D46</f>
        <v>#N/A</v>
      </c>
      <c r="G46" s="104" t="e">
        <f t="shared" si="6"/>
        <v>#N/A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">
      <c r="A47" s="145" t="str">
        <f>texty!$A$121</f>
        <v>uholník mini 11x17mm - 3m</v>
      </c>
      <c r="B47" s="15" t="e">
        <f>+VLOOKUP($O$7,data!$C$611:$D$621,2,0)</f>
        <v>#N/A</v>
      </c>
      <c r="C47" s="38" t="e">
        <f>IF(B47=data!$D$64,texty!$A$239,+VLOOKUP(B47,cennik!$A$3:$G$9999,2,FALSE))</f>
        <v>#N/A</v>
      </c>
      <c r="D47" s="29"/>
      <c r="E47" s="91" t="e">
        <f>IF(B47=data!$D$73,0,+VLOOKUP(B47,cennik!$A$3:$G$9999,3,FALSE))</f>
        <v>#N/A</v>
      </c>
      <c r="F47" s="91" t="e">
        <f>+E47*D47</f>
        <v>#N/A</v>
      </c>
      <c r="G47" s="104" t="e">
        <f t="shared" si="6"/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">
      <c r="A48" s="145" t="str">
        <f>texty!$A$122</f>
        <v>uholník K2 19x18mm - 1,7m</v>
      </c>
      <c r="B48" s="24" t="e">
        <f>+VLOOKUP($O$7,data!$C$622:$D$631,2,0)</f>
        <v>#N/A</v>
      </c>
      <c r="C48" s="38" t="e">
        <f>IF(B48=data!$D$64,texty!$A$239,+VLOOKUP(B48,cennik!$A$3:$G$907,2,FALSE))</f>
        <v>#N/A</v>
      </c>
      <c r="D48" s="29"/>
      <c r="E48" s="91" t="e">
        <f>IF(B48=data!$D$73,0,+VLOOKUP(B48,cennik!$A$3:$G$907,3,FALSE))</f>
        <v>#N/A</v>
      </c>
      <c r="F48" s="91" t="e">
        <f>+E48*D48</f>
        <v>#N/A</v>
      </c>
      <c r="G48" s="104" t="e">
        <f t="shared" si="6"/>
        <v>#N/A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3" ht="12.75" customHeight="1" x14ac:dyDescent="0.2">
      <c r="A49" s="145" t="str">
        <f>texty!$A$123</f>
        <v>uholník K2 19x18mm - 2,35m</v>
      </c>
      <c r="B49" s="16" t="e">
        <f>+VLOOKUP($O$7,data!$C$632:$D$641,2,0)</f>
        <v>#N/A</v>
      </c>
      <c r="C49" s="38" t="e">
        <f>IF(B49=data!$D$64,texty!$A$239,+VLOOKUP(B49,cennik!$A$3:$G$907,2,FALSE))</f>
        <v>#N/A</v>
      </c>
      <c r="D49" s="30"/>
      <c r="E49" s="91" t="e">
        <f>IF(B49=data!$D$73,0,+VLOOKUP(B49,cennik!$A$3:$G$907,3,FALSE))</f>
        <v>#N/A</v>
      </c>
      <c r="F49" s="91" t="e">
        <f t="shared" ref="F49:F51" si="7">+E49*D49</f>
        <v>#N/A</v>
      </c>
      <c r="G49" s="104" t="e">
        <f t="shared" si="6"/>
        <v>#N/A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3" ht="12.75" customHeight="1" x14ac:dyDescent="0.2">
      <c r="A50" s="145" t="str">
        <f>texty!$A$124</f>
        <v>uholník K2 19x18mm - 3,00m</v>
      </c>
      <c r="B50" s="16" t="e">
        <f>+VLOOKUP($O$7,data!$C$642:$D$651,2,0)</f>
        <v>#N/A</v>
      </c>
      <c r="C50" s="38" t="e">
        <f>IF(B50=data!$D$64,texty!$A$239,+VLOOKUP(B50,cennik!$A$3:$G$907,2,FALSE))</f>
        <v>#N/A</v>
      </c>
      <c r="D50" s="30"/>
      <c r="E50" s="91" t="e">
        <f>IF(B50=data!$D$73,0,+VLOOKUP(B50,cennik!$A$3:$G$907,3,FALSE))</f>
        <v>#N/A</v>
      </c>
      <c r="F50" s="91" t="e">
        <f t="shared" si="7"/>
        <v>#N/A</v>
      </c>
      <c r="G50" s="104" t="e">
        <f t="shared" si="6"/>
        <v>#N/A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3" ht="12.75" customHeight="1" x14ac:dyDescent="0.2">
      <c r="A51" s="145" t="str">
        <f>texty!$A$241</f>
        <v>klínok pre dilatáciu výplne 16mm</v>
      </c>
      <c r="B51" s="16">
        <v>308631</v>
      </c>
      <c r="C51" s="38" t="str">
        <f>+VLOOKUP(B51,cennik!$A:$G,2,FALSE)</f>
        <v>SEVROLL 20252 klin pre lamino hrúbka 2mm (100 ks)</v>
      </c>
      <c r="D51" s="29"/>
      <c r="E51" s="207">
        <f>+VLOOKUP(B51,cennik!$A:$G,3,FALSE)</f>
        <v>8.7214100000000006</v>
      </c>
      <c r="F51" s="105">
        <f t="shared" si="7"/>
        <v>0</v>
      </c>
      <c r="G51" s="104">
        <f t="shared" si="6"/>
        <v>0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3" ht="12.75" customHeight="1" x14ac:dyDescent="0.2">
      <c r="A52" s="422" t="str">
        <f>texty!$A$240</f>
        <v>zámok posuvných dverí</v>
      </c>
      <c r="B52" s="24">
        <v>216363</v>
      </c>
      <c r="C52" s="38" t="str">
        <f>+VLOOKUP(B52,cennik!$A:$G,2,FALSE)</f>
        <v>SEVROLL 20356 zámok na posuvné dvere 10/18mm</v>
      </c>
      <c r="D52" s="29"/>
      <c r="E52" s="207">
        <f>+VLOOKUP(B52,cennik!$A:$G,3,FALSE)</f>
        <v>15.72176</v>
      </c>
      <c r="F52" s="105">
        <f>+E52*D52</f>
        <v>0</v>
      </c>
      <c r="G52" s="104">
        <f>+F52*(100-$G$22)/100</f>
        <v>0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3" ht="12.75" customHeight="1" x14ac:dyDescent="0.2">
      <c r="H53" s="5"/>
      <c r="I53" s="5"/>
      <c r="J53" s="191"/>
      <c r="K53" s="191"/>
    </row>
    <row r="54" spans="1:13" ht="15" x14ac:dyDescent="0.2">
      <c r="A54" s="271" t="str">
        <f>texty!$A$190</f>
        <v>Ďalšie príslušenstvo</v>
      </c>
      <c r="E54" s="94"/>
      <c r="F54" s="94"/>
      <c r="G54" s="94"/>
      <c r="I54" s="181"/>
      <c r="J54" s="181"/>
      <c r="K54" s="6"/>
    </row>
    <row r="55" spans="1:13" ht="12.75" customHeight="1" x14ac:dyDescent="0.2">
      <c r="A55" s="271" t="str">
        <f>texty!$A$244</f>
        <v>Technický nákres tohoto systému</v>
      </c>
      <c r="E55" s="94"/>
      <c r="F55" s="94"/>
      <c r="G55" s="94"/>
      <c r="I55" s="181"/>
      <c r="J55" s="181"/>
    </row>
    <row r="56" spans="1:13" ht="12.75" customHeight="1" x14ac:dyDescent="0.2">
      <c r="B56" s="8"/>
      <c r="C56" s="8"/>
      <c r="D56" s="76" t="str">
        <f>texty!$A$15</f>
        <v>CELKOM  (bez DPH)</v>
      </c>
      <c r="E56" s="99"/>
      <c r="F56" s="101" t="e">
        <f>SUM(F26:F54)</f>
        <v>#N/A</v>
      </c>
      <c r="G56" s="101" t="e">
        <f>SUM(G26:G54)</f>
        <v>#N/A</v>
      </c>
      <c r="H56" s="6" t="str">
        <f>cennik!$B$2</f>
        <v>EUR</v>
      </c>
      <c r="I56" s="181"/>
      <c r="J56" s="181"/>
      <c r="K56" s="5" t="str">
        <f>texty!A128</f>
        <v xml:space="preserve">strieborná </v>
      </c>
    </row>
    <row r="57" spans="1:13" ht="12.75" customHeight="1" x14ac:dyDescent="0.2">
      <c r="A57" s="75" t="str">
        <f>System10!$A$67</f>
        <v>Vaša poznámka:</v>
      </c>
      <c r="B57" s="656"/>
      <c r="C57" s="657"/>
      <c r="D57" s="657"/>
      <c r="E57" s="657"/>
      <c r="F57" s="657"/>
      <c r="G57" s="657"/>
      <c r="K57" s="5" t="str">
        <f>texty!A130</f>
        <v>oliva</v>
      </c>
    </row>
    <row r="58" spans="1:13" ht="12.75" customHeight="1" x14ac:dyDescent="0.2">
      <c r="A58" s="648">
        <f>profil!$U$15</f>
        <v>0</v>
      </c>
      <c r="B58" s="649"/>
      <c r="C58" s="649"/>
      <c r="D58" s="649"/>
      <c r="E58" s="649"/>
      <c r="F58" s="649"/>
      <c r="G58" s="649"/>
      <c r="K58" s="5" t="str">
        <f>data!J17</f>
        <v>čierna mat</v>
      </c>
    </row>
    <row r="59" spans="1:13" ht="12.75" customHeight="1" x14ac:dyDescent="0.2">
      <c r="A59" s="650">
        <f>IF(M59=1,texty!$A$215,IF(J59&gt;0,texty!$A$214,""))</f>
        <v>0</v>
      </c>
      <c r="B59" s="650"/>
      <c r="C59" s="650"/>
      <c r="D59" s="650"/>
      <c r="E59" s="650"/>
      <c r="F59" s="650"/>
      <c r="G59" s="650"/>
      <c r="J59" s="6" t="e">
        <f>SUM(J26:J54)</f>
        <v>#N/A</v>
      </c>
      <c r="M59" s="5">
        <f>IF(ISERROR(J59),1,0)</f>
        <v>1</v>
      </c>
    </row>
    <row r="60" spans="1:13" ht="12.75" customHeight="1" x14ac:dyDescent="0.2"/>
    <row r="72" spans="1:1" ht="12.75" hidden="1" customHeight="1" x14ac:dyDescent="0.2">
      <c r="A72" s="5">
        <v>3</v>
      </c>
    </row>
    <row r="73" spans="1:1" ht="12.75" customHeight="1" x14ac:dyDescent="0.2"/>
    <row r="74" spans="1:1" ht="12.75" customHeight="1" x14ac:dyDescent="0.2"/>
    <row r="75" spans="1:1" ht="12.75" customHeight="1" x14ac:dyDescent="0.2"/>
    <row r="76" spans="1:1" ht="12.75" customHeight="1" x14ac:dyDescent="0.2"/>
    <row r="77" spans="1:1" ht="12.75" customHeight="1" x14ac:dyDescent="0.2"/>
  </sheetData>
  <sheetProtection algorithmName="SHA-512" hashValue="SMhHbfX9JystLln5enutURPGgVkHmIZ+WgUcs6jSz2QO76DXbxgRrGjYg/frhR3eBGbVgwoyVJ2cMm7Jv2cRKg==" saltValue="sS8wvWjQ84DTPOSLlVdP1Q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 2740 mm" sqref="B4" xr:uid="{ED88714A-531F-44A7-AEE0-E570511114B7}">
      <formula1>0</formula1>
      <formula2>2740</formula2>
    </dataValidation>
    <dataValidation type="list" allowBlank="1" showInputMessage="1" showErrorMessage="1" sqref="E5:E6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92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7.7109375" style="5" customWidth="1"/>
    <col min="2" max="2" width="15.7109375" style="5" customWidth="1"/>
    <col min="3" max="3" width="53.7109375" style="5" customWidth="1"/>
    <col min="4" max="4" width="13.7109375" style="5" customWidth="1"/>
    <col min="5" max="5" width="13.42578125" style="5" customWidth="1"/>
    <col min="6" max="6" width="13.140625" style="5" customWidth="1"/>
    <col min="7" max="7" width="15.140625" style="5" bestFit="1" customWidth="1"/>
    <col min="8" max="8" width="4.7109375" style="6" bestFit="1" customWidth="1"/>
    <col min="9" max="9" width="24.7109375" style="6" customWidth="1"/>
    <col min="10" max="10" width="11.28515625" style="6" hidden="1" customWidth="1"/>
    <col min="11" max="11" width="9.140625" style="5" hidden="1" customWidth="1"/>
    <col min="12" max="12" width="8.140625" style="5" hidden="1" customWidth="1"/>
    <col min="13" max="13" width="11.42578125" style="5" hidden="1" customWidth="1"/>
    <col min="14" max="14" width="7.140625" style="5" hidden="1" customWidth="1"/>
    <col min="15" max="15" width="8.7109375" style="5" hidden="1" customWidth="1"/>
    <col min="16" max="16" width="7.140625" style="5" hidden="1" customWidth="1"/>
    <col min="17" max="16384" width="9.140625" style="5" hidden="1"/>
  </cols>
  <sheetData>
    <row r="1" spans="1:21" ht="13.5" customHeight="1" thickBot="1" x14ac:dyDescent="0.25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">
      <c r="A2" s="523" t="s">
        <v>997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6.25" thickBot="1" x14ac:dyDescent="0.25">
      <c r="A3" s="524" t="str">
        <f>CONCATENATE(texty!A243," ",5,".",77)</f>
        <v>katalóg kovania 2018 str. 5.77</v>
      </c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25.5" customHeight="1" x14ac:dyDescent="0.2">
      <c r="A4" s="10" t="str">
        <f>+System10!A4</f>
        <v>VNÚTORNÝ ROZMER SKRINE:</v>
      </c>
      <c r="B4" s="56"/>
      <c r="C4" s="56"/>
      <c r="D4" s="22"/>
      <c r="E4" s="22"/>
      <c r="F4" s="655"/>
      <c r="G4" s="655"/>
      <c r="H4" s="655"/>
      <c r="I4" s="655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">
      <c r="A5" s="476"/>
      <c r="B5" s="633" t="str">
        <f>texty!A46</f>
        <v>vypíšte tieto 4 políčka !!! Údaje v mm</v>
      </c>
      <c r="C5" s="633"/>
      <c r="D5" s="633"/>
      <c r="E5" s="633"/>
      <c r="F5" s="655"/>
      <c r="G5" s="655"/>
      <c r="H5" s="655"/>
      <c r="I5" s="655"/>
      <c r="J5" s="190"/>
      <c r="K5" s="3"/>
      <c r="N5" s="5" t="str">
        <f>CONCATENATE(N4,"-",E4)</f>
        <v>1500-</v>
      </c>
    </row>
    <row r="6" spans="1:21" ht="18" customHeight="1" x14ac:dyDescent="0.2">
      <c r="A6" s="10"/>
      <c r="B6" s="11" t="str">
        <f>IF(D4=4,texty!A227,"")</f>
        <v/>
      </c>
      <c r="D6" s="285">
        <v>3</v>
      </c>
      <c r="E6" s="8"/>
      <c r="F6" s="655"/>
      <c r="G6" s="655"/>
      <c r="H6" s="655"/>
      <c r="I6" s="655"/>
      <c r="J6" s="190"/>
      <c r="K6" s="6"/>
      <c r="Q6" s="636" t="s">
        <v>557</v>
      </c>
      <c r="R6" s="636" t="s">
        <v>715</v>
      </c>
      <c r="S6" s="636" t="s">
        <v>716</v>
      </c>
      <c r="T6" s="636" t="s">
        <v>560</v>
      </c>
    </row>
    <row r="7" spans="1:21" ht="12.75" customHeight="1" x14ac:dyDescent="0.2">
      <c r="A7" s="10" t="str">
        <f>+System10!$A$7</f>
        <v>krídlo dverí:</v>
      </c>
      <c r="B7" s="57">
        <f>+B4-35</f>
        <v>-35</v>
      </c>
      <c r="C7" s="59" t="e">
        <f>+((C4-3+34*(D4-1))/D4+IF(AND(D4=4,D6=2),L1,0))</f>
        <v>#DIV/0!</v>
      </c>
      <c r="D7" s="8"/>
      <c r="E7" s="8"/>
      <c r="F7" s="50" t="str">
        <f>texty!$A$39</f>
        <v>V prípade použitia skla ako výplne</v>
      </c>
      <c r="G7" s="6"/>
      <c r="K7" s="6"/>
      <c r="N7" s="17" t="e">
        <f>IF(K11="jiné",L12,K11)</f>
        <v>#DIV/0!</v>
      </c>
      <c r="O7" s="21">
        <f>+E4</f>
        <v>0</v>
      </c>
      <c r="Q7" s="636"/>
      <c r="R7" s="636"/>
      <c r="S7" s="636"/>
      <c r="T7" s="636"/>
    </row>
    <row r="8" spans="1:21" ht="12.75" customHeight="1" x14ac:dyDescent="0.2">
      <c r="A8" s="10" t="str">
        <f>texty!$A$48</f>
        <v>rozmer výplne 18mm:</v>
      </c>
      <c r="B8" s="57">
        <f>+B7-60</f>
        <v>-95</v>
      </c>
      <c r="C8" s="59" t="e">
        <f>+C7-37</f>
        <v>#DIV/0!</v>
      </c>
      <c r="D8" s="8"/>
      <c r="E8" s="8"/>
      <c r="F8" s="50" t="str">
        <f>texty!$A$40</f>
        <v>je treba použiť bezpečnostné sklo</v>
      </c>
      <c r="G8" s="6"/>
      <c r="K8" s="6" t="s">
        <v>60</v>
      </c>
      <c r="L8" s="5" t="s">
        <v>61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">
      <c r="A9" s="10" t="str">
        <f>+System10!A9</f>
        <v>rozmer zrkadla / skla</v>
      </c>
      <c r="B9" s="57">
        <f>+B8</f>
        <v>-95</v>
      </c>
      <c r="C9" s="59" t="e">
        <f>+C8+16</f>
        <v>#DIV/0!</v>
      </c>
      <c r="D9" s="8"/>
      <c r="E9" s="8"/>
      <c r="F9" s="50" t="str">
        <f>texty!$A$41</f>
        <v>alebo sklo zabezpečiť ochrannou fóliou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3" si="0">Q8+$C$10+5</f>
        <v>#DIV/0!</v>
      </c>
      <c r="R9" s="5" t="e">
        <f>(1500-C10)*R19</f>
        <v>#DIV/0!</v>
      </c>
      <c r="S9" s="5" t="e">
        <f>(2000-C10)*S19</f>
        <v>#DIV/0!</v>
      </c>
      <c r="T9" s="5" t="e">
        <f>(3000-C10)*T19</f>
        <v>#DIV/0!</v>
      </c>
      <c r="U9" s="5" t="s">
        <v>562</v>
      </c>
    </row>
    <row r="10" spans="1:21" ht="12.75" customHeight="1" x14ac:dyDescent="0.2">
      <c r="A10" s="10" t="str">
        <f>+System10!A10</f>
        <v>dĺžka vodiacej a krycej lišty krídla</v>
      </c>
      <c r="B10" s="57"/>
      <c r="C10" s="60" t="e">
        <f>+C7-57</f>
        <v>#DIV/0!</v>
      </c>
      <c r="D10" s="8"/>
      <c r="E10" s="8"/>
      <c r="F10" s="3" t="str">
        <f>texty!$A$44</f>
        <v>Maximálna hmotnosť krídla je 35 kg</v>
      </c>
      <c r="G10" s="6"/>
      <c r="K10" s="5" t="s">
        <v>59</v>
      </c>
      <c r="N10" s="17" t="e">
        <f>IF(K11="jiné",L13,"")</f>
        <v>#DIV/0!</v>
      </c>
      <c r="O10" s="21">
        <f>+E4</f>
        <v>0</v>
      </c>
      <c r="P10" s="5">
        <v>3</v>
      </c>
      <c r="Q10" s="159" t="e">
        <f t="shared" si="0"/>
        <v>#DIV/0!</v>
      </c>
    </row>
    <row r="11" spans="1:21" ht="12.75" customHeight="1" x14ac:dyDescent="0.2">
      <c r="A11" s="10" t="str">
        <f>+System10!A11</f>
        <v>Horný/spodný profil</v>
      </c>
      <c r="B11" s="57"/>
      <c r="C11" s="189">
        <f>+C4</f>
        <v>0</v>
      </c>
      <c r="D11" s="8"/>
      <c r="E11" s="8"/>
      <c r="G11" s="40"/>
      <c r="K11" s="36" t="e">
        <f>IF((K9+L9)&lt;1500,1500,IF((K9+L9)&lt;2000,2000,IF((K9+L9)&lt;3000,3000,"jiné")))</f>
        <v>#DIV/0!</v>
      </c>
      <c r="M11" s="5" t="s">
        <v>62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">
      <c r="A12" s="10" t="str">
        <f>+System10!A12</f>
        <v>úchytková lišta</v>
      </c>
      <c r="B12" s="488">
        <f>+B7</f>
        <v>-35</v>
      </c>
      <c r="C12" s="489"/>
      <c r="D12" s="8"/>
      <c r="E12" s="8"/>
      <c r="F12" s="6"/>
      <c r="G12" s="6"/>
      <c r="K12" s="6" t="e">
        <f>C10*(D4-1)+(D4*5)</f>
        <v>#DIV/0!</v>
      </c>
      <c r="L12" s="5" t="e">
        <f>IF(K12&lt;1500,1500,IF(K12&lt;2000,2000,IF(K12&lt;3000,3000,3000)))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24" x14ac:dyDescent="0.2">
      <c r="A13" s="635" t="str">
        <f>IF(SUM(D50:D51)&gt;0,texty!A247,"")</f>
        <v/>
      </c>
      <c r="B13" s="635"/>
      <c r="C13" s="483" t="str">
        <f>texty!A78</f>
        <v>dodatočné odpočty výšky vypočítaných výplní pri použití deliacich profilov výplne:</v>
      </c>
      <c r="D13" s="8"/>
      <c r="E13" s="8"/>
      <c r="F13" s="6"/>
      <c r="G13" s="6"/>
      <c r="K13" s="35" t="e">
        <f>C10+10</f>
        <v>#DIV/0!</v>
      </c>
      <c r="L13" s="5" t="e">
        <f>IF(M12&gt;=0,IF(K13&lt;1500,1500,IF(K13&lt;2000,2000,IF(K13&lt;3000,3000,"jiné"))),IF((K13+C10)&lt;1500,1500,IF((K13+C10)&lt;2000,2000,IF((K13+C10)&lt;3000,3000,"jiné"))))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x14ac:dyDescent="0.2">
      <c r="A14" s="635"/>
      <c r="B14" s="635"/>
      <c r="C14" s="483"/>
      <c r="D14" s="8"/>
      <c r="E14" s="8"/>
      <c r="F14" s="6"/>
      <c r="G14" s="6"/>
      <c r="K14" s="35"/>
      <c r="Q14" s="159"/>
    </row>
    <row r="15" spans="1:21" ht="19.899999999999999" customHeight="1" x14ac:dyDescent="0.2">
      <c r="A15" s="635" t="str">
        <f>IF(SUM(D52:D53)&gt;0,texty!A249,"")</f>
        <v/>
      </c>
      <c r="B15" s="635"/>
      <c r="C15" s="483"/>
      <c r="D15" s="8"/>
      <c r="E15" s="8"/>
      <c r="F15" s="6"/>
      <c r="G15" s="6"/>
      <c r="K15" s="35"/>
      <c r="Q15" s="159"/>
    </row>
    <row r="16" spans="1:21" ht="29.25" customHeight="1" x14ac:dyDescent="0.2">
      <c r="A16" s="635"/>
      <c r="B16" s="635"/>
      <c r="C16" s="483"/>
      <c r="D16" s="8"/>
      <c r="E16" s="8"/>
      <c r="F16" s="6"/>
      <c r="G16" s="6"/>
      <c r="K16" s="35"/>
      <c r="Q16" s="159"/>
    </row>
    <row r="17" spans="1:21" x14ac:dyDescent="0.2">
      <c r="A17" s="7"/>
      <c r="B17" s="58"/>
      <c r="C17" s="483"/>
      <c r="D17" s="8"/>
      <c r="E17" s="8"/>
      <c r="F17" s="6"/>
      <c r="G17" s="6"/>
      <c r="K17" s="35"/>
      <c r="Q17" s="159"/>
    </row>
    <row r="18" spans="1:21" ht="12.75" customHeight="1" x14ac:dyDescent="0.2">
      <c r="A18" s="7"/>
      <c r="B18" s="8"/>
      <c r="C18" s="12"/>
      <c r="D18" s="8"/>
      <c r="E18" s="8"/>
      <c r="F18" s="6"/>
      <c r="G18" s="6"/>
      <c r="K18" s="6"/>
      <c r="L18" s="5" t="e">
        <f>SUM(L12:L13)</f>
        <v>#DIV/0!</v>
      </c>
      <c r="M18" s="5" t="e">
        <f>SUM(M12:M13)</f>
        <v>#DIV/0!</v>
      </c>
      <c r="P18" s="5">
        <v>7</v>
      </c>
      <c r="Q18" s="159" t="e">
        <f>Q13+$C$10+5</f>
        <v>#DIV/0!</v>
      </c>
    </row>
    <row r="19" spans="1:21" ht="12.75" customHeight="1" x14ac:dyDescent="0.2">
      <c r="B19" s="8"/>
      <c r="C19" s="12"/>
      <c r="D19" s="8"/>
      <c r="E19" s="8"/>
      <c r="F19" s="6"/>
      <c r="G19" s="6"/>
      <c r="K19" s="6"/>
      <c r="L19" s="5" t="e">
        <f>L18-C4</f>
        <v>#DIV/0!</v>
      </c>
      <c r="P19" s="5" t="s">
        <v>561</v>
      </c>
      <c r="R19" s="5" t="e">
        <f>FLOOR($D$4/R8,1)</f>
        <v>#DIV/0!</v>
      </c>
      <c r="S19" s="5" t="e">
        <f>FLOOR($D$4/S8,1)</f>
        <v>#DIV/0!</v>
      </c>
      <c r="T19" s="5" t="e">
        <f>FLOOR($D$4/T8,1)</f>
        <v>#DIV/0!</v>
      </c>
    </row>
    <row r="20" spans="1:21" ht="12.75" customHeight="1" x14ac:dyDescent="0.2">
      <c r="A20" s="7"/>
      <c r="B20" s="8"/>
      <c r="C20" s="12"/>
      <c r="D20" s="8"/>
      <c r="E20" s="8"/>
      <c r="F20" s="6"/>
      <c r="G20" s="6"/>
      <c r="K20" s="6"/>
    </row>
    <row r="21" spans="1:21" ht="14.25" customHeight="1" x14ac:dyDescent="0.2">
      <c r="A21" s="146"/>
      <c r="B21" s="484" t="str">
        <f>texty!A242</f>
        <v>dilatácia 4 mm</v>
      </c>
      <c r="C21" s="27"/>
      <c r="D21" s="8"/>
      <c r="E21" s="8"/>
      <c r="F21" s="6"/>
      <c r="G21" s="6"/>
      <c r="K21" s="6"/>
    </row>
    <row r="22" spans="1:21" ht="16.5" customHeight="1" x14ac:dyDescent="0.2">
      <c r="A22" s="205"/>
      <c r="B22" s="8"/>
      <c r="C22" s="8"/>
      <c r="E22" s="8"/>
      <c r="F22" s="6"/>
      <c r="G22" s="6"/>
      <c r="K22" s="6"/>
      <c r="L22" s="6"/>
      <c r="Q22" s="5" t="s">
        <v>581</v>
      </c>
      <c r="R22" s="5" t="s">
        <v>580</v>
      </c>
      <c r="S22" s="5">
        <v>1500</v>
      </c>
      <c r="T22" s="5">
        <v>2000</v>
      </c>
      <c r="U22" s="5">
        <v>3000</v>
      </c>
    </row>
    <row r="23" spans="1:21" ht="16.5" customHeight="1" x14ac:dyDescent="0.2">
      <c r="A23" s="7"/>
      <c r="C23" s="8"/>
      <c r="D23" s="13"/>
      <c r="E23" s="8"/>
      <c r="F23" s="6"/>
      <c r="G23" s="6"/>
      <c r="K23" s="6"/>
      <c r="P23" s="5">
        <v>1</v>
      </c>
      <c r="Q23" s="5" t="e">
        <f>R8</f>
        <v>#DIV/0!</v>
      </c>
      <c r="R23" s="5" t="e">
        <f>IF(Q23&gt;=D4,1,"")</f>
        <v>#DIV/0!</v>
      </c>
      <c r="S23" s="163" t="e">
        <f>IF(R23=1,1,"")</f>
        <v>#DIV/0!</v>
      </c>
      <c r="T23" s="163"/>
      <c r="U23" s="163"/>
    </row>
    <row r="24" spans="1:21" ht="12.75" customHeight="1" x14ac:dyDescent="0.2">
      <c r="A24" s="7"/>
      <c r="B24" s="8"/>
      <c r="C24" s="8"/>
      <c r="D24" s="8"/>
      <c r="E24" s="8"/>
      <c r="F24" s="6"/>
      <c r="G24" s="6"/>
      <c r="K24" s="3"/>
      <c r="P24" s="5">
        <v>2</v>
      </c>
      <c r="Q24" s="5" t="e">
        <f>S8</f>
        <v>#DIV/0!</v>
      </c>
      <c r="R24" s="5" t="e">
        <f>IF(Q24&gt;=D4,IF(R23=1,"",1),"")</f>
        <v>#DIV/0!</v>
      </c>
      <c r="S24" s="163"/>
      <c r="T24" s="163" t="e">
        <f>IF(R24=1,1,"")</f>
        <v>#DIV/0!</v>
      </c>
      <c r="U24" s="163"/>
    </row>
    <row r="25" spans="1:21" ht="12.75" customHeight="1" x14ac:dyDescent="0.2">
      <c r="A25" s="7"/>
      <c r="B25" s="8"/>
      <c r="C25" s="8"/>
      <c r="D25" s="8"/>
      <c r="E25" s="8"/>
      <c r="F25" s="6"/>
      <c r="G25" s="6"/>
      <c r="P25" s="5">
        <v>3</v>
      </c>
      <c r="Q25" s="5" t="e">
        <f>T8</f>
        <v>#DIV/0!</v>
      </c>
      <c r="R25" s="5" t="e">
        <f>IF(Q25&gt;=D4,IF(Q24&gt;=D4,"",1),"")</f>
        <v>#DIV/0!</v>
      </c>
      <c r="U25" s="163" t="e">
        <f>IF(R25=1,1,"")</f>
        <v>#DIV/0!</v>
      </c>
    </row>
    <row r="26" spans="1:21" ht="12.75" customHeight="1" x14ac:dyDescent="0.2">
      <c r="A26" s="7"/>
      <c r="B26" s="8"/>
      <c r="C26" s="8"/>
      <c r="D26" s="8"/>
      <c r="E26" s="8"/>
      <c r="F26" s="6"/>
      <c r="G26" s="6"/>
      <c r="K26" s="5" t="str">
        <f>CONCATENATE(M26,"-",$O$7)</f>
        <v>1500-0</v>
      </c>
      <c r="L26" s="6" t="e">
        <f>SUM(S23:S35)</f>
        <v>#DIV/0!</v>
      </c>
      <c r="M26" s="5">
        <v>1500</v>
      </c>
      <c r="O26" s="5" t="s">
        <v>563</v>
      </c>
      <c r="P26" s="162" t="s">
        <v>564</v>
      </c>
      <c r="Q26" s="5" t="e">
        <f>R8+S8</f>
        <v>#DIV/0!</v>
      </c>
      <c r="R26" s="5" t="e">
        <f>IF(Q26&gt;=D4,IF(SUM(R23:R25)&gt;0,"",1),"")</f>
        <v>#DIV/0!</v>
      </c>
      <c r="S26" s="163" t="e">
        <f>IF(R26=1,1,"")</f>
        <v>#DIV/0!</v>
      </c>
      <c r="T26" s="163" t="e">
        <f>IF(R26=1,1,"")</f>
        <v>#DIV/0!</v>
      </c>
    </row>
    <row r="27" spans="1:21" ht="12.75" customHeight="1" x14ac:dyDescent="0.2">
      <c r="A27" s="7"/>
      <c r="B27" s="8"/>
      <c r="D27" s="8"/>
      <c r="E27" s="8"/>
      <c r="F27" s="8"/>
      <c r="G27" s="130" t="str">
        <f>+System10!G25</f>
        <v>partnerská zľava:</v>
      </c>
      <c r="K27" s="5" t="str">
        <f>CONCATENATE(M27,"-",$O$7)</f>
        <v>2000-0</v>
      </c>
      <c r="L27" s="6" t="e">
        <f>SUM(T23:T35)</f>
        <v>#DIV/0!</v>
      </c>
      <c r="M27" s="5">
        <v>2000</v>
      </c>
      <c r="P27" s="5" t="s">
        <v>576</v>
      </c>
      <c r="Q27" s="5" t="e">
        <f>S8+S8</f>
        <v>#DIV/0!</v>
      </c>
      <c r="R27" s="5" t="e">
        <f>IF(Q27&gt;=D4,IF(SUM(R23:R26)&gt;0,"",1),"")</f>
        <v>#DIV/0!</v>
      </c>
      <c r="T27" s="163" t="e">
        <f>IF(R27=1,2,"")</f>
        <v>#DIV/0!</v>
      </c>
    </row>
    <row r="28" spans="1:21" ht="12.75" customHeight="1" x14ac:dyDescent="0.2">
      <c r="A28" s="14" t="str">
        <f>+System10!A26</f>
        <v>Objednávacie kódy, ceny: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3000-0</v>
      </c>
      <c r="L28" s="6" t="e">
        <f>SUM(U23:U35)</f>
        <v>#DIV/0!</v>
      </c>
      <c r="M28" s="5">
        <v>3000</v>
      </c>
      <c r="N28" s="160"/>
      <c r="P28" s="5" t="s">
        <v>565</v>
      </c>
      <c r="Q28" s="5" t="e">
        <f>R8+T8</f>
        <v>#DIV/0!</v>
      </c>
      <c r="R28" s="5" t="e">
        <f>IF(Q28&gt;=D4,IF(SUM(R23:R27)&gt;0,"",1),"")</f>
        <v>#DIV/0!</v>
      </c>
      <c r="S28" s="163" t="e">
        <f>IF(R28=1,1,"")</f>
        <v>#DIV/0!</v>
      </c>
      <c r="U28" s="163" t="e">
        <f>IF(R28=1,1,"")</f>
        <v>#DIV/0!</v>
      </c>
    </row>
    <row r="29" spans="1:21" ht="12.75" customHeight="1" x14ac:dyDescent="0.2">
      <c r="A29" s="7"/>
      <c r="B29" s="19" t="str">
        <f>+System10!B27</f>
        <v>kód</v>
      </c>
      <c r="C29" s="18" t="str">
        <f>+System10!C27</f>
        <v>názov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celkom</v>
      </c>
      <c r="G29" s="20" t="str">
        <f>+System10!G27</f>
        <v>celkom netto:</v>
      </c>
      <c r="I29" s="18" t="str">
        <f>texty!A29</f>
        <v>Poznámka:</v>
      </c>
      <c r="J29" s="18"/>
      <c r="K29" s="6"/>
      <c r="L29" s="5">
        <f>COUNT(L26,L27,L28)</f>
        <v>0</v>
      </c>
      <c r="M29" s="160"/>
      <c r="N29" s="160"/>
      <c r="P29" s="5" t="s">
        <v>566</v>
      </c>
      <c r="Q29" s="5" t="e">
        <f>S8+T8</f>
        <v>#DIV/0!</v>
      </c>
      <c r="R29" s="5" t="e">
        <f>IF(Q29&gt;=D4,IF(SUM(R23:R28)&gt;0,"",1),"")</f>
        <v>#DIV/0!</v>
      </c>
      <c r="T29" s="163" t="e">
        <f>IF(R29=1,1,"")</f>
        <v>#DIV/0!</v>
      </c>
      <c r="U29" s="163" t="e">
        <f>IF(R29=1,1,"")</f>
        <v>#DIV/0!</v>
      </c>
    </row>
    <row r="30" spans="1:21" ht="12.75" customHeight="1" x14ac:dyDescent="0.2">
      <c r="A30" s="7" t="str">
        <f>+System10!A28</f>
        <v>Horný profil:</v>
      </c>
      <c r="B30" s="16" t="e">
        <f>+VLOOKUP(N5,data!$C$261:$D$278,2,0)</f>
        <v>#N/A</v>
      </c>
      <c r="C30" s="25" t="e">
        <f>+VLOOKUP(B30,cennik!$A:$G,2,FALSE)</f>
        <v>#N/A</v>
      </c>
      <c r="D30" s="17">
        <v>1</v>
      </c>
      <c r="E30" s="91" t="e">
        <f>+VLOOKUP(B30,cennik!$A:$G,3,FALSE)</f>
        <v>#N/A</v>
      </c>
      <c r="F30" s="91" t="e">
        <f t="shared" ref="F30:F34" si="1">+E30*D30</f>
        <v>#N/A</v>
      </c>
      <c r="G30" s="92" t="e">
        <f t="shared" ref="G30:G34" si="2">+F30*(100-$G$28)/100</f>
        <v>#N/A</v>
      </c>
      <c r="H30" s="6" t="str">
        <f>cennik!$B$2</f>
        <v>EUR</v>
      </c>
      <c r="I30" s="469" t="str">
        <f>IFERROR(IF((VLOOKUP(B30,cennik!A:L,12,0))="O",texty!$A$250,""),"")</f>
        <v/>
      </c>
      <c r="J30" s="191" t="e">
        <f>IF(D30&gt;0,IF(VLOOKUP(B30,cennik!A:L,12,FALSE)="O",1,""),"")</f>
        <v>#N/A</v>
      </c>
      <c r="K30" s="6"/>
      <c r="L30" s="160"/>
      <c r="M30" s="160"/>
      <c r="N30" s="160"/>
      <c r="P30" s="5" t="s">
        <v>577</v>
      </c>
      <c r="Q30" s="5" t="e">
        <f>T8+T8</f>
        <v>#DIV/0!</v>
      </c>
      <c r="R30" s="5" t="e">
        <f>IF(Q30&gt;=D4,IF(SUM(R23:R29)&gt;0,"",1),"")</f>
        <v>#DIV/0!</v>
      </c>
      <c r="U30" s="163" t="e">
        <f>IF(R30=1,2,"")</f>
        <v>#DIV/0!</v>
      </c>
    </row>
    <row r="31" spans="1:21" ht="12.75" customHeight="1" x14ac:dyDescent="0.2">
      <c r="A31" s="7" t="str">
        <f>+System10!A29</f>
        <v>spodný profil:</v>
      </c>
      <c r="B31" s="16" t="e">
        <f>+VLOOKUP(N5,data!$C$281:$D$298,2,0)</f>
        <v>#N/A</v>
      </c>
      <c r="C31" s="25" t="e">
        <f>+VLOOKUP(B31,cennik!$A:$G,2,FALSE)</f>
        <v>#N/A</v>
      </c>
      <c r="D31" s="17">
        <v>1</v>
      </c>
      <c r="E31" s="91" t="e">
        <f>+VLOOKUP(B31,cennik!$A:$G,3,FALSE)</f>
        <v>#N/A</v>
      </c>
      <c r="F31" s="91" t="e">
        <f t="shared" si="1"/>
        <v>#N/A</v>
      </c>
      <c r="G31" s="92" t="e">
        <f t="shared" si="2"/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e">
        <f>IF(D31&gt;0,IF(VLOOKUP(B31,cennik!A:L,12,FALSE)="O",1,""),"")</f>
        <v>#N/A</v>
      </c>
      <c r="K31" s="6" t="s">
        <v>567</v>
      </c>
      <c r="L31" s="5" t="e">
        <f>IF(L26=0,IF(L27=0,K28,K27),K26)</f>
        <v>#DIV/0!</v>
      </c>
      <c r="M31" s="160" t="e">
        <f>IF(L31=K26,L26,IF(L31=K27,L27,IF(L31=K28,L28,"chyba")))</f>
        <v>#DIV/0!</v>
      </c>
      <c r="N31" s="160"/>
      <c r="O31" s="160"/>
      <c r="P31" s="5" t="s">
        <v>578</v>
      </c>
      <c r="Q31" s="5" t="e">
        <f>R8+R8+R8</f>
        <v>#DIV/0!</v>
      </c>
      <c r="R31" s="5" t="e">
        <f>IF(Q31&gt;=D4,IF(SUM(R23:R30)&gt;0,"",1),"")</f>
        <v>#DIV/0!</v>
      </c>
      <c r="S31" s="163" t="e">
        <f>IF(R31=1,3,"")</f>
        <v>#DIV/0!</v>
      </c>
    </row>
    <row r="32" spans="1:21" ht="12.75" customHeight="1" x14ac:dyDescent="0.2">
      <c r="A32" s="7" t="str">
        <f>texty!$A$210</f>
        <v>záslepko spodného vedenia</v>
      </c>
      <c r="B32" s="16">
        <v>216362</v>
      </c>
      <c r="C32" s="25" t="str">
        <f>+VLOOKUP(B32,cennik!$A:$G,2,FALSE)</f>
        <v>SEVROLL 20233 záslepka spodného vedenia Simple/Blue priesvitná, guma</v>
      </c>
      <c r="D32" s="17">
        <f>CEILING(C4/1000,1)</f>
        <v>0</v>
      </c>
      <c r="E32" s="91">
        <f>+VLOOKUP(B32,cennik!$A:$G,3,FALSE)</f>
        <v>1.0063200000000001</v>
      </c>
      <c r="F32" s="91">
        <f t="shared" si="1"/>
        <v>0</v>
      </c>
      <c r="G32" s="92">
        <f t="shared" si="2"/>
        <v>0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">
      <c r="A33" s="7" t="str">
        <f>+System10!A31</f>
        <v>horné vozíky (sady)</v>
      </c>
      <c r="B33" s="16">
        <v>349732</v>
      </c>
      <c r="C33" s="25" t="str">
        <f>+VLOOKUP(B33,cennik!$A:$G,2,FALSE)</f>
        <v>SEVROLL 10218 horný vozík Blue (pro lamino 18mm) rámový L+P</v>
      </c>
      <c r="D33" s="17">
        <f>+D4</f>
        <v>0</v>
      </c>
      <c r="E33" s="91">
        <f>+VLOOKUP(B33,cennik!$A:$G,3,FALSE)</f>
        <v>3.6124200000000002</v>
      </c>
      <c r="F33" s="91">
        <f t="shared" si="1"/>
        <v>0</v>
      </c>
      <c r="G33" s="92">
        <f t="shared" si="2"/>
        <v>0</v>
      </c>
      <c r="H33" s="6" t="str">
        <f>cennik!$B$2</f>
        <v>EUR</v>
      </c>
      <c r="I33" s="469" t="str">
        <f>IFERROR(IF((VLOOKUP(B33,cennik!A:L,12,0))="O",texty!$A$250,""),"")</f>
        <v/>
      </c>
      <c r="J33" s="191" t="str">
        <f>IF(D33&gt;0,IF(VLOOKUP(B33,cennik!A:L,12,FALSE)="O",1,""),"")</f>
        <v/>
      </c>
      <c r="K33" s="6" t="s">
        <v>568</v>
      </c>
      <c r="L33" s="5" t="e">
        <f>IF(L31=K28,"jiné",IF(L31=K26,IF(L27&lt;&gt;0,K27,IF(L28&lt;&gt;0,K28,"jiné")),IF(L28&lt;&gt;0,K28,"jiné")))</f>
        <v>#DIV/0!</v>
      </c>
      <c r="M33" s="160" t="e">
        <f>IF(L33=K27,L27,IF(L33=K28,L28,IF(L33=K29,L29,0)))</f>
        <v>#DIV/0!</v>
      </c>
      <c r="N33" s="160"/>
      <c r="O33" s="160"/>
      <c r="P33" s="5" t="s">
        <v>569</v>
      </c>
      <c r="Q33" s="5" t="e">
        <f>R8+2*S8</f>
        <v>#DIV/0!</v>
      </c>
      <c r="R33" s="5" t="e">
        <f>IF(Q33&gt;=D4,IF(SUM(R23:R31)&gt;0,"",1),"")</f>
        <v>#DIV/0!</v>
      </c>
      <c r="S33" s="163" t="e">
        <f>IF(R33=1,1,"")</f>
        <v>#DIV/0!</v>
      </c>
      <c r="T33" s="163" t="e">
        <f>IF(R33=1,2,"")</f>
        <v>#DIV/0!</v>
      </c>
    </row>
    <row r="34" spans="1:21" ht="12.75" customHeight="1" x14ac:dyDescent="0.2">
      <c r="A34" s="7" t="str">
        <f>+System10!A32</f>
        <v>spodné vozíky (sada)</v>
      </c>
      <c r="B34" s="16">
        <v>229446</v>
      </c>
      <c r="C34" s="25" t="str">
        <f>+VLOOKUP(B34,cennik!$A:$G,2,FALSE)</f>
        <v>SEVROLL 10223 spodný vozík Simple/Blue V (rámový systém) - 2ks</v>
      </c>
      <c r="D34" s="17">
        <f>+D4</f>
        <v>0</v>
      </c>
      <c r="E34" s="91">
        <f>+VLOOKUP(B34,cennik!$A:$G,3,FALSE)</f>
        <v>2.70932</v>
      </c>
      <c r="F34" s="91">
        <f t="shared" si="1"/>
        <v>0</v>
      </c>
      <c r="G34" s="92">
        <f t="shared" si="2"/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  <c r="L34" s="160"/>
      <c r="M34" s="160"/>
      <c r="N34" s="160"/>
      <c r="O34" s="160"/>
      <c r="P34" s="5" t="s">
        <v>579</v>
      </c>
      <c r="Q34" s="5" t="e">
        <f>S8+S8+S8</f>
        <v>#DIV/0!</v>
      </c>
      <c r="R34" s="5" t="e">
        <f>IF(Q34&gt;=D4,IF(SUM(R23:R33)&gt;0,"",1),"")</f>
        <v>#DIV/0!</v>
      </c>
      <c r="T34" s="163" t="e">
        <f>IF(R34=1,3,"")</f>
        <v>#DIV/0!</v>
      </c>
    </row>
    <row r="35" spans="1:21" ht="12.75" customHeight="1" x14ac:dyDescent="0.2">
      <c r="A35" s="7" t="str">
        <f>+System10!A33</f>
        <v>dorazový kartáč</v>
      </c>
      <c r="B35" s="16">
        <v>98067</v>
      </c>
      <c r="C35" s="25" t="str">
        <f>+VLOOKUP(B35,cennik!$A:$G,2,FALSE)</f>
        <v>SEVROLL dorazová kefa zásuvná 14x4mm sivá</v>
      </c>
      <c r="D35" s="17">
        <f>CEILING((B4*D4*2/1000),1)</f>
        <v>0</v>
      </c>
      <c r="E35" s="91">
        <f>+VLOOKUP(B35,cennik!$A:$G,3,FALSE)</f>
        <v>0.19361999999999999</v>
      </c>
      <c r="F35" s="91">
        <f t="shared" ref="F35:F41" si="3">+E35*D35</f>
        <v>0</v>
      </c>
      <c r="G35" s="92">
        <f t="shared" ref="G35:G41" si="4">+F35*(100-$G$28)/100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</v>
      </c>
      <c r="L35" s="160"/>
      <c r="M35" s="160"/>
      <c r="N35" s="160"/>
      <c r="O35" s="160"/>
      <c r="P35" s="5" t="s">
        <v>570</v>
      </c>
      <c r="Q35" s="5" t="e">
        <f>R8+2*T8</f>
        <v>#DIV/0!</v>
      </c>
      <c r="R35" s="5" t="e">
        <f>IF(Q35&gt;=D4,IF(SUM(R23:R34)&gt;0,"",1),"")</f>
        <v>#DIV/0!</v>
      </c>
      <c r="S35" s="163" t="e">
        <f>IF(R35=1,1,"")</f>
        <v>#DIV/0!</v>
      </c>
      <c r="U35" s="163" t="e">
        <f>IF(R35=1,2,"")</f>
        <v>#DIV/0!</v>
      </c>
    </row>
    <row r="36" spans="1:21" ht="12.75" customHeight="1" x14ac:dyDescent="0.2">
      <c r="A36" s="7" t="str">
        <f>+System10!A34</f>
        <v>úchytková lišta</v>
      </c>
      <c r="B36" s="16" t="e">
        <f>+VLOOKUP(O7,data!$C$519:$D$522,2,0)</f>
        <v>#N/A</v>
      </c>
      <c r="C36" s="25" t="e">
        <f>+VLOOKUP(B36,cennik!$A:$G,2,FALSE)</f>
        <v>#N/A</v>
      </c>
      <c r="D36" s="17">
        <f>IF(B12&lt;=1347,D4*2/2,D4*2)</f>
        <v>0</v>
      </c>
      <c r="E36" s="91" t="e">
        <f>+VLOOKUP(B36,cennik!$A:$G,3,FALSE)</f>
        <v>#N/A</v>
      </c>
      <c r="F36" s="91" t="e">
        <f t="shared" si="3"/>
        <v>#N/A</v>
      </c>
      <c r="G36" s="92" t="e">
        <f t="shared" si="4"/>
        <v>#N/A</v>
      </c>
      <c r="H36" s="6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687</v>
      </c>
    </row>
    <row r="37" spans="1:21" ht="12.75" customHeight="1" x14ac:dyDescent="0.2">
      <c r="A37" s="7" t="str">
        <f>+System10!A35</f>
        <v>spojovacia skrutka</v>
      </c>
      <c r="B37" s="6">
        <v>346726</v>
      </c>
      <c r="C37" s="25" t="str">
        <f>+VLOOKUP(B37,cennik!$A:$G,2,FALSE)</f>
        <v>SEVROLL 20371 skrutkovrut Blue 6,3x45</v>
      </c>
      <c r="D37" s="17">
        <f>+D4*4</f>
        <v>0</v>
      </c>
      <c r="E37" s="91">
        <f>+VLOOKUP(B37,cennik!$A:$G,3,FALSE)</f>
        <v>0.15482000000000001</v>
      </c>
      <c r="F37" s="91">
        <f t="shared" si="3"/>
        <v>0</v>
      </c>
      <c r="G37" s="92">
        <f t="shared" si="4"/>
        <v>0</v>
      </c>
      <c r="H37" s="6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K37" s="157" t="e">
        <f>(C10*D4)+(D4-1)*5</f>
        <v>#DIV/0!</v>
      </c>
    </row>
    <row r="38" spans="1:21" ht="12.75" customHeight="1" x14ac:dyDescent="0.2">
      <c r="A38" s="7" t="str">
        <f>+System10!A36</f>
        <v>horný profil rámu (vodiaca lišta)</v>
      </c>
      <c r="B38" s="16" t="e">
        <f>+VLOOKUP(L31,data!C355:D366,2,0)</f>
        <v>#DIV/0!</v>
      </c>
      <c r="C38" s="25" t="e">
        <f>+VLOOKUP(B38,cennik!$A:$G,2,FALSE)</f>
        <v>#DIV/0!</v>
      </c>
      <c r="D38" s="64" t="e">
        <f>M31</f>
        <v>#DIV/0!</v>
      </c>
      <c r="E38" s="91" t="e">
        <f>+VLOOKUP(B38,cennik!$A:$G,3,FALSE)</f>
        <v>#DIV/0!</v>
      </c>
      <c r="F38" s="91" t="e">
        <f t="shared" si="3"/>
        <v>#DIV/0!</v>
      </c>
      <c r="G38" s="92" t="e">
        <f t="shared" si="4"/>
        <v>#DIV/0!</v>
      </c>
      <c r="H38" s="6" t="str">
        <f>cennik!$B$2</f>
        <v>EUR</v>
      </c>
      <c r="I38" s="469" t="str">
        <f>IFERROR(IF((VLOOKUP(B38,cennik!A:L,12,0))="O",texty!$A$250,""),"")</f>
        <v/>
      </c>
      <c r="J38" s="191" t="e">
        <f>IF(D38&gt;0,IF(VLOOKUP(B38,cennik!A:L,12,FALSE)="O",1,""),"")</f>
        <v>#DIV/0!</v>
      </c>
      <c r="K38" s="3"/>
    </row>
    <row r="39" spans="1:21" ht="12.75" customHeight="1" x14ac:dyDescent="0.2">
      <c r="A39" s="7" t="str">
        <f>+System10!$A$36</f>
        <v>horný profil rámu (vodiaca lišta)</v>
      </c>
      <c r="B39" s="6" t="e">
        <f>IF(L33&lt;&gt;"jiné",+VLOOKUP(L33,data!C355:D366,2,0),"")</f>
        <v>#DIV/0!</v>
      </c>
      <c r="C39" s="38" t="e">
        <f>IF(L33&lt;&gt;"jiné",+VLOOKUP(B39,cennik!$A$3:$G$701,2,FALSE),texty!$A$2)</f>
        <v>#DIV/0!</v>
      </c>
      <c r="D39" s="64" t="e">
        <f>M33</f>
        <v>#DIV/0!</v>
      </c>
      <c r="E39" s="93" t="e">
        <f>IF(L33&lt;&gt;"jiné",+VLOOKUP(B39,cennik!$A:$G,3,FALSE),0)</f>
        <v>#DIV/0!</v>
      </c>
      <c r="F39" s="91" t="e">
        <f t="shared" si="3"/>
        <v>#DIV/0!</v>
      </c>
      <c r="G39" s="92" t="e">
        <f t="shared" si="4"/>
        <v>#DIV/0!</v>
      </c>
      <c r="H39" s="6" t="str">
        <f>cennik!$B$2</f>
        <v>EUR</v>
      </c>
      <c r="I39" s="469" t="str">
        <f>IFERROR(IF((VLOOKUP(B39,cennik!A:L,12,0))="O",texty!$A$250,""),"")</f>
        <v/>
      </c>
      <c r="J39" s="191" t="e">
        <f>IF(D39&gt;0,IF(VLOOKUP(B39,cennik!A:L,12,FALSE)="O",1,""),"")</f>
        <v>#DIV/0!</v>
      </c>
      <c r="K39" s="3">
        <f>+System10!L22</f>
        <v>0</v>
      </c>
    </row>
    <row r="40" spans="1:21" ht="12.75" customHeight="1" x14ac:dyDescent="0.2">
      <c r="A40" s="7" t="str">
        <f>+System10!A38</f>
        <v>horizontálny spodný profil rámu</v>
      </c>
      <c r="B40" s="6" t="e">
        <f>+VLOOKUP(L31,data!$C$444:$D$455,2,0)</f>
        <v>#DIV/0!</v>
      </c>
      <c r="C40" s="25" t="e">
        <f>+VLOOKUP(B40,cennik!$A:$G,2,FALSE)</f>
        <v>#DIV/0!</v>
      </c>
      <c r="D40" s="64" t="e">
        <f>M31</f>
        <v>#DIV/0!</v>
      </c>
      <c r="E40" s="91" t="e">
        <f>+VLOOKUP(B40,cennik!$A:$G,3,FALSE)</f>
        <v>#DIV/0!</v>
      </c>
      <c r="F40" s="91" t="e">
        <f t="shared" si="3"/>
        <v>#DIV/0!</v>
      </c>
      <c r="G40" s="92" t="e">
        <f t="shared" si="4"/>
        <v>#DIV/0!</v>
      </c>
      <c r="H40" s="6" t="str">
        <f>cennik!$B$2</f>
        <v>EUR</v>
      </c>
      <c r="I40" s="469" t="str">
        <f>IFERROR(IF((VLOOKUP(B40,cennik!A:L,12,0))="O",texty!$A$250,""),"")</f>
        <v/>
      </c>
      <c r="J40" s="191" t="e">
        <f>IF(D40&gt;0,IF(VLOOKUP(B40,cennik!A:L,12,FALSE)="O",1,""),"")</f>
        <v>#DIV/0!</v>
      </c>
      <c r="K40" s="3"/>
    </row>
    <row r="41" spans="1:21" ht="12.75" customHeight="1" x14ac:dyDescent="0.2">
      <c r="A41" s="7" t="str">
        <f>+System10!A39</f>
        <v>horizontálny spodný profil rámu</v>
      </c>
      <c r="B41" s="6" t="e">
        <f>IF(L33&lt;&gt;"jiné",VLOOKUP(L33,data!$C$444:$D$455,2,0),"")</f>
        <v>#DIV/0!</v>
      </c>
      <c r="C41" s="25" t="e">
        <f>IF(L33&lt;&gt;"jiné",+VLOOKUP(B41,cennik!$A$3:$G$701,2,FALSE),texty!A2)</f>
        <v>#DIV/0!</v>
      </c>
      <c r="D41" s="64" t="e">
        <f>M33</f>
        <v>#DIV/0!</v>
      </c>
      <c r="E41" s="93" t="e">
        <f>IF(L33&lt;&gt;"jiné",+VLOOKUP(B39,cennik!$A:$G,3,FALSE),0)</f>
        <v>#DIV/0!</v>
      </c>
      <c r="F41" s="91" t="e">
        <f t="shared" si="3"/>
        <v>#DIV/0!</v>
      </c>
      <c r="G41" s="92" t="e">
        <f t="shared" si="4"/>
        <v>#DIV/0!</v>
      </c>
      <c r="H41" s="6" t="str">
        <f>cennik!$B$2</f>
        <v>EUR</v>
      </c>
      <c r="I41" s="469" t="str">
        <f>IFERROR(IF((VLOOKUP(B41,cennik!A:L,12,0))="O",texty!$A$250,""),"")</f>
        <v/>
      </c>
      <c r="J41" s="191" t="e">
        <f>IF(D41&gt;0,IF(VLOOKUP(B41,cennik!A:L,12,FALSE)="O",1,""),"")</f>
        <v>#DIV/0!</v>
      </c>
      <c r="K41" s="3" t="str">
        <f>+System10!L24</f>
        <v>1700-0</v>
      </c>
    </row>
    <row r="42" spans="1:21" ht="12.75" customHeight="1" x14ac:dyDescent="0.2">
      <c r="E42" s="94"/>
      <c r="F42" s="94"/>
      <c r="G42" s="94"/>
      <c r="I42" s="469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21" ht="12.75" customHeight="1" x14ac:dyDescent="0.2">
      <c r="A43" s="14" t="str">
        <f>texty!$A$66</f>
        <v>Voliteľné príslušenstvo:</v>
      </c>
      <c r="B43" s="15"/>
      <c r="D43" s="26" t="str">
        <f>System10!$D$41</f>
        <v>zadajte počet:</v>
      </c>
      <c r="E43" s="95"/>
      <c r="F43" s="95"/>
      <c r="G43" s="94"/>
      <c r="I43" s="469" t="str">
        <f>IFERROR(IF((VLOOKUP(B43,cennik!A:L,12,0))="O",texty!$A$250,""),"")</f>
        <v/>
      </c>
      <c r="J43" s="191"/>
      <c r="K43" s="3"/>
    </row>
    <row r="44" spans="1:21" ht="12.75" customHeight="1" x14ac:dyDescent="0.2">
      <c r="A44" s="7" t="str">
        <f>texty!$A$88</f>
        <v>pozicionér do horného vedenia</v>
      </c>
      <c r="B44" s="15">
        <v>298035</v>
      </c>
      <c r="C44" s="25" t="str">
        <f>+VLOOKUP(B44,cennik!$A:$G,2,FALSE)</f>
        <v>SEVROLL 20326 Fix pozicionér pre horný vozík transparentný</v>
      </c>
      <c r="D44" s="29"/>
      <c r="E44" s="91">
        <f>+VLOOKUP(B44,cennik!$A:$G,3,FALSE)</f>
        <v>1.0837300000000001</v>
      </c>
      <c r="F44" s="96">
        <f t="shared" ref="F44" si="5">+CEILING(D44,1)*E44</f>
        <v>0</v>
      </c>
      <c r="G44" s="92">
        <f t="shared" ref="G44" si="6">+F44*(100-$G$28)/100</f>
        <v>0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">
      <c r="A45" s="7" t="str">
        <f>texty!A87</f>
        <v>pozicionér</v>
      </c>
      <c r="B45" s="200">
        <v>229681</v>
      </c>
      <c r="C45" s="25" t="str">
        <f>+VLOOKUP(B45,cennik!$A:$G,2,FALSE)</f>
        <v>SEVROLL 10163 Simple/Blue pozicionér pre spodný vozík</v>
      </c>
      <c r="D45" s="29"/>
      <c r="E45" s="91">
        <f>+VLOOKUP(B45,cennik!$A:$G,3,FALSE)</f>
        <v>0.36124000000000001</v>
      </c>
      <c r="F45" s="91">
        <f>+E45*D45</f>
        <v>0</v>
      </c>
      <c r="G45" s="92">
        <f>+F45*(100-$G$28)/100</f>
        <v>0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">
      <c r="A46" s="7" t="str">
        <f>texty!A179</f>
        <v>skrutka k spodnémi vedeniu</v>
      </c>
      <c r="B46" s="15">
        <v>98019</v>
      </c>
      <c r="C46" s="25" t="str">
        <f>+VLOOKUP(B46,cennik!$A:$G,2,FALSE)</f>
        <v>SEVROLL 20041 skrutka 2,5x18mm polguľatá hlava zinok biely</v>
      </c>
      <c r="D46" s="29"/>
      <c r="E46" s="91">
        <f>+VLOOKUP(B46,cennik!$A:$G,3,FALSE)</f>
        <v>2.9159999999999998E-2</v>
      </c>
      <c r="F46" s="96">
        <f>+CEILING(D46,1)*E46</f>
        <v>0</v>
      </c>
      <c r="G46" s="92">
        <f>+F46*(100-$G$24)/100</f>
        <v>0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">
      <c r="A47" s="7" t="str">
        <f>texty!$A$204</f>
        <v>spojovací H21 profil Simple (18mm)</v>
      </c>
      <c r="B47" s="16" t="e">
        <f>+VLOOKUP(O7,data!$C$477:$D$480,2,0)</f>
        <v>#N/A</v>
      </c>
      <c r="C47" s="25" t="e">
        <f>+VLOOKUP(B47,cennik!$A:$G,2,FALSE)</f>
        <v>#N/A</v>
      </c>
      <c r="D47" s="30"/>
      <c r="E47" s="91" t="e">
        <f>+VLOOKUP(B47,cennik!$A:$G,3,FALSE)</f>
        <v>#N/A</v>
      </c>
      <c r="F47" s="91" t="e">
        <f>+E47*D47</f>
        <v>#N/A</v>
      </c>
      <c r="G47" s="92" t="e">
        <f>+F47*(100-$G$28)/100</f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">
      <c r="A48" s="7" t="str">
        <f>texty!$A$205</f>
        <v>spojovací H28 profil Simple (18mm)</v>
      </c>
      <c r="B48" s="16" t="str">
        <f>IFERROR(+VLOOKUP(O7,data!$C$481:$D$483,2,0),"N/A")</f>
        <v>N/A</v>
      </c>
      <c r="C48" s="25" t="str">
        <f>IF(B48=data!$D$64,texty!$A$239,+VLOOKUP(B48,cennik!$A:$G,2,FALSE))</f>
        <v> v tejto farbe a dĺžke sa daný profil nevyrába</v>
      </c>
      <c r="D48" s="30"/>
      <c r="E48" s="91">
        <f>IFERROR(+VLOOKUP(B48,cennik!$A:$G,3,FALSE),0)</f>
        <v>0</v>
      </c>
      <c r="F48" s="91">
        <f>+E48*D48</f>
        <v>0</v>
      </c>
      <c r="G48" s="92">
        <f>+F48*(100-$G$28)/100</f>
        <v>0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">
      <c r="A49" s="7" t="str">
        <f>texty!$A$92</f>
        <v>spojovacia skrutka</v>
      </c>
      <c r="B49" s="16">
        <v>346726</v>
      </c>
      <c r="C49" s="25" t="str">
        <f>+VLOOKUP(B49,cennik!$A:$G,2,FALSE)</f>
        <v>SEVROLL 20371 skrutkovrut Blue 6,3x45</v>
      </c>
      <c r="D49" s="30"/>
      <c r="E49" s="91">
        <f>+VLOOKUP(B49,cennik!$A:$G,3,FALSE)</f>
        <v>0.15482000000000001</v>
      </c>
      <c r="F49" s="91">
        <f>+E49*D49</f>
        <v>0</v>
      </c>
      <c r="G49" s="92">
        <f>+F49*(100-$G$28)/100</f>
        <v>0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">
      <c r="A50" s="422" t="str">
        <f>texty!$A$228</f>
        <v> Tlmič dorazu MINI do 25 kg (pár)</v>
      </c>
      <c r="B50" s="16">
        <v>318662</v>
      </c>
      <c r="C50" s="25" t="str">
        <f>+VLOOKUP(B50,cennik!$A:$G,2,FALSE)</f>
        <v>SEVROLL 20368-SV tlmič dorazu Mini SV25 (14-25kg)</v>
      </c>
      <c r="D50" s="29"/>
      <c r="E50" s="91">
        <f>+VLOOKUP(B50,cennik!$A:$G,3,FALSE)</f>
        <v>22.75825</v>
      </c>
      <c r="F50" s="96">
        <f>+CEILING(D50,1)*E50</f>
        <v>0</v>
      </c>
      <c r="G50" s="92">
        <f t="shared" ref="G50:G53" si="7">+F50*(100-$G$28)/100</f>
        <v>0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">
      <c r="A51" s="422" t="str">
        <f>texty!$A$229</f>
        <v> Tlmič dorazu MINI do 40 kg (pár)</v>
      </c>
      <c r="B51" s="24">
        <v>283956</v>
      </c>
      <c r="C51" s="25" t="str">
        <f>+VLOOKUP(B51,cennik!$A:$G,2,FALSE)</f>
        <v>SEVROLL 20258-SV tlmič dorazu Mini SV40 (25 - 40kg)</v>
      </c>
      <c r="D51" s="29"/>
      <c r="E51" s="91">
        <f>+VLOOKUP(B51,cennik!$A:$G,3,FALSE)</f>
        <v>22.75825</v>
      </c>
      <c r="F51" s="96">
        <f>+CEILING(D51,1)*E51</f>
        <v>0</v>
      </c>
      <c r="G51" s="92">
        <f t="shared" si="7"/>
        <v>0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">
      <c r="A52" s="422" t="str">
        <f>texty!$A$231</f>
        <v> Tlmič pre stredné krídlo do 25 kg</v>
      </c>
      <c r="B52" s="24">
        <v>318663</v>
      </c>
      <c r="C52" s="25" t="str">
        <f>+VLOOKUP(B52,cennik!$A:$G,2,FALSE)</f>
        <v>SEVROLL 20363-SV tlmič Central 10/18mm obojstranný 25kg</v>
      </c>
      <c r="D52" s="29"/>
      <c r="E52" s="91">
        <f>+VLOOKUP(B52,cennik!$A:$G,3,FALSE)</f>
        <v>48.741869999999999</v>
      </c>
      <c r="F52" s="96">
        <f>+CEILING(D52,1)*E52</f>
        <v>0</v>
      </c>
      <c r="G52" s="92">
        <f t="shared" si="7"/>
        <v>0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">
      <c r="A53" s="422" t="str">
        <f>texty!$A$232</f>
        <v> Tlmič pre stredné krídlo do 40 kg</v>
      </c>
      <c r="B53" s="24">
        <v>283955</v>
      </c>
      <c r="C53" s="25" t="str">
        <f>+VLOOKUP(B53,cennik!$A:$G,2,FALSE)</f>
        <v>SEVROLL 20319-SV tlmič Central 10/18mm obojstranný 25-40kg</v>
      </c>
      <c r="D53" s="29"/>
      <c r="E53" s="91">
        <f>+VLOOKUP(B53,cennik!$A:$G,3,FALSE)</f>
        <v>48.741869999999999</v>
      </c>
      <c r="F53" s="96">
        <f>+CEILING(D53,1)*E53</f>
        <v>0</v>
      </c>
      <c r="G53" s="92">
        <f t="shared" si="7"/>
        <v>0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">
      <c r="A54" s="7" t="str">
        <f>texty!$A$90</f>
        <v>protiprachový kartáč</v>
      </c>
      <c r="B54" s="16">
        <v>305348</v>
      </c>
      <c r="C54" s="25" t="str">
        <f>+VLOOKUP(B54,cennik!$A:$G,2,FALSE)</f>
        <v>SEVROLL 20082-BL protiprachový kartáč zásuvný 4,8x9mm šedý</v>
      </c>
      <c r="D54" s="30"/>
      <c r="E54" s="91">
        <f>+VLOOKUP(B54,cennik!$A:$G,3,FALSE)</f>
        <v>0.23222999999999999</v>
      </c>
      <c r="F54" s="91">
        <f>+E54*D54</f>
        <v>0</v>
      </c>
      <c r="G54" s="92">
        <f>+F54*(100-$G$28)/100</f>
        <v>0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">
      <c r="I55" s="469" t="str">
        <f>IFERROR(IF((VLOOKUP(B55,cennik!A:L,12,0))="O",texty!$A$250,""),"")</f>
        <v/>
      </c>
      <c r="J55" s="191"/>
      <c r="K55" s="6"/>
    </row>
    <row r="56" spans="1:11" ht="12.75" customHeight="1" x14ac:dyDescent="0.2">
      <c r="H56" s="5"/>
      <c r="I56" s="469" t="str">
        <f>IFERROR(IF((VLOOKUP(B56,cennik!A:L,12,0))="O",texty!$A$250,""),"")</f>
        <v/>
      </c>
      <c r="J56" s="191"/>
      <c r="K56" s="6"/>
    </row>
    <row r="57" spans="1:11" ht="12.75" customHeight="1" x14ac:dyDescent="0.2">
      <c r="A57" s="667" t="e">
        <f>CONCATENATE(texty!$A$7," ",D59," ",texty!$A$9)</f>
        <v>#DIV/0!</v>
      </c>
      <c r="B57" s="667"/>
      <c r="C57" s="667"/>
      <c r="D57" s="667"/>
      <c r="E57" s="667"/>
      <c r="F57" s="667"/>
      <c r="G57" s="667"/>
      <c r="I57" s="469" t="str">
        <f>IFERROR(IF((VLOOKUP(B57,cennik!A:L,12,0))="O",texty!$A$250,""),"")</f>
        <v/>
      </c>
      <c r="J57" s="181"/>
      <c r="K57" s="6"/>
    </row>
    <row r="58" spans="1:11" ht="12.75" customHeight="1" x14ac:dyDescent="0.2">
      <c r="A58" s="667"/>
      <c r="B58" s="667"/>
      <c r="C58" s="667"/>
      <c r="D58" s="667"/>
      <c r="E58" s="667"/>
      <c r="F58" s="667"/>
      <c r="G58" s="667"/>
      <c r="I58" s="469" t="str">
        <f>IFERROR(IF((VLOOKUP(B58,cennik!A:L,12,0))="O",texty!$A$250,""),"")</f>
        <v/>
      </c>
      <c r="J58" s="181"/>
      <c r="K58" s="6"/>
    </row>
    <row r="59" spans="1:11" ht="12.75" customHeight="1" x14ac:dyDescent="0.2">
      <c r="A59" s="3" t="str">
        <f>texty!$A$11</f>
        <v>Potrebná dĺžka tesnenia pri celkovom presklení (nutné objednať celé metre)</v>
      </c>
      <c r="D59" s="39" t="e">
        <f>CEILING((B9*2+C9*2)/1000/0.2+2,1)</f>
        <v>#DIV/0!</v>
      </c>
      <c r="E59" s="94"/>
      <c r="F59" s="94"/>
      <c r="G59" s="94"/>
      <c r="I59" s="469" t="str">
        <f>IFERROR(IF((VLOOKUP(B59,cennik!A:L,12,0))="O",texty!$A$250,""),"")</f>
        <v/>
      </c>
      <c r="J59" s="181"/>
      <c r="K59" s="6"/>
    </row>
    <row r="60" spans="1:11" ht="12.75" customHeight="1" x14ac:dyDescent="0.2">
      <c r="A60" s="3"/>
      <c r="D60" s="39"/>
      <c r="E60" s="94"/>
      <c r="F60" s="94"/>
      <c r="G60" s="94"/>
      <c r="I60" s="469" t="str">
        <f>IFERROR(IF((VLOOKUP(B60,cennik!A:L,12,0))="O",texty!$A$250,""),"")</f>
        <v/>
      </c>
      <c r="J60" s="181"/>
      <c r="K60" s="6"/>
    </row>
    <row r="61" spans="1:11" ht="12.75" customHeight="1" x14ac:dyDescent="0.2">
      <c r="A61" s="48" t="str">
        <f>texty!$A$11</f>
        <v>Potrebná dĺžka tesnenia pri celkovom presklení (nutné objednať celé metre)</v>
      </c>
      <c r="B61" s="46"/>
      <c r="C61" s="47"/>
      <c r="D61" s="46"/>
      <c r="E61" s="99"/>
      <c r="F61" s="99"/>
      <c r="G61" s="99"/>
      <c r="I61" s="469" t="str">
        <f>IFERROR(IF((VLOOKUP(B61,cennik!A:L,12,0))="O",texty!$A$250,""),"")</f>
        <v/>
      </c>
      <c r="J61" s="181"/>
      <c r="K61" s="6"/>
    </row>
    <row r="62" spans="1:11" ht="22.15" customHeight="1" x14ac:dyDescent="0.2">
      <c r="A62" s="479" t="str">
        <f>texty!A206</f>
        <v xml:space="preserve">Upevňovacie kliny Blue 40ks (sklo 4 mm) </v>
      </c>
      <c r="B62" s="8">
        <v>349856</v>
      </c>
      <c r="C62" s="25" t="str">
        <f>+VLOOKUP(B62,cennik!$A:$G,2,FALSE)</f>
        <v>SEVROLL 20361 upevňovací klin Blue 40ks (sklo 4mm)</v>
      </c>
      <c r="D62" s="45"/>
      <c r="E62" s="91">
        <f>+VLOOKUP(B62,cennik!$A:$G,3,FALSE)</f>
        <v>12.17902</v>
      </c>
      <c r="F62" s="91">
        <f>+E62*D62</f>
        <v>0</v>
      </c>
      <c r="G62" s="480">
        <f>+F62*(100-$G$28)/100</f>
        <v>0</v>
      </c>
      <c r="H62" s="8" t="str">
        <f>cennik!$B$2</f>
        <v>EUR</v>
      </c>
      <c r="I62" s="469" t="str">
        <f>IFERROR(IF((VLOOKUP(B62,cennik!A:L,12,0))="O",texty!$A$250,""),"")</f>
        <v/>
      </c>
      <c r="J62" s="191" t="str">
        <f>IF(D62&gt;0,IF(VLOOKUP(B62,cennik!A:L,12,FALSE)="O",1,""),"")</f>
        <v/>
      </c>
      <c r="K62" s="3"/>
    </row>
    <row r="63" spans="1:11" ht="12.75" customHeight="1" x14ac:dyDescent="0.2">
      <c r="A63" s="7"/>
      <c r="B63" s="17"/>
      <c r="C63" s="25"/>
      <c r="E63" s="91"/>
      <c r="F63" s="96"/>
      <c r="G63" s="92"/>
      <c r="I63" s="469" t="str">
        <f>IFERROR(IF((VLOOKUP(B63,cennik!A:L,12,0))="O",texty!$A$250,""),"")</f>
        <v/>
      </c>
      <c r="J63" s="181"/>
      <c r="K63" s="3"/>
    </row>
    <row r="64" spans="1:11" ht="15" x14ac:dyDescent="0.2">
      <c r="A64" s="271" t="str">
        <f>texty!$A$190</f>
        <v>Ďalšie príslušenstvo</v>
      </c>
      <c r="E64" s="94"/>
      <c r="F64" s="94"/>
      <c r="G64" s="94"/>
      <c r="I64" s="469" t="str">
        <f>IFERROR(IF((VLOOKUP(B64,cennik!A:L,12,0))="O",texty!$A$250,""),"")</f>
        <v/>
      </c>
      <c r="J64" s="181"/>
      <c r="K64" s="6"/>
    </row>
    <row r="65" spans="1:13" ht="12.75" customHeight="1" x14ac:dyDescent="0.2">
      <c r="A65" s="271" t="str">
        <f>texty!$A$244</f>
        <v>Technický nákres tohoto systému</v>
      </c>
      <c r="B65" s="167">
        <v>128842</v>
      </c>
      <c r="C65" s="167" t="str">
        <f>VLOOKUP(B65,cennik!A:C,2,0)</f>
        <v>SEVROLL 20144 vrták stupňovitý 6,5/9,5mm</v>
      </c>
      <c r="D65" s="45"/>
      <c r="E65" s="91">
        <f>+VLOOKUP(B65,cennik!$A:$G,3,FALSE)</f>
        <v>26.752659999999999</v>
      </c>
      <c r="F65" s="96">
        <f>+CEILING(D65,1)*E65</f>
        <v>0</v>
      </c>
      <c r="G65" s="92">
        <f>+F65</f>
        <v>0</v>
      </c>
      <c r="H65" s="6" t="str">
        <f>cennik!$B$2</f>
        <v>EUR</v>
      </c>
      <c r="I65" s="469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">
      <c r="E66" s="94"/>
      <c r="F66" s="94"/>
      <c r="G66" s="94"/>
      <c r="I66" s="181"/>
      <c r="J66" s="181"/>
    </row>
    <row r="67" spans="1:13" ht="12.75" customHeight="1" x14ac:dyDescent="0.2">
      <c r="B67" s="8"/>
      <c r="C67" s="8"/>
      <c r="D67" s="76" t="str">
        <f>texty!$A$15</f>
        <v>CELKOM  (bez DPH)</v>
      </c>
      <c r="E67" s="99"/>
      <c r="F67" s="101" t="e">
        <f>SUM(F30:F65)</f>
        <v>#N/A</v>
      </c>
      <c r="G67" s="101" t="e">
        <f>SUM(G30:G65)</f>
        <v>#N/A</v>
      </c>
      <c r="H67" s="6" t="str">
        <f>cennik!$B$2</f>
        <v>EUR</v>
      </c>
      <c r="I67" s="181"/>
      <c r="J67" s="181"/>
      <c r="K67" s="5" t="str">
        <f>texty!A128</f>
        <v xml:space="preserve">strieborná </v>
      </c>
    </row>
    <row r="68" spans="1:13" ht="12.75" customHeight="1" x14ac:dyDescent="0.2">
      <c r="A68" s="75" t="str">
        <f>System10!$A$67</f>
        <v>Vaša poznámka:</v>
      </c>
      <c r="B68" s="656"/>
      <c r="C68" s="657"/>
      <c r="D68" s="657"/>
      <c r="E68" s="657"/>
      <c r="F68" s="657"/>
      <c r="G68" s="657"/>
      <c r="K68" s="5" t="str">
        <f>texty!A130</f>
        <v>oliva</v>
      </c>
    </row>
    <row r="69" spans="1:13" ht="12.75" customHeight="1" x14ac:dyDescent="0.2">
      <c r="A69" s="648">
        <f>profil!$U$15</f>
        <v>0</v>
      </c>
      <c r="B69" s="649"/>
      <c r="C69" s="649"/>
      <c r="D69" s="649"/>
      <c r="E69" s="649"/>
      <c r="F69" s="649"/>
      <c r="G69" s="649"/>
      <c r="K69" s="5" t="str">
        <f>data!$J$15</f>
        <v>biela lesk</v>
      </c>
    </row>
    <row r="70" spans="1:13" ht="12.75" customHeight="1" x14ac:dyDescent="0.2">
      <c r="A70" s="650">
        <f>IF(M70=1,texty!$A$215,IF(J70&gt;0,texty!$A$214,""))</f>
        <v>0</v>
      </c>
      <c r="B70" s="650"/>
      <c r="C70" s="650"/>
      <c r="D70" s="650"/>
      <c r="E70" s="650"/>
      <c r="F70" s="650"/>
      <c r="G70" s="650"/>
      <c r="J70" s="6" t="e">
        <f>SUM(J30:J65)</f>
        <v>#N/A</v>
      </c>
      <c r="K70" s="5" t="str">
        <f>data!$J$17</f>
        <v>čierna mat</v>
      </c>
      <c r="M70" s="5">
        <f>IF(ISERROR(J70),1,0)</f>
        <v>1</v>
      </c>
    </row>
    <row r="71" spans="1:13" ht="12.75" customHeight="1" x14ac:dyDescent="0.2"/>
    <row r="83" spans="1:1" ht="12.75" hidden="1" customHeight="1" x14ac:dyDescent="0.2">
      <c r="A83" s="5">
        <v>3</v>
      </c>
    </row>
    <row r="84" spans="1:1" ht="12.75" customHeight="1" x14ac:dyDescent="0.2"/>
    <row r="85" spans="1:1" ht="12.75" customHeight="1" x14ac:dyDescent="0.2"/>
    <row r="86" spans="1:1" ht="12.75" customHeight="1" x14ac:dyDescent="0.2"/>
    <row r="87" spans="1:1" ht="12.75" customHeight="1" x14ac:dyDescent="0.2"/>
    <row r="88" spans="1:1" ht="12.75" customHeight="1" x14ac:dyDescent="0.2"/>
    <row r="89" spans="1:1" ht="12.75" customHeight="1" x14ac:dyDescent="0.2"/>
    <row r="90" spans="1:1" ht="12.75" customHeight="1" x14ac:dyDescent="0.2"/>
    <row r="91" spans="1:1" ht="12.75" customHeight="1" x14ac:dyDescent="0.2"/>
    <row r="92" spans="1:1" ht="12.75" customHeight="1" x14ac:dyDescent="0.2"/>
  </sheetData>
  <sheetProtection algorithmName="SHA-512" hashValue="aY76VjLznVVtHbdrpLToda6se/+bYTsFLgj6vAn0UrX6Shel3poxkMjHda5nKy94uHb1tt3qXBzfoJMtU8J0NA==" saltValue="/bLGEt4JBXgF3oTw+C08VA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 2740 mm" sqref="B4" xr:uid="{00000000-0002-0000-1100-000002000000}">
      <formula1>0</formula1>
      <formula2>2740</formula2>
    </dataValidation>
    <dataValidation type="list" allowBlank="1" showInputMessage="1" showErrorMessage="1" sqref="E5:E6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7"/>
  <sheetViews>
    <sheetView showGridLines="0" zoomScale="90" zoomScaleNormal="90" workbookViewId="0">
      <selection activeCell="B4" sqref="B4"/>
    </sheetView>
  </sheetViews>
  <sheetFormatPr defaultColWidth="0" defaultRowHeight="12.75" customHeight="1" zeroHeight="1" x14ac:dyDescent="0.2"/>
  <cols>
    <col min="1" max="1" width="39.28515625" style="5" customWidth="1"/>
    <col min="2" max="2" width="15.7109375" style="5" customWidth="1"/>
    <col min="3" max="3" width="55.28515625" style="5" customWidth="1"/>
    <col min="4" max="4" width="13.7109375" style="5" customWidth="1"/>
    <col min="5" max="5" width="13.42578125" style="5" customWidth="1"/>
    <col min="6" max="6" width="13.140625" style="5" customWidth="1"/>
    <col min="7" max="7" width="15.140625" style="5" customWidth="1"/>
    <col min="8" max="8" width="4.7109375" style="6" customWidth="1"/>
    <col min="9" max="9" width="24" style="6" customWidth="1"/>
    <col min="10" max="10" width="11.28515625" style="6" hidden="1" customWidth="1"/>
    <col min="11" max="11" width="9.140625" style="5" hidden="1" customWidth="1"/>
    <col min="12" max="12" width="8.140625" style="5" hidden="1" customWidth="1"/>
    <col min="13" max="13" width="11.42578125" style="5" hidden="1" customWidth="1"/>
    <col min="14" max="14" width="7.140625" style="5" hidden="1" customWidth="1"/>
    <col min="15" max="15" width="8.7109375" style="5" hidden="1" customWidth="1"/>
    <col min="16" max="16" width="7.140625" style="5" hidden="1" customWidth="1"/>
    <col min="17" max="16384" width="9.140625" style="5" hidden="1"/>
  </cols>
  <sheetData>
    <row r="1" spans="1:21" ht="13.5" customHeight="1" thickBot="1" x14ac:dyDescent="0.25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">
      <c r="A2" s="523" t="s">
        <v>917</v>
      </c>
      <c r="B2" s="54" t="str">
        <f>profil!T7</f>
        <v>Zákazník:, , IČO:</v>
      </c>
      <c r="C2" s="8"/>
      <c r="D2" s="8"/>
      <c r="E2" s="8"/>
      <c r="F2" s="6"/>
      <c r="G2" s="6"/>
      <c r="K2" s="6">
        <v>3</v>
      </c>
    </row>
    <row r="3" spans="1:21" ht="26.25" thickBot="1" x14ac:dyDescent="0.25">
      <c r="A3" s="524" t="str">
        <f>CONCATENATE(texty!A243," ",5,".",77)</f>
        <v>katalóg kovania 2018 str. 5.77</v>
      </c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9" t="str">
        <f>+System10!D3</f>
        <v>počet dverí:</v>
      </c>
      <c r="E3" s="9" t="str">
        <f>+System10!E3</f>
        <v>farba</v>
      </c>
      <c r="F3" s="6"/>
      <c r="G3" s="6"/>
      <c r="K3" s="6"/>
    </row>
    <row r="4" spans="1:21" ht="25.5" customHeight="1" x14ac:dyDescent="0.2">
      <c r="A4" s="10" t="str">
        <f>+System10!A4</f>
        <v>VNÚTORNÝ ROZMER SKRINE:</v>
      </c>
      <c r="B4" s="56"/>
      <c r="C4" s="56"/>
      <c r="D4" s="22"/>
      <c r="E4" s="22"/>
      <c r="F4" s="655"/>
      <c r="G4" s="655"/>
      <c r="H4" s="655"/>
      <c r="I4" s="655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">
      <c r="A5" s="476"/>
      <c r="B5" s="633" t="str">
        <f>texty!A46</f>
        <v>vypíšte tieto 4 políčka !!! Údaje v mm</v>
      </c>
      <c r="C5" s="633"/>
      <c r="D5" s="633"/>
      <c r="E5" s="633"/>
      <c r="F5" s="655"/>
      <c r="G5" s="655"/>
      <c r="H5" s="655"/>
      <c r="I5" s="655"/>
      <c r="J5" s="190"/>
      <c r="K5" s="3"/>
      <c r="N5" s="5" t="str">
        <f>CONCATENATE(N4,"-",E4)</f>
        <v>1500-</v>
      </c>
    </row>
    <row r="6" spans="1:21" ht="18" customHeight="1" x14ac:dyDescent="0.2">
      <c r="A6" s="10"/>
      <c r="B6" s="11"/>
      <c r="D6" s="285">
        <v>3</v>
      </c>
      <c r="E6" s="8"/>
      <c r="F6" s="655"/>
      <c r="G6" s="655"/>
      <c r="H6" s="655"/>
      <c r="I6" s="655"/>
      <c r="J6" s="190"/>
      <c r="K6" s="6"/>
      <c r="Q6" s="636" t="s">
        <v>557</v>
      </c>
      <c r="R6" s="636" t="s">
        <v>715</v>
      </c>
      <c r="S6" s="636" t="s">
        <v>716</v>
      </c>
      <c r="T6" s="636" t="s">
        <v>560</v>
      </c>
    </row>
    <row r="7" spans="1:21" ht="12.75" customHeight="1" x14ac:dyDescent="0.2">
      <c r="A7" s="10" t="str">
        <f>+System10!$A$7</f>
        <v>krídlo dverí:</v>
      </c>
      <c r="B7" s="57">
        <f>+B4-35</f>
        <v>-35</v>
      </c>
      <c r="C7" s="59" t="e">
        <f>+((C4-3+30*(D4-1))/D4+IF(AND(D4=4,D6=2),L1,0))</f>
        <v>#DIV/0!</v>
      </c>
      <c r="D7" s="8"/>
      <c r="E7" s="8"/>
      <c r="F7" s="50" t="str">
        <f>texty!$A$39</f>
        <v>V prípade použitia skla ako výplne</v>
      </c>
      <c r="G7" s="6"/>
      <c r="K7" s="6"/>
      <c r="N7" s="17" t="e">
        <f>IF(K11="jiné",L12,K11)</f>
        <v>#DIV/0!</v>
      </c>
      <c r="O7" s="21">
        <f>+E4</f>
        <v>0</v>
      </c>
      <c r="Q7" s="636"/>
      <c r="R7" s="636"/>
      <c r="S7" s="636"/>
      <c r="T7" s="636"/>
    </row>
    <row r="8" spans="1:21" ht="12.75" customHeight="1" x14ac:dyDescent="0.2">
      <c r="A8" s="10" t="str">
        <f>texty!$A$48</f>
        <v>rozmer výplne 18mm:</v>
      </c>
      <c r="B8" s="57">
        <f>+B7-60</f>
        <v>-95</v>
      </c>
      <c r="C8" s="59" t="e">
        <f>+C7-37</f>
        <v>#DIV/0!</v>
      </c>
      <c r="D8" s="8"/>
      <c r="E8" s="8"/>
      <c r="F8" s="50" t="str">
        <f>texty!$A$40</f>
        <v>je treba použiť bezpečnostné sklo</v>
      </c>
      <c r="G8" s="6"/>
      <c r="K8" s="6" t="s">
        <v>60</v>
      </c>
      <c r="L8" s="5" t="s">
        <v>61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">
      <c r="A9" s="10" t="str">
        <f>+System10!A9</f>
        <v>rozmer zrkadla / skla</v>
      </c>
      <c r="B9" s="57">
        <f>+B8</f>
        <v>-95</v>
      </c>
      <c r="C9" s="59" t="e">
        <f>+C8+16</f>
        <v>#DIV/0!</v>
      </c>
      <c r="D9" s="8"/>
      <c r="E9" s="8"/>
      <c r="F9" s="50" t="str">
        <f>texty!$A$41</f>
        <v>alebo sklo zabezpečiť ochrannou fóliou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3" si="0">Q8+$C$10+5</f>
        <v>#DIV/0!</v>
      </c>
      <c r="R9" s="5" t="e">
        <f>(1500-C10)*R19</f>
        <v>#DIV/0!</v>
      </c>
      <c r="S9" s="5" t="e">
        <f>(2000-C10)*S19</f>
        <v>#DIV/0!</v>
      </c>
      <c r="T9" s="5" t="e">
        <f>(3000-C10)*T19</f>
        <v>#DIV/0!</v>
      </c>
      <c r="U9" s="5" t="s">
        <v>562</v>
      </c>
    </row>
    <row r="10" spans="1:21" ht="12.75" customHeight="1" x14ac:dyDescent="0.2">
      <c r="A10" s="10" t="str">
        <f>+System10!A10</f>
        <v>dĺžka vodiacej a krycej lišty krídla</v>
      </c>
      <c r="B10" s="57"/>
      <c r="C10" s="60" t="e">
        <f>+C7-57</f>
        <v>#DIV/0!</v>
      </c>
      <c r="D10" s="8"/>
      <c r="E10" s="8"/>
      <c r="F10" s="3" t="str">
        <f>texty!$A$44</f>
        <v>Maximálna hmotnosť krídla je 35 kg</v>
      </c>
      <c r="G10" s="6"/>
      <c r="K10" s="5" t="s">
        <v>59</v>
      </c>
      <c r="N10" s="17" t="e">
        <f>IF(K11="jiné",L13,"")</f>
        <v>#DIV/0!</v>
      </c>
      <c r="O10" s="21">
        <f>+E4</f>
        <v>0</v>
      </c>
      <c r="P10" s="5">
        <v>3</v>
      </c>
      <c r="Q10" s="159" t="e">
        <f t="shared" si="0"/>
        <v>#DIV/0!</v>
      </c>
    </row>
    <row r="11" spans="1:21" ht="12.75" customHeight="1" x14ac:dyDescent="0.2">
      <c r="A11" s="10" t="str">
        <f>+System10!A11</f>
        <v>Horný/spodný profil</v>
      </c>
      <c r="B11" s="57"/>
      <c r="C11" s="59">
        <f>+C4</f>
        <v>0</v>
      </c>
      <c r="D11" s="8"/>
      <c r="E11" s="8"/>
      <c r="G11" s="40"/>
      <c r="K11" s="36" t="e">
        <f>IF((K9+L9)&lt;1500,1500,IF((K9+L9)&lt;2000,2000,IF((K9+L9)&lt;3000,3000,"jiné")))</f>
        <v>#DIV/0!</v>
      </c>
      <c r="M11" s="5" t="s">
        <v>62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">
      <c r="A12" s="10" t="str">
        <f>+System10!A12</f>
        <v>úchytková lišta</v>
      </c>
      <c r="B12" s="57">
        <f>+B7</f>
        <v>-35</v>
      </c>
      <c r="C12" s="489"/>
      <c r="D12" s="8"/>
      <c r="E12" s="8"/>
      <c r="F12" s="6"/>
      <c r="G12" s="6"/>
      <c r="K12" s="6" t="e">
        <f>C10*(D4-1)+(D4*5)</f>
        <v>#DIV/0!</v>
      </c>
      <c r="L12" s="5" t="e">
        <f>IF(K12&lt;1500,1500,IF(K12&lt;2000,2000,IF(K12&lt;3000,3000,3000)))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24" x14ac:dyDescent="0.2">
      <c r="A13" s="635" t="str">
        <f>IF(SUM(D50:D51)&gt;0,texty!A247,"")</f>
        <v/>
      </c>
      <c r="B13" s="635"/>
      <c r="C13" s="483" t="str">
        <f>texty!A78</f>
        <v>dodatočné odpočty výšky vypočítaných výplní pri použití deliacich profilov výplne:</v>
      </c>
      <c r="D13" s="8"/>
      <c r="E13" s="8"/>
      <c r="F13" s="6"/>
      <c r="G13" s="6"/>
      <c r="K13" s="35" t="e">
        <f>C10+10</f>
        <v>#DIV/0!</v>
      </c>
      <c r="L13" s="5" t="e">
        <f>IF(M12&gt;=0,IF(K13&lt;1500,1500,IF(K13&lt;2000,2000,IF(K13&lt;3000,3000,"jiné"))),IF((K13+C10)&lt;1500,1500,IF((K13+C10)&lt;2000,2000,IF((K13+C10)&lt;3000,3000,"jiné"))))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x14ac:dyDescent="0.2">
      <c r="A14" s="635"/>
      <c r="B14" s="635"/>
      <c r="C14" s="483"/>
      <c r="D14" s="8"/>
      <c r="E14" s="8"/>
      <c r="F14" s="6"/>
      <c r="G14" s="6"/>
      <c r="K14" s="35"/>
      <c r="Q14" s="159"/>
    </row>
    <row r="15" spans="1:21" ht="19.899999999999999" customHeight="1" x14ac:dyDescent="0.2">
      <c r="A15" s="635" t="str">
        <f>IF(SUM(D52:D53)&gt;0,texty!A249,"")</f>
        <v/>
      </c>
      <c r="B15" s="635"/>
      <c r="C15" s="483"/>
      <c r="D15" s="8"/>
      <c r="E15" s="8"/>
      <c r="F15" s="6"/>
      <c r="G15" s="6"/>
      <c r="K15" s="35"/>
      <c r="Q15" s="159"/>
    </row>
    <row r="16" spans="1:21" ht="19.899999999999999" customHeight="1" x14ac:dyDescent="0.2">
      <c r="A16" s="635"/>
      <c r="B16" s="635"/>
      <c r="C16" s="483"/>
      <c r="D16" s="8"/>
      <c r="E16" s="8"/>
      <c r="F16" s="6"/>
      <c r="G16" s="6"/>
      <c r="K16" s="35"/>
      <c r="Q16" s="159"/>
    </row>
    <row r="17" spans="1:21" x14ac:dyDescent="0.2">
      <c r="A17" s="7"/>
      <c r="B17" s="58"/>
      <c r="C17" s="483"/>
      <c r="D17" s="8"/>
      <c r="E17" s="8"/>
      <c r="F17" s="6"/>
      <c r="G17" s="6"/>
      <c r="K17" s="35"/>
      <c r="Q17" s="159"/>
    </row>
    <row r="18" spans="1:21" ht="12.75" customHeight="1" x14ac:dyDescent="0.2">
      <c r="A18" s="7"/>
      <c r="B18" s="8"/>
      <c r="C18" s="12"/>
      <c r="D18" s="8"/>
      <c r="E18" s="8"/>
      <c r="F18" s="6"/>
      <c r="G18" s="6"/>
      <c r="K18" s="6"/>
      <c r="L18" s="5" t="e">
        <f>SUM(L12:L13)</f>
        <v>#DIV/0!</v>
      </c>
      <c r="M18" s="5" t="e">
        <f>SUM(M12:M13)</f>
        <v>#DIV/0!</v>
      </c>
      <c r="P18" s="5">
        <v>7</v>
      </c>
      <c r="Q18" s="159" t="e">
        <f>Q13+$C$10+5</f>
        <v>#DIV/0!</v>
      </c>
    </row>
    <row r="19" spans="1:21" ht="12.75" customHeight="1" x14ac:dyDescent="0.2">
      <c r="B19" s="8"/>
      <c r="C19" s="12"/>
      <c r="D19" s="8"/>
      <c r="E19" s="8"/>
      <c r="F19" s="6"/>
      <c r="G19" s="6"/>
      <c r="K19" s="6"/>
      <c r="L19" s="5" t="e">
        <f>L18-C4</f>
        <v>#DIV/0!</v>
      </c>
      <c r="P19" s="5" t="s">
        <v>561</v>
      </c>
      <c r="R19" s="5" t="e">
        <f>FLOOR($D$4/R8,1)</f>
        <v>#DIV/0!</v>
      </c>
      <c r="S19" s="5" t="e">
        <f>FLOOR($D$4/S8,1)</f>
        <v>#DIV/0!</v>
      </c>
      <c r="T19" s="5" t="e">
        <f>FLOOR($D$4/T8,1)</f>
        <v>#DIV/0!</v>
      </c>
    </row>
    <row r="20" spans="1:21" ht="12.75" customHeight="1" x14ac:dyDescent="0.2">
      <c r="A20" s="7"/>
      <c r="B20" s="8"/>
      <c r="C20" s="12"/>
      <c r="D20" s="8"/>
      <c r="E20" s="8"/>
      <c r="F20" s="6"/>
      <c r="G20" s="6"/>
      <c r="K20" s="6"/>
    </row>
    <row r="21" spans="1:21" ht="14.25" customHeight="1" x14ac:dyDescent="0.2">
      <c r="A21" s="146"/>
      <c r="B21" s="484" t="str">
        <f>texty!A242</f>
        <v>dilatácia 4 mm</v>
      </c>
      <c r="C21" s="27"/>
      <c r="D21" s="8"/>
      <c r="E21" s="8"/>
      <c r="F21" s="6"/>
      <c r="G21" s="6"/>
      <c r="K21" s="6"/>
    </row>
    <row r="22" spans="1:21" ht="16.5" customHeight="1" x14ac:dyDescent="0.2">
      <c r="A22" s="205"/>
      <c r="B22" s="8"/>
      <c r="C22" s="8"/>
      <c r="E22" s="8"/>
      <c r="F22" s="6"/>
      <c r="G22" s="6"/>
      <c r="K22" s="6"/>
      <c r="L22" s="6"/>
      <c r="Q22" s="5" t="s">
        <v>581</v>
      </c>
      <c r="R22" s="5" t="s">
        <v>580</v>
      </c>
      <c r="S22" s="5">
        <v>1500</v>
      </c>
      <c r="T22" s="5">
        <v>2000</v>
      </c>
      <c r="U22" s="5">
        <v>3000</v>
      </c>
    </row>
    <row r="23" spans="1:21" ht="16.5" customHeight="1" x14ac:dyDescent="0.2">
      <c r="A23" s="7"/>
      <c r="B23" s="8"/>
      <c r="C23" s="8"/>
      <c r="D23" s="13"/>
      <c r="E23" s="8"/>
      <c r="F23" s="6"/>
      <c r="G23" s="6"/>
      <c r="K23" s="6"/>
      <c r="P23" s="5">
        <v>1</v>
      </c>
      <c r="Q23" s="5" t="e">
        <f>R8</f>
        <v>#DIV/0!</v>
      </c>
      <c r="R23" s="5" t="e">
        <f>IF(Q23&gt;=D4,1,"")</f>
        <v>#DIV/0!</v>
      </c>
      <c r="S23" s="163" t="e">
        <f>IF(R23=1,1,"")</f>
        <v>#DIV/0!</v>
      </c>
      <c r="T23" s="163"/>
      <c r="U23" s="163"/>
    </row>
    <row r="24" spans="1:21" ht="12.75" customHeight="1" x14ac:dyDescent="0.2">
      <c r="A24" s="7"/>
      <c r="B24" s="8"/>
      <c r="C24" s="8"/>
      <c r="D24" s="8"/>
      <c r="E24" s="8"/>
      <c r="F24" s="6"/>
      <c r="G24" s="6"/>
      <c r="K24" s="3"/>
      <c r="P24" s="5">
        <v>2</v>
      </c>
      <c r="Q24" s="5" t="e">
        <f>S8</f>
        <v>#DIV/0!</v>
      </c>
      <c r="R24" s="5" t="e">
        <f>IF(Q24&gt;=D4,IF(R23=1,"",1),"")</f>
        <v>#DIV/0!</v>
      </c>
      <c r="S24" s="163"/>
      <c r="T24" s="163" t="e">
        <f>IF(R24=1,1,"")</f>
        <v>#DIV/0!</v>
      </c>
      <c r="U24" s="163"/>
    </row>
    <row r="25" spans="1:21" ht="12.75" customHeight="1" x14ac:dyDescent="0.2">
      <c r="A25" s="7"/>
      <c r="B25" s="8"/>
      <c r="C25" s="8"/>
      <c r="D25" s="8"/>
      <c r="E25" s="8"/>
      <c r="F25" s="6"/>
      <c r="G25" s="6"/>
      <c r="P25" s="5">
        <v>3</v>
      </c>
      <c r="Q25" s="5" t="e">
        <f>T8</f>
        <v>#DIV/0!</v>
      </c>
      <c r="R25" s="5" t="e">
        <f>IF(Q25&gt;=D4,IF(Q24&gt;=D4,"",1),"")</f>
        <v>#DIV/0!</v>
      </c>
      <c r="U25" s="163" t="e">
        <f>IF(R25=1,1,"")</f>
        <v>#DIV/0!</v>
      </c>
    </row>
    <row r="26" spans="1:21" ht="12.75" customHeight="1" x14ac:dyDescent="0.2">
      <c r="A26" s="7"/>
      <c r="B26" s="8"/>
      <c r="C26" s="8"/>
      <c r="D26" s="8"/>
      <c r="E26" s="8"/>
      <c r="F26" s="6"/>
      <c r="G26" s="6"/>
      <c r="K26" s="5" t="str">
        <f>CONCATENATE(M26,"-",$O$7)</f>
        <v>1500-0</v>
      </c>
      <c r="L26" s="6" t="e">
        <f>SUM(S23:S35)</f>
        <v>#DIV/0!</v>
      </c>
      <c r="M26" s="5">
        <v>1500</v>
      </c>
      <c r="O26" s="5" t="s">
        <v>563</v>
      </c>
      <c r="P26" s="162" t="s">
        <v>564</v>
      </c>
      <c r="Q26" s="5" t="e">
        <f>R8+S8</f>
        <v>#DIV/0!</v>
      </c>
      <c r="R26" s="5" t="e">
        <f>IF(Q26&gt;=D4,IF(SUM(R23:R25)&gt;0,"",1),"")</f>
        <v>#DIV/0!</v>
      </c>
      <c r="S26" s="163" t="e">
        <f>IF(R26=1,1,"")</f>
        <v>#DIV/0!</v>
      </c>
      <c r="T26" s="163" t="e">
        <f>IF(R26=1,1,"")</f>
        <v>#DIV/0!</v>
      </c>
    </row>
    <row r="27" spans="1:21" ht="12.75" customHeight="1" x14ac:dyDescent="0.2">
      <c r="A27" s="7"/>
      <c r="B27" s="8"/>
      <c r="D27" s="8"/>
      <c r="E27" s="8"/>
      <c r="F27" s="8"/>
      <c r="G27" s="130" t="str">
        <f>+System10!G25</f>
        <v>partnerská zľava:</v>
      </c>
      <c r="K27" s="5" t="str">
        <f>CONCATENATE(M27,"-",$O$7)</f>
        <v>2000-0</v>
      </c>
      <c r="L27" s="6" t="e">
        <f>SUM(T23:T35)</f>
        <v>#DIV/0!</v>
      </c>
      <c r="M27" s="5">
        <v>2000</v>
      </c>
      <c r="P27" s="5" t="s">
        <v>576</v>
      </c>
      <c r="Q27" s="5" t="e">
        <f>S8+S8</f>
        <v>#DIV/0!</v>
      </c>
      <c r="R27" s="5" t="e">
        <f>IF(Q27&gt;=D4,IF(SUM(R23:R26)&gt;0,"",1),"")</f>
        <v>#DIV/0!</v>
      </c>
      <c r="T27" s="163" t="e">
        <f>IF(R27=1,2,"")</f>
        <v>#DIV/0!</v>
      </c>
    </row>
    <row r="28" spans="1:21" ht="12.75" customHeight="1" x14ac:dyDescent="0.2">
      <c r="A28" s="14" t="str">
        <f>+System10!A26</f>
        <v>Objednávacie kódy, ceny: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3000-0</v>
      </c>
      <c r="L28" s="6" t="e">
        <f>SUM(U23:U35)</f>
        <v>#DIV/0!</v>
      </c>
      <c r="M28" s="5">
        <v>3000</v>
      </c>
      <c r="N28" s="160"/>
      <c r="P28" s="5" t="s">
        <v>565</v>
      </c>
      <c r="Q28" s="5" t="e">
        <f>R8+T8</f>
        <v>#DIV/0!</v>
      </c>
      <c r="R28" s="5" t="e">
        <f>IF(Q28&gt;=D4,IF(SUM(R23:R27)&gt;0,"",1),"")</f>
        <v>#DIV/0!</v>
      </c>
      <c r="S28" s="163" t="e">
        <f>IF(R28=1,1,"")</f>
        <v>#DIV/0!</v>
      </c>
      <c r="U28" s="163" t="e">
        <f>IF(R28=1,1,"")</f>
        <v>#DIV/0!</v>
      </c>
    </row>
    <row r="29" spans="1:21" ht="12.75" customHeight="1" x14ac:dyDescent="0.2">
      <c r="A29" s="7"/>
      <c r="B29" s="19" t="str">
        <f>+System10!B27</f>
        <v>kód</v>
      </c>
      <c r="C29" s="18" t="str">
        <f>+System10!C27</f>
        <v>názov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celkom</v>
      </c>
      <c r="G29" s="20" t="str">
        <f>+System10!G27</f>
        <v>celkom netto:</v>
      </c>
      <c r="I29" s="18" t="str">
        <f>texty!A29</f>
        <v>Poznámka:</v>
      </c>
      <c r="J29" s="18"/>
      <c r="K29" s="6"/>
      <c r="L29" s="5">
        <f>COUNT(L26,L27,L28)</f>
        <v>0</v>
      </c>
      <c r="M29" s="160"/>
      <c r="N29" s="160"/>
      <c r="P29" s="5" t="s">
        <v>566</v>
      </c>
      <c r="Q29" s="5" t="e">
        <f>S8+T8</f>
        <v>#DIV/0!</v>
      </c>
      <c r="R29" s="5" t="e">
        <f>IF(Q29&gt;=D4,IF(SUM(R23:R28)&gt;0,"",1),"")</f>
        <v>#DIV/0!</v>
      </c>
      <c r="T29" s="163" t="e">
        <f>IF(R29=1,1,"")</f>
        <v>#DIV/0!</v>
      </c>
      <c r="U29" s="163" t="e">
        <f>IF(R29=1,1,"")</f>
        <v>#DIV/0!</v>
      </c>
    </row>
    <row r="30" spans="1:21" ht="12.75" customHeight="1" x14ac:dyDescent="0.2">
      <c r="A30" s="7" t="str">
        <f>+System10!A28</f>
        <v>Horný profil:</v>
      </c>
      <c r="B30" s="16" t="e">
        <f>+VLOOKUP(N5,data!$C$261:$D$278,2,0)</f>
        <v>#N/A</v>
      </c>
      <c r="C30" s="25" t="e">
        <f>+VLOOKUP(B30,cennik!$A:$G,2,FALSE)</f>
        <v>#N/A</v>
      </c>
      <c r="D30" s="17">
        <v>1</v>
      </c>
      <c r="E30" s="91" t="e">
        <f>+VLOOKUP(B30,cennik!$A:$G,3,FALSE)</f>
        <v>#N/A</v>
      </c>
      <c r="F30" s="91" t="e">
        <f t="shared" ref="F30:F34" si="1">+E30*D30</f>
        <v>#N/A</v>
      </c>
      <c r="G30" s="92" t="e">
        <f t="shared" ref="G30:G34" si="2">+F30*(100-$G$28)/100</f>
        <v>#N/A</v>
      </c>
      <c r="H30" s="6" t="str">
        <f>cennik!$B$2</f>
        <v>EUR</v>
      </c>
      <c r="I30" s="469" t="str">
        <f>IFERROR(IF((VLOOKUP(B30,cennik!A:L,12,0))="O",texty!$A$250,""),"")</f>
        <v/>
      </c>
      <c r="J30" s="191" t="e">
        <f>IF(D30&gt;0,IF(VLOOKUP(B30,cennik!A:L,12,FALSE)="O",1,""),"")</f>
        <v>#N/A</v>
      </c>
      <c r="K30" s="6"/>
      <c r="L30" s="160"/>
      <c r="M30" s="160"/>
      <c r="N30" s="160"/>
      <c r="P30" s="5" t="s">
        <v>577</v>
      </c>
      <c r="Q30" s="5" t="e">
        <f>T8+T8</f>
        <v>#DIV/0!</v>
      </c>
      <c r="R30" s="5" t="e">
        <f>IF(Q30&gt;=D4,IF(SUM(R23:R29)&gt;0,"",1),"")</f>
        <v>#DIV/0!</v>
      </c>
      <c r="U30" s="163" t="e">
        <f>IF(R30=1,2,"")</f>
        <v>#DIV/0!</v>
      </c>
    </row>
    <row r="31" spans="1:21" ht="12.75" customHeight="1" x14ac:dyDescent="0.2">
      <c r="A31" s="7" t="str">
        <f>+System10!A29</f>
        <v>spodný profil:</v>
      </c>
      <c r="B31" s="16" t="e">
        <f>+VLOOKUP(N5,data!$C$281:$D$298,2,0)</f>
        <v>#N/A</v>
      </c>
      <c r="C31" s="25" t="e">
        <f>+VLOOKUP(B31,cennik!$A:$G,2,FALSE)</f>
        <v>#N/A</v>
      </c>
      <c r="D31" s="17">
        <v>1</v>
      </c>
      <c r="E31" s="91" t="e">
        <f>+VLOOKUP(B31,cennik!$A:$G,3,FALSE)</f>
        <v>#N/A</v>
      </c>
      <c r="F31" s="91" t="e">
        <f t="shared" si="1"/>
        <v>#N/A</v>
      </c>
      <c r="G31" s="92" t="e">
        <f t="shared" si="2"/>
        <v>#N/A</v>
      </c>
      <c r="H31" s="6" t="str">
        <f>cennik!$B$2</f>
        <v>EUR</v>
      </c>
      <c r="I31" s="469" t="str">
        <f>IFERROR(IF((VLOOKUP(B31,cennik!A:L,12,0))="O",texty!$A$250,""),"")</f>
        <v/>
      </c>
      <c r="J31" s="191" t="e">
        <f>IF(D31&gt;0,IF(VLOOKUP(B31,cennik!A:L,12,FALSE)="O",1,""),"")</f>
        <v>#N/A</v>
      </c>
      <c r="K31" s="6" t="s">
        <v>567</v>
      </c>
      <c r="L31" s="5" t="e">
        <f>IF(L26=0,IF(L27=0,K28,K27),K26)</f>
        <v>#DIV/0!</v>
      </c>
      <c r="M31" s="160" t="e">
        <f>IF(L31=K26,L26,IF(L31=K27,L27,IF(L31=K28,L28,"chyba")))</f>
        <v>#DIV/0!</v>
      </c>
      <c r="N31" s="160"/>
      <c r="O31" s="160"/>
      <c r="P31" s="5" t="s">
        <v>578</v>
      </c>
      <c r="Q31" s="5" t="e">
        <f>R8+R8+R8</f>
        <v>#DIV/0!</v>
      </c>
      <c r="R31" s="5" t="e">
        <f>IF(Q31&gt;=D4,IF(SUM(R23:R30)&gt;0,"",1),"")</f>
        <v>#DIV/0!</v>
      </c>
      <c r="S31" s="163" t="e">
        <f>IF(R31=1,3,"")</f>
        <v>#DIV/0!</v>
      </c>
    </row>
    <row r="32" spans="1:21" ht="12.75" customHeight="1" x14ac:dyDescent="0.2">
      <c r="A32" s="7" t="str">
        <f>texty!$A$210</f>
        <v>záslepko spodného vedenia</v>
      </c>
      <c r="B32" s="16">
        <v>216362</v>
      </c>
      <c r="C32" s="25" t="str">
        <f>+VLOOKUP(B32,cennik!$A:$G,2,FALSE)</f>
        <v>SEVROLL 20233 záslepka spodného vedenia Simple/Blue priesvitná, guma</v>
      </c>
      <c r="D32" s="17">
        <f>CEILING(C4/1000,1)</f>
        <v>0</v>
      </c>
      <c r="E32" s="91">
        <f>+VLOOKUP(B32,cennik!$A:$G,3,FALSE)</f>
        <v>1.0063200000000001</v>
      </c>
      <c r="F32" s="91">
        <f t="shared" si="1"/>
        <v>0</v>
      </c>
      <c r="G32" s="92">
        <f t="shared" si="2"/>
        <v>0</v>
      </c>
      <c r="H32" s="6" t="str">
        <f>cennik!$B$2</f>
        <v>EUR</v>
      </c>
      <c r="I32" s="469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">
      <c r="A33" s="7" t="str">
        <f>+System10!A31</f>
        <v>horné vozíky (sady)</v>
      </c>
      <c r="B33" s="16">
        <v>349732</v>
      </c>
      <c r="C33" s="25" t="str">
        <f>+VLOOKUP(B33,cennik!$A:$G,2,FALSE)</f>
        <v>SEVROLL 10218 horný vozík Blue (pro lamino 18mm) rámový L+P</v>
      </c>
      <c r="D33" s="17">
        <f>+D4</f>
        <v>0</v>
      </c>
      <c r="E33" s="91">
        <f>+VLOOKUP(B33,cennik!$A:$G,3,FALSE)</f>
        <v>3.6124200000000002</v>
      </c>
      <c r="F33" s="91">
        <f t="shared" si="1"/>
        <v>0</v>
      </c>
      <c r="G33" s="92">
        <f t="shared" si="2"/>
        <v>0</v>
      </c>
      <c r="H33" s="6" t="str">
        <f>cennik!$B$2</f>
        <v>EUR</v>
      </c>
      <c r="I33" s="469" t="str">
        <f>IFERROR(IF((VLOOKUP(B33,cennik!A:L,12,0))="O",texty!$A$250,""),"")</f>
        <v/>
      </c>
      <c r="J33" s="191" t="str">
        <f>IF(D33&gt;0,IF(VLOOKUP(#REF!,cennik!A:L,12,FALSE)="O",1,""),"")</f>
        <v/>
      </c>
      <c r="K33" s="6" t="s">
        <v>568</v>
      </c>
      <c r="L33" s="5" t="e">
        <f>IF(L31=K28,"jiné",IF(L31=K26,IF(L27&lt;&gt;0,K27,IF(L28&lt;&gt;0,K28,"jiné")),IF(L28&lt;&gt;0,K28,"jiné")))</f>
        <v>#DIV/0!</v>
      </c>
      <c r="M33" s="160" t="e">
        <f>IF(L33=K27,L27,IF(L33=K28,L28,IF(L33=K29,L29,0)))</f>
        <v>#DIV/0!</v>
      </c>
      <c r="N33" s="160"/>
      <c r="O33" s="160"/>
      <c r="P33" s="5" t="s">
        <v>569</v>
      </c>
      <c r="Q33" s="5" t="e">
        <f>R8+2*S8</f>
        <v>#DIV/0!</v>
      </c>
      <c r="R33" s="5" t="e">
        <f>IF(Q33&gt;=D4,IF(SUM(R23:R31)&gt;0,"",1),"")</f>
        <v>#DIV/0!</v>
      </c>
      <c r="S33" s="163" t="e">
        <f>IF(R33=1,1,"")</f>
        <v>#DIV/0!</v>
      </c>
      <c r="T33" s="163" t="e">
        <f>IF(R33=1,2,"")</f>
        <v>#DIV/0!</v>
      </c>
    </row>
    <row r="34" spans="1:21" ht="12.75" customHeight="1" x14ac:dyDescent="0.2">
      <c r="A34" s="7" t="str">
        <f>+System10!A32</f>
        <v>spodné vozíky (sada)</v>
      </c>
      <c r="B34" s="16">
        <v>229446</v>
      </c>
      <c r="C34" s="25" t="str">
        <f>+VLOOKUP(B34,cennik!$A:$G,2,FALSE)</f>
        <v>SEVROLL 10223 spodný vozík Simple/Blue V (rámový systém) - 2ks</v>
      </c>
      <c r="D34" s="17">
        <f>+D4</f>
        <v>0</v>
      </c>
      <c r="E34" s="91">
        <f>+VLOOKUP(B34,cennik!$A:$G,3,FALSE)</f>
        <v>2.70932</v>
      </c>
      <c r="F34" s="91">
        <f t="shared" si="1"/>
        <v>0</v>
      </c>
      <c r="G34" s="92">
        <f t="shared" si="2"/>
        <v>0</v>
      </c>
      <c r="H34" s="6" t="str">
        <f>cennik!$B$2</f>
        <v>EUR</v>
      </c>
      <c r="I34" s="469" t="str">
        <f>IFERROR(IF((VLOOKUP(B34,cennik!A:L,12,0))="O",texty!$A$250,""),"")</f>
        <v/>
      </c>
      <c r="J34" s="191" t="str">
        <f>IF(D34&gt;0,IF(VLOOKUP(B33,cennik!A:L,12,FALSE)="O",1,""),"")</f>
        <v/>
      </c>
      <c r="K34" s="6"/>
      <c r="L34" s="160"/>
      <c r="M34" s="160"/>
      <c r="N34" s="160"/>
      <c r="O34" s="160"/>
      <c r="P34" s="5" t="s">
        <v>579</v>
      </c>
      <c r="Q34" s="5" t="e">
        <f>S8+S8+S8</f>
        <v>#DIV/0!</v>
      </c>
      <c r="R34" s="5" t="e">
        <f>IF(Q34&gt;=D4,IF(SUM(R23:R33)&gt;0,"",1),"")</f>
        <v>#DIV/0!</v>
      </c>
      <c r="T34" s="163" t="e">
        <f>IF(R34=1,3,"")</f>
        <v>#DIV/0!</v>
      </c>
    </row>
    <row r="35" spans="1:21" ht="12.75" customHeight="1" x14ac:dyDescent="0.2">
      <c r="A35" s="7" t="str">
        <f>+System10!A33</f>
        <v>dorazový kartáč</v>
      </c>
      <c r="B35" s="16">
        <v>98067</v>
      </c>
      <c r="C35" s="25" t="str">
        <f>+VLOOKUP(B35,cennik!$A:$G,2,FALSE)</f>
        <v>SEVROLL dorazová kefa zásuvná 14x4mm sivá</v>
      </c>
      <c r="D35" s="17">
        <f>CEILING((B4*D4*2/1000),1)</f>
        <v>0</v>
      </c>
      <c r="E35" s="91">
        <f>+VLOOKUP(B35,cennik!$A:$G,3,FALSE)</f>
        <v>0.19361999999999999</v>
      </c>
      <c r="F35" s="91">
        <f t="shared" ref="F35:F41" si="3">+E35*D35</f>
        <v>0</v>
      </c>
      <c r="G35" s="92">
        <f t="shared" ref="G35:G41" si="4">+F35*(100-$G$28)/100</f>
        <v>0</v>
      </c>
      <c r="H35" s="6" t="str">
        <f>cennik!$B$2</f>
        <v>EUR</v>
      </c>
      <c r="I35" s="469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</v>
      </c>
      <c r="L35" s="160"/>
      <c r="M35" s="160"/>
      <c r="N35" s="160"/>
      <c r="O35" s="160"/>
      <c r="P35" s="5" t="s">
        <v>570</v>
      </c>
      <c r="Q35" s="5" t="e">
        <f>R8+2*T8</f>
        <v>#DIV/0!</v>
      </c>
      <c r="R35" s="5" t="e">
        <f>IF(Q35&gt;=D4,IF(SUM(R23:R34)&gt;0,"",1),"")</f>
        <v>#DIV/0!</v>
      </c>
      <c r="S35" s="163" t="e">
        <f>IF(R35=1,1,"")</f>
        <v>#DIV/0!</v>
      </c>
      <c r="U35" s="163" t="e">
        <f>IF(R35=1,2,"")</f>
        <v>#DIV/0!</v>
      </c>
    </row>
    <row r="36" spans="1:21" ht="12.75" customHeight="1" x14ac:dyDescent="0.2">
      <c r="A36" s="7" t="str">
        <f>+System10!A34</f>
        <v>úchytková lišta</v>
      </c>
      <c r="B36" s="16" t="e">
        <f>+VLOOKUP(O7,data!$C$524:$D$526,2,0)</f>
        <v>#N/A</v>
      </c>
      <c r="C36" s="25" t="e">
        <f>+VLOOKUP(B36,cennik!$A:$G,2,FALSE)</f>
        <v>#N/A</v>
      </c>
      <c r="D36" s="17">
        <f>IF(B12&lt;=1347,D4*2/2,D4*2)</f>
        <v>0</v>
      </c>
      <c r="E36" s="91" t="e">
        <f>+VLOOKUP(B36,cennik!$A:$G,3,FALSE)</f>
        <v>#N/A</v>
      </c>
      <c r="F36" s="91" t="e">
        <f t="shared" si="3"/>
        <v>#N/A</v>
      </c>
      <c r="G36" s="92" t="e">
        <f t="shared" si="4"/>
        <v>#N/A</v>
      </c>
      <c r="H36" s="6" t="str">
        <f>cennik!$B$2</f>
        <v>EUR</v>
      </c>
      <c r="I36" s="469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687</v>
      </c>
    </row>
    <row r="37" spans="1:21" ht="12.75" customHeight="1" x14ac:dyDescent="0.2">
      <c r="A37" s="7" t="str">
        <f>+System10!A35</f>
        <v>spojovacia skrutka</v>
      </c>
      <c r="B37" s="16">
        <v>346726</v>
      </c>
      <c r="C37" s="25" t="str">
        <f>+VLOOKUP(B37,cennik!$A:$G,2,FALSE)</f>
        <v>SEVROLL 20371 skrutkovrut Blue 6,3x45</v>
      </c>
      <c r="D37" s="17">
        <f>+D4*4</f>
        <v>0</v>
      </c>
      <c r="E37" s="91">
        <f>+VLOOKUP(B37,cennik!$A:$G,3,FALSE)</f>
        <v>0.15482000000000001</v>
      </c>
      <c r="F37" s="91">
        <f t="shared" si="3"/>
        <v>0</v>
      </c>
      <c r="G37" s="92">
        <f t="shared" si="4"/>
        <v>0</v>
      </c>
      <c r="H37" s="6" t="str">
        <f>cennik!$B$2</f>
        <v>EUR</v>
      </c>
      <c r="I37" s="469" t="str">
        <f>IFERROR(IF((VLOOKUP(B37,cennik!A:L,12,0))="O",texty!$A$250,""),"")</f>
        <v/>
      </c>
      <c r="J37" s="191" t="str">
        <f>IF(D37&gt;0,IF(VLOOKUP(B37,cennik!A:L,12,FALSE)="O",1,""),"")</f>
        <v/>
      </c>
      <c r="K37" s="157" t="e">
        <f>(C10*D4)+(D4-1)*5</f>
        <v>#DIV/0!</v>
      </c>
    </row>
    <row r="38" spans="1:21" ht="12.75" customHeight="1" x14ac:dyDescent="0.2">
      <c r="A38" s="7" t="str">
        <f>+System10!A36</f>
        <v>horný profil rámu (vodiaca lišta)</v>
      </c>
      <c r="B38" s="16" t="e">
        <f>+VLOOKUP(L31,data!C355:D366,2,0)</f>
        <v>#DIV/0!</v>
      </c>
      <c r="C38" s="25" t="e">
        <f>+VLOOKUP(B38,cennik!$A:$G,2,FALSE)</f>
        <v>#DIV/0!</v>
      </c>
      <c r="D38" s="64" t="e">
        <f>M31</f>
        <v>#DIV/0!</v>
      </c>
      <c r="E38" s="91" t="e">
        <f>+VLOOKUP(B38,cennik!$A:$G,3,FALSE)</f>
        <v>#DIV/0!</v>
      </c>
      <c r="F38" s="91" t="e">
        <f t="shared" si="3"/>
        <v>#DIV/0!</v>
      </c>
      <c r="G38" s="92" t="e">
        <f t="shared" si="4"/>
        <v>#DIV/0!</v>
      </c>
      <c r="H38" s="6" t="str">
        <f>cennik!$B$2</f>
        <v>EUR</v>
      </c>
      <c r="I38" s="469" t="str">
        <f>IFERROR(IF((VLOOKUP(B38,cennik!A:L,12,0))="O",texty!$A$250,""),"")</f>
        <v/>
      </c>
      <c r="J38" s="191" t="e">
        <f>IF(D38&gt;0,IF(VLOOKUP(B38,cennik!A:L,12,FALSE)="O",1,""),"")</f>
        <v>#DIV/0!</v>
      </c>
      <c r="K38" s="3"/>
    </row>
    <row r="39" spans="1:21" ht="12.75" customHeight="1" x14ac:dyDescent="0.2">
      <c r="A39" s="7" t="str">
        <f>+System10!$A$36</f>
        <v>horný profil rámu (vodiaca lišta)</v>
      </c>
      <c r="B39" s="6" t="e">
        <f>IF(L33&lt;&gt;"jiné",+VLOOKUP(L33,data!C355:D366,2,0),"")</f>
        <v>#DIV/0!</v>
      </c>
      <c r="C39" s="38" t="e">
        <f>IF(L33&lt;&gt;"jiné",+VLOOKUP(B39,cennik!$A$3:$G$701,2,FALSE),texty!$A$2)</f>
        <v>#DIV/0!</v>
      </c>
      <c r="D39" s="64" t="e">
        <f>M33</f>
        <v>#DIV/0!</v>
      </c>
      <c r="E39" s="93" t="e">
        <f>IF(L33&lt;&gt;"jiné",+VLOOKUP(B39,cennik!$A:$G,3,FALSE),0)</f>
        <v>#DIV/0!</v>
      </c>
      <c r="F39" s="91" t="e">
        <f t="shared" si="3"/>
        <v>#DIV/0!</v>
      </c>
      <c r="G39" s="92" t="e">
        <f t="shared" si="4"/>
        <v>#DIV/0!</v>
      </c>
      <c r="H39" s="6" t="str">
        <f>cennik!$B$2</f>
        <v>EUR</v>
      </c>
      <c r="I39" s="469" t="str">
        <f>IFERROR(IF((VLOOKUP(B39,cennik!A:L,12,0))="O",texty!$A$250,""),"")</f>
        <v/>
      </c>
      <c r="J39" s="191" t="e">
        <f>IF(D39&gt;0,IF(VLOOKUP(B39,cennik!A:L,12,FALSE)="O",1,""),"")</f>
        <v>#DIV/0!</v>
      </c>
      <c r="K39" s="3">
        <f>+System10!L22</f>
        <v>0</v>
      </c>
    </row>
    <row r="40" spans="1:21" ht="12.75" customHeight="1" x14ac:dyDescent="0.2">
      <c r="A40" s="7" t="str">
        <f>+System10!A38</f>
        <v>horizontálny spodný profil rámu</v>
      </c>
      <c r="B40" s="6" t="e">
        <f>+VLOOKUP(L31,data!$C$444:$D$455,2,0)</f>
        <v>#DIV/0!</v>
      </c>
      <c r="C40" s="25" t="e">
        <f>+VLOOKUP(B40,cennik!$A:$G,2,FALSE)</f>
        <v>#DIV/0!</v>
      </c>
      <c r="D40" s="64" t="e">
        <f>M31</f>
        <v>#DIV/0!</v>
      </c>
      <c r="E40" s="91" t="e">
        <f>+VLOOKUP(B40,cennik!$A:$G,3,FALSE)</f>
        <v>#DIV/0!</v>
      </c>
      <c r="F40" s="91" t="e">
        <f t="shared" si="3"/>
        <v>#DIV/0!</v>
      </c>
      <c r="G40" s="92" t="e">
        <f t="shared" si="4"/>
        <v>#DIV/0!</v>
      </c>
      <c r="H40" s="6" t="str">
        <f>cennik!$B$2</f>
        <v>EUR</v>
      </c>
      <c r="I40" s="469" t="str">
        <f>IFERROR(IF((VLOOKUP(B40,cennik!A:L,12,0))="O",texty!$A$250,""),"")</f>
        <v/>
      </c>
      <c r="J40" s="191" t="e">
        <f>IF(D40&gt;0,IF(VLOOKUP(B40,cennik!A:L,12,FALSE)="O",1,""),"")</f>
        <v>#DIV/0!</v>
      </c>
      <c r="K40" s="3"/>
    </row>
    <row r="41" spans="1:21" ht="12.75" customHeight="1" x14ac:dyDescent="0.2">
      <c r="A41" s="7" t="str">
        <f>+System10!A39</f>
        <v>horizontálny spodný profil rámu</v>
      </c>
      <c r="B41" s="6" t="e">
        <f>IF(L33&lt;&gt;"jiné",VLOOKUP(L33,data!$C$444:$D$455,2,0),"")</f>
        <v>#DIV/0!</v>
      </c>
      <c r="C41" s="25" t="e">
        <f>IF(L33&lt;&gt;"jiné",+VLOOKUP(B41,cennik!$A$3:$G$701,2,FALSE),texty!A2)</f>
        <v>#DIV/0!</v>
      </c>
      <c r="D41" s="64" t="e">
        <f>M33</f>
        <v>#DIV/0!</v>
      </c>
      <c r="E41" s="93" t="e">
        <f>IF(L33&lt;&gt;"jiné",+VLOOKUP(B39,cennik!$A:$G,3,FALSE),0)</f>
        <v>#DIV/0!</v>
      </c>
      <c r="F41" s="91" t="e">
        <f t="shared" si="3"/>
        <v>#DIV/0!</v>
      </c>
      <c r="G41" s="92" t="e">
        <f t="shared" si="4"/>
        <v>#DIV/0!</v>
      </c>
      <c r="H41" s="6" t="str">
        <f>cennik!$B$2</f>
        <v>EUR</v>
      </c>
      <c r="I41" s="469" t="str">
        <f>IFERROR(IF((VLOOKUP(B41,cennik!A:L,12,0))="O",texty!$A$250,""),"")</f>
        <v/>
      </c>
      <c r="J41" s="191" t="e">
        <f>IF(D41&gt;0,IF(VLOOKUP(B41,cennik!A:L,12,FALSE)="O",1,""),"")</f>
        <v>#DIV/0!</v>
      </c>
      <c r="K41" s="3" t="str">
        <f>+System10!L24</f>
        <v>1700-0</v>
      </c>
    </row>
    <row r="42" spans="1:21" ht="12.75" customHeight="1" x14ac:dyDescent="0.2">
      <c r="E42" s="94"/>
      <c r="F42" s="94"/>
      <c r="G42" s="94"/>
      <c r="I42" s="469" t="str">
        <f>IFERROR(IF((VLOOKUP(B42,cennik!A:L,12,0))="O",texty!$A$250,""),"")</f>
        <v/>
      </c>
      <c r="J42" s="191"/>
      <c r="K42" s="3"/>
    </row>
    <row r="43" spans="1:21" ht="12.75" customHeight="1" x14ac:dyDescent="0.2">
      <c r="A43" s="14" t="str">
        <f>texty!$A$66</f>
        <v>Voliteľné príslušenstvo:</v>
      </c>
      <c r="B43" s="15"/>
      <c r="D43" s="26" t="str">
        <f>System10!$D$41</f>
        <v>zadajte počet:</v>
      </c>
      <c r="E43" s="95"/>
      <c r="F43" s="95"/>
      <c r="G43" s="94"/>
      <c r="I43" s="469" t="str">
        <f>IFERROR(IF((VLOOKUP(B43,cennik!A:L,12,0))="O",texty!$A$250,""),"")</f>
        <v/>
      </c>
      <c r="J43" s="191"/>
      <c r="K43" s="3"/>
    </row>
    <row r="44" spans="1:21" ht="12.75" customHeight="1" x14ac:dyDescent="0.2">
      <c r="A44" s="7" t="str">
        <f>texty!$A$88</f>
        <v>pozicionér do horného vedenia</v>
      </c>
      <c r="B44" s="15">
        <v>298035</v>
      </c>
      <c r="C44" s="25" t="str">
        <f>+VLOOKUP(B44,cennik!$A:$G,2,FALSE)</f>
        <v>SEVROLL 20326 Fix pozicionér pre horný vozík transparentný</v>
      </c>
      <c r="D44" s="29"/>
      <c r="E44" s="91">
        <f>+VLOOKUP(B44,cennik!$A:$G,3,FALSE)</f>
        <v>1.0837300000000001</v>
      </c>
      <c r="F44" s="96">
        <f t="shared" ref="F44" si="5">+CEILING(D44,1)*E44</f>
        <v>0</v>
      </c>
      <c r="G44" s="92">
        <f t="shared" ref="G44" si="6">+F44*(100-$G$28)/100</f>
        <v>0</v>
      </c>
      <c r="H44" s="6" t="str">
        <f>cennik!$B$2</f>
        <v>EUR</v>
      </c>
      <c r="I44" s="469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">
      <c r="A45" s="7" t="str">
        <f>texty!A87</f>
        <v>pozicionér</v>
      </c>
      <c r="B45" s="200">
        <v>229681</v>
      </c>
      <c r="C45" s="25" t="str">
        <f>+VLOOKUP(B45,cennik!$A:$G,2,FALSE)</f>
        <v>SEVROLL 10163 Simple/Blue pozicionér pre spodný vozík</v>
      </c>
      <c r="D45" s="29"/>
      <c r="E45" s="91">
        <f>+VLOOKUP(B45,cennik!$A:$G,3,FALSE)</f>
        <v>0.36124000000000001</v>
      </c>
      <c r="F45" s="91">
        <f>+E45*D45</f>
        <v>0</v>
      </c>
      <c r="G45" s="92">
        <f>+F45*(100-$G$28)/100</f>
        <v>0</v>
      </c>
      <c r="H45" s="6" t="str">
        <f>cennik!$B$2</f>
        <v>EUR</v>
      </c>
      <c r="I45" s="469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">
      <c r="A46" s="7" t="str">
        <f>texty!A179</f>
        <v>skrutka k spodnémi vedeniu</v>
      </c>
      <c r="B46" s="15">
        <v>98019</v>
      </c>
      <c r="C46" s="25" t="str">
        <f>+VLOOKUP(B46,cennik!$A:$G,2,FALSE)</f>
        <v>SEVROLL 20041 skrutka 2,5x18mm polguľatá hlava zinok biely</v>
      </c>
      <c r="D46" s="29"/>
      <c r="E46" s="91">
        <f>+VLOOKUP(B46,cennik!$A:$G,3,FALSE)</f>
        <v>2.9159999999999998E-2</v>
      </c>
      <c r="F46" s="96">
        <f>+CEILING(D46,1)*E46</f>
        <v>0</v>
      </c>
      <c r="G46" s="92">
        <f>+F46*(100-$G$24)/100</f>
        <v>0</v>
      </c>
      <c r="H46" s="6" t="str">
        <f>cennik!$B$2</f>
        <v>EUR</v>
      </c>
      <c r="I46" s="469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">
      <c r="A47" s="7" t="str">
        <f>texty!$A$204</f>
        <v>spojovací H21 profil Simple (18mm)</v>
      </c>
      <c r="B47" s="16" t="e">
        <f>+VLOOKUP(O7,data!$C$477:$D$480,2,0)</f>
        <v>#N/A</v>
      </c>
      <c r="C47" s="25" t="e">
        <f>+VLOOKUP(B47,cennik!$A:$G,2,FALSE)</f>
        <v>#N/A</v>
      </c>
      <c r="D47" s="30"/>
      <c r="E47" s="91" t="e">
        <f>+VLOOKUP(B47,cennik!$A:$G,3,FALSE)</f>
        <v>#N/A</v>
      </c>
      <c r="F47" s="91" t="e">
        <f>+E47*D47</f>
        <v>#N/A</v>
      </c>
      <c r="G47" s="92" t="e">
        <f>+F47*(100-$G$28)/100</f>
        <v>#N/A</v>
      </c>
      <c r="H47" s="6" t="str">
        <f>cennik!$B$2</f>
        <v>EUR</v>
      </c>
      <c r="I47" s="469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">
      <c r="A48" s="7" t="str">
        <f>texty!$A$205</f>
        <v>spojovací H28 profil Simple (18mm)</v>
      </c>
      <c r="B48" s="16" t="str">
        <f>IFERROR(VLOOKUP(O7,data!$C$481:$D$483,2,0),"N/A")</f>
        <v>N/A</v>
      </c>
      <c r="C48" s="25" t="str">
        <f>IF(B48=data!$D$64,texty!$A$239,+VLOOKUP(B48,cennik!$A:$G,2,FALSE))</f>
        <v> v tejto farbe a dĺžke sa daný profil nevyrába</v>
      </c>
      <c r="D48" s="30"/>
      <c r="E48" s="91">
        <f>IFERROR(+VLOOKUP(B48,cennik!$A:$G,3,FALSE),0)</f>
        <v>0</v>
      </c>
      <c r="F48" s="91">
        <f>+E48*D48</f>
        <v>0</v>
      </c>
      <c r="G48" s="92">
        <f>+F48*(100-$G$28)/100</f>
        <v>0</v>
      </c>
      <c r="H48" s="6" t="str">
        <f>cennik!$B$2</f>
        <v>EUR</v>
      </c>
      <c r="I48" s="469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">
      <c r="A49" s="7" t="str">
        <f>texty!$A$92</f>
        <v>spojovacia skrutka</v>
      </c>
      <c r="B49" s="16">
        <v>346726</v>
      </c>
      <c r="C49" s="25" t="str">
        <f>+VLOOKUP(B49,cennik!$A:$G,2,FALSE)</f>
        <v>SEVROLL 20371 skrutkovrut Blue 6,3x45</v>
      </c>
      <c r="D49" s="30"/>
      <c r="E49" s="91">
        <f>+VLOOKUP(B49,cennik!$A:$G,3,FALSE)</f>
        <v>0.15482000000000001</v>
      </c>
      <c r="F49" s="91">
        <f>+E49*D49</f>
        <v>0</v>
      </c>
      <c r="G49" s="92">
        <f>+F49*(100-$G$28)/100</f>
        <v>0</v>
      </c>
      <c r="H49" s="6" t="str">
        <f>cennik!$B$2</f>
        <v>EUR</v>
      </c>
      <c r="I49" s="469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">
      <c r="A50" s="422" t="str">
        <f>texty!$A$228</f>
        <v> Tlmič dorazu MINI do 25 kg (pár)</v>
      </c>
      <c r="B50" s="16">
        <v>318662</v>
      </c>
      <c r="C50" s="25" t="str">
        <f>+VLOOKUP(B50,cennik!$A:$G,2,FALSE)</f>
        <v>SEVROLL 20368-SV tlmič dorazu Mini SV25 (14-25kg)</v>
      </c>
      <c r="D50" s="29"/>
      <c r="E50" s="91">
        <f>+VLOOKUP(B50,cennik!$A:$G,3,FALSE)</f>
        <v>22.75825</v>
      </c>
      <c r="F50" s="96">
        <f>+CEILING(D50,1)*E50</f>
        <v>0</v>
      </c>
      <c r="G50" s="92">
        <f t="shared" ref="G50:G53" si="7">+F50*(100-$G$28)/100</f>
        <v>0</v>
      </c>
      <c r="H50" s="6" t="str">
        <f>cennik!$B$2</f>
        <v>EUR</v>
      </c>
      <c r="I50" s="469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">
      <c r="A51" s="422" t="str">
        <f>texty!$A$229</f>
        <v> Tlmič dorazu MINI do 40 kg (pár)</v>
      </c>
      <c r="B51" s="24">
        <v>283956</v>
      </c>
      <c r="C51" s="25" t="str">
        <f>+VLOOKUP(B51,cennik!$A:$G,2,FALSE)</f>
        <v>SEVROLL 20258-SV tlmič dorazu Mini SV40 (25 - 40kg)</v>
      </c>
      <c r="D51" s="29"/>
      <c r="E51" s="91">
        <f>+VLOOKUP(B51,cennik!$A:$G,3,FALSE)</f>
        <v>22.75825</v>
      </c>
      <c r="F51" s="96">
        <f>+CEILING(D51,1)*E51</f>
        <v>0</v>
      </c>
      <c r="G51" s="92">
        <f t="shared" si="7"/>
        <v>0</v>
      </c>
      <c r="H51" s="6" t="str">
        <f>cennik!$B$2</f>
        <v>EUR</v>
      </c>
      <c r="I51" s="469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">
      <c r="A52" s="422" t="str">
        <f>texty!$A$231</f>
        <v> Tlmič pre stredné krídlo do 25 kg</v>
      </c>
      <c r="B52" s="24">
        <v>318663</v>
      </c>
      <c r="C52" s="25" t="str">
        <f>+VLOOKUP(B52,cennik!$A:$G,2,FALSE)</f>
        <v>SEVROLL 20363-SV tlmič Central 10/18mm obojstranný 25kg</v>
      </c>
      <c r="D52" s="29"/>
      <c r="E52" s="91">
        <f>+VLOOKUP(B52,cennik!$A:$G,3,FALSE)</f>
        <v>48.741869999999999</v>
      </c>
      <c r="F52" s="96">
        <f>+CEILING(D52,1)*E52</f>
        <v>0</v>
      </c>
      <c r="G52" s="92">
        <f t="shared" si="7"/>
        <v>0</v>
      </c>
      <c r="H52" s="6" t="str">
        <f>cennik!$B$2</f>
        <v>EUR</v>
      </c>
      <c r="I52" s="469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">
      <c r="A53" s="422" t="str">
        <f>texty!$A$232</f>
        <v> Tlmič pre stredné krídlo do 40 kg</v>
      </c>
      <c r="B53" s="24">
        <v>283955</v>
      </c>
      <c r="C53" s="25" t="str">
        <f>+VLOOKUP(B53,cennik!$A:$G,2,FALSE)</f>
        <v>SEVROLL 20319-SV tlmič Central 10/18mm obojstranný 25-40kg</v>
      </c>
      <c r="D53" s="29"/>
      <c r="E53" s="91">
        <f>+VLOOKUP(B53,cennik!$A:$G,3,FALSE)</f>
        <v>48.741869999999999</v>
      </c>
      <c r="F53" s="96">
        <f>+CEILING(D53,1)*E53</f>
        <v>0</v>
      </c>
      <c r="G53" s="92">
        <f t="shared" si="7"/>
        <v>0</v>
      </c>
      <c r="H53" s="6" t="str">
        <f>cennik!$B$2</f>
        <v>EUR</v>
      </c>
      <c r="I53" s="469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">
      <c r="A54" s="7" t="str">
        <f>texty!$A$90</f>
        <v>protiprachový kartáč</v>
      </c>
      <c r="B54" s="16">
        <v>305348</v>
      </c>
      <c r="C54" s="25" t="str">
        <f>+VLOOKUP(B54,cennik!$A:$G,2,FALSE)</f>
        <v>SEVROLL 20082-BL protiprachový kartáč zásuvný 4,8x9mm šedý</v>
      </c>
      <c r="D54" s="30"/>
      <c r="E54" s="91">
        <f>+VLOOKUP(B54,cennik!$A:$G,3,FALSE)</f>
        <v>0.23222999999999999</v>
      </c>
      <c r="F54" s="91">
        <f>+E54*D54</f>
        <v>0</v>
      </c>
      <c r="G54" s="92">
        <f>+F54*(100-$G$28)/100</f>
        <v>0</v>
      </c>
      <c r="H54" s="6" t="str">
        <f>cennik!$B$2</f>
        <v>EUR</v>
      </c>
      <c r="I54" s="469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">
      <c r="H55" s="5"/>
      <c r="I55" s="469" t="str">
        <f>IFERROR(IF((VLOOKUP(B55,cennik!A:L,12,0))="O",texty!$A$250,""),"")</f>
        <v/>
      </c>
      <c r="J55" s="191" t="str">
        <f>IF(D54&gt;0,IF(VLOOKUP(B54,cennik!A:L,12,FALSE)="O",1,""),"")</f>
        <v/>
      </c>
      <c r="K55" s="6"/>
    </row>
    <row r="56" spans="1:11" ht="12.75" customHeight="1" x14ac:dyDescent="0.2">
      <c r="A56" s="667" t="e">
        <f>CONCATENATE(texty!$A$7," ",D58," ",texty!$A$9)</f>
        <v>#DIV/0!</v>
      </c>
      <c r="B56" s="667"/>
      <c r="C56" s="667"/>
      <c r="D56" s="667"/>
      <c r="E56" s="667"/>
      <c r="F56" s="667"/>
      <c r="G56" s="667"/>
      <c r="I56" s="469" t="str">
        <f>IFERROR(IF((VLOOKUP(B56,cennik!A:L,12,0))="O",texty!$A$250,""),"")</f>
        <v/>
      </c>
      <c r="J56" s="181"/>
      <c r="K56" s="6"/>
    </row>
    <row r="57" spans="1:11" ht="12.75" customHeight="1" x14ac:dyDescent="0.2">
      <c r="A57" s="667"/>
      <c r="B57" s="667"/>
      <c r="C57" s="667"/>
      <c r="D57" s="667"/>
      <c r="E57" s="667"/>
      <c r="F57" s="667"/>
      <c r="G57" s="667"/>
      <c r="I57" s="469" t="str">
        <f>IFERROR(IF((VLOOKUP(B57,cennik!A:L,12,0))="O",texty!$A$250,""),"")</f>
        <v/>
      </c>
      <c r="J57" s="181"/>
      <c r="K57" s="6"/>
    </row>
    <row r="58" spans="1:11" ht="12.75" customHeight="1" x14ac:dyDescent="0.2">
      <c r="A58" s="3" t="str">
        <f>texty!$A$11</f>
        <v>Potrebná dĺžka tesnenia pri celkovom presklení (nutné objednať celé metre)</v>
      </c>
      <c r="D58" s="39" t="e">
        <f>CEILING((B9*2+C9*2)/1000/0.2+2,1)</f>
        <v>#DIV/0!</v>
      </c>
      <c r="E58" s="94"/>
      <c r="F58" s="94"/>
      <c r="G58" s="94"/>
      <c r="I58" s="469" t="str">
        <f>IFERROR(IF((VLOOKUP(B58,cennik!A:L,12,0))="O",texty!$A$250,""),"")</f>
        <v/>
      </c>
      <c r="J58" s="181"/>
      <c r="K58" s="6"/>
    </row>
    <row r="59" spans="1:11" ht="12.75" customHeight="1" x14ac:dyDescent="0.2">
      <c r="A59" s="3"/>
      <c r="D59" s="39"/>
      <c r="E59" s="94"/>
      <c r="F59" s="94"/>
      <c r="G59" s="94"/>
      <c r="I59" s="469" t="str">
        <f>IFERROR(IF((VLOOKUP(B59,cennik!A:L,12,0))="O",texty!$A$250,""),"")</f>
        <v/>
      </c>
      <c r="J59" s="181"/>
      <c r="K59" s="6"/>
    </row>
    <row r="60" spans="1:11" ht="12.75" customHeight="1" x14ac:dyDescent="0.2">
      <c r="A60" s="48" t="str">
        <f>texty!$A$11</f>
        <v>Potrebná dĺžka tesnenia pri celkovom presklení (nutné objednať celé metre)</v>
      </c>
      <c r="B60" s="46"/>
      <c r="C60" s="47"/>
      <c r="D60" s="46"/>
      <c r="E60" s="99"/>
      <c r="F60" s="99"/>
      <c r="G60" s="99"/>
      <c r="I60" s="469" t="str">
        <f>IFERROR(IF((VLOOKUP(B60,cennik!A:L,12,0))="O",texty!$A$250,""),"")</f>
        <v/>
      </c>
      <c r="J60" s="181"/>
      <c r="K60" s="6"/>
    </row>
    <row r="61" spans="1:11" ht="28.15" customHeight="1" x14ac:dyDescent="0.2">
      <c r="A61" s="479" t="str">
        <f>texty!A206</f>
        <v xml:space="preserve">Upevňovacie kliny Blue 40ks (sklo 4 mm) </v>
      </c>
      <c r="B61" s="8">
        <v>349856</v>
      </c>
      <c r="C61" s="25" t="str">
        <f>+VLOOKUP(B61,cennik!$A:$G,2,FALSE)</f>
        <v>SEVROLL 20361 upevňovací klin Blue 40ks (sklo 4mm)</v>
      </c>
      <c r="D61" s="45"/>
      <c r="E61" s="91">
        <f>+VLOOKUP(B61,cennik!$A:$G,3,FALSE)</f>
        <v>12.17902</v>
      </c>
      <c r="F61" s="91">
        <f>+E61*D61</f>
        <v>0</v>
      </c>
      <c r="G61" s="480">
        <f>+F61*(100-$G$28)/100</f>
        <v>0</v>
      </c>
      <c r="H61" s="8" t="str">
        <f>cennik!$B$2</f>
        <v>EUR</v>
      </c>
      <c r="I61" s="469" t="str">
        <f>IFERROR(IF((VLOOKUP(B61,cennik!A:L,12,0))="O",texty!$A$250,""),"")</f>
        <v/>
      </c>
      <c r="J61" s="191" t="str">
        <f>IF(D61&gt;0,IF(VLOOKUP(B61,cennik!A:L,12,FALSE)="O",1,""),"")</f>
        <v/>
      </c>
      <c r="K61" s="3"/>
    </row>
    <row r="62" spans="1:11" ht="12.75" customHeight="1" x14ac:dyDescent="0.2">
      <c r="A62" s="7"/>
      <c r="B62" s="17"/>
      <c r="C62" s="25"/>
      <c r="E62" s="91"/>
      <c r="F62" s="96"/>
      <c r="G62" s="480"/>
      <c r="H62" s="8"/>
      <c r="I62" s="469" t="str">
        <f>IFERROR(IF((VLOOKUP(B62,cennik!A:L,12,0))="O",texty!$A$250,""),"")</f>
        <v/>
      </c>
      <c r="J62" s="181"/>
      <c r="K62" s="3"/>
    </row>
    <row r="63" spans="1:11" ht="15" x14ac:dyDescent="0.2">
      <c r="A63" s="271" t="str">
        <f>texty!$A$190</f>
        <v>Ďalšie príslušenstvo</v>
      </c>
      <c r="E63" s="207"/>
      <c r="F63" s="207"/>
      <c r="G63" s="207"/>
      <c r="H63" s="8"/>
      <c r="I63" s="469" t="str">
        <f>IFERROR(IF((VLOOKUP(B63,cennik!A:L,12,0))="O",texty!$A$250,""),"")</f>
        <v/>
      </c>
      <c r="J63" s="181"/>
      <c r="K63" s="6"/>
    </row>
    <row r="64" spans="1:11" ht="12.75" customHeight="1" x14ac:dyDescent="0.2">
      <c r="A64" s="271" t="str">
        <f>texty!$A$244</f>
        <v>Technický nákres tohoto systému</v>
      </c>
      <c r="B64" s="481">
        <v>128842</v>
      </c>
      <c r="C64" s="167" t="str">
        <f>VLOOKUP(B64,cennik!A:C,2,0)</f>
        <v>SEVROLL 20144 vrták stupňovitý 6,5/9,5mm</v>
      </c>
      <c r="D64" s="45"/>
      <c r="E64" s="91">
        <f>+VLOOKUP(B64,cennik!$A:$G,3,FALSE)</f>
        <v>26.752659999999999</v>
      </c>
      <c r="F64" s="96">
        <f>+CEILING(D64,1)*E64</f>
        <v>0</v>
      </c>
      <c r="G64" s="480">
        <f>+F64</f>
        <v>0</v>
      </c>
      <c r="H64" s="8" t="str">
        <f>cennik!$B$2</f>
        <v>EUR</v>
      </c>
      <c r="I64" s="469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">
      <c r="E65" s="94"/>
      <c r="F65" s="94"/>
      <c r="G65" s="94"/>
      <c r="I65" s="181"/>
      <c r="J65" s="181"/>
    </row>
    <row r="66" spans="1:13" ht="12.75" customHeight="1" x14ac:dyDescent="0.2">
      <c r="B66" s="8"/>
      <c r="C66" s="8"/>
      <c r="D66" s="76" t="str">
        <f>texty!$A$15</f>
        <v>CELKOM  (bez DPH)</v>
      </c>
      <c r="E66" s="99"/>
      <c r="F66" s="101" t="e">
        <f>SUM(F30:F64)</f>
        <v>#N/A</v>
      </c>
      <c r="G66" s="101" t="e">
        <f>SUM(G30:G64)</f>
        <v>#N/A</v>
      </c>
      <c r="H66" s="6" t="str">
        <f>cennik!$B$2</f>
        <v>EUR</v>
      </c>
      <c r="I66" s="181"/>
      <c r="J66" s="181"/>
      <c r="K66" s="5" t="str">
        <f>texty!A128</f>
        <v xml:space="preserve">strieborná </v>
      </c>
    </row>
    <row r="67" spans="1:13" ht="12.75" customHeight="1" x14ac:dyDescent="0.2">
      <c r="A67" s="75" t="str">
        <f>System10!$A$67</f>
        <v>Vaša poznámka:</v>
      </c>
      <c r="B67" s="656"/>
      <c r="C67" s="657"/>
      <c r="D67" s="657"/>
      <c r="E67" s="657"/>
      <c r="F67" s="657"/>
      <c r="G67" s="657"/>
      <c r="K67" s="5" t="str">
        <f>texty!A130</f>
        <v>oliva</v>
      </c>
    </row>
    <row r="68" spans="1:13" ht="12.75" customHeight="1" x14ac:dyDescent="0.2">
      <c r="A68" s="648">
        <f>profil!$U$15</f>
        <v>0</v>
      </c>
      <c r="B68" s="649"/>
      <c r="C68" s="649"/>
      <c r="D68" s="649"/>
      <c r="E68" s="649"/>
      <c r="F68" s="649"/>
      <c r="G68" s="649"/>
      <c r="K68" s="5" t="str">
        <f>data!J17</f>
        <v>čierna mat</v>
      </c>
    </row>
    <row r="69" spans="1:13" ht="12.75" customHeight="1" x14ac:dyDescent="0.2">
      <c r="A69" s="650">
        <f>IF(M69=1,texty!$A$215,IF(J69&gt;0,texty!$A$214,""))</f>
        <v>0</v>
      </c>
      <c r="B69" s="650"/>
      <c r="C69" s="650"/>
      <c r="D69" s="650"/>
      <c r="E69" s="650"/>
      <c r="F69" s="650"/>
      <c r="G69" s="650"/>
      <c r="J69" s="6" t="e">
        <f>SUM(J30:J64)</f>
        <v>#N/A</v>
      </c>
      <c r="M69" s="5">
        <f>IF(ISERROR(J69),1,0)</f>
        <v>1</v>
      </c>
    </row>
    <row r="70" spans="1:13" ht="12.75" customHeight="1" x14ac:dyDescent="0.2"/>
    <row r="82" spans="1:1" ht="12.75" hidden="1" customHeight="1" x14ac:dyDescent="0.2">
      <c r="A82" s="5">
        <v>3</v>
      </c>
    </row>
    <row r="83" spans="1:1" ht="12.75" customHeight="1" x14ac:dyDescent="0.2"/>
    <row r="84" spans="1:1" ht="12.75" customHeight="1" x14ac:dyDescent="0.2"/>
    <row r="85" spans="1:1" ht="12.75" customHeight="1" x14ac:dyDescent="0.2"/>
    <row r="86" spans="1:1" ht="12.75" customHeight="1" x14ac:dyDescent="0.2"/>
    <row r="87" spans="1:1" ht="12.75" customHeight="1" x14ac:dyDescent="0.2"/>
  </sheetData>
  <sheetProtection algorithmName="SHA-512" hashValue="am1XGzzvzNAJro+NPM4wGhHCotTXehgdIs0a7nCSYBFKoiM+hatbuLwFEfgT59FrhTWXBrNt3eN580kJfcP8yw==" saltValue="zWOPW6Sze0IkCYgg/eOX/g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"/>
  <sheetViews>
    <sheetView showGridLines="0" zoomScale="70" zoomScaleNormal="70" workbookViewId="0"/>
  </sheetViews>
  <sheetFormatPr defaultColWidth="12.42578125" defaultRowHeight="12.75" x14ac:dyDescent="0.2"/>
  <cols>
    <col min="1" max="1" width="11.28515625" customWidth="1"/>
    <col min="2" max="2" width="46.7109375" bestFit="1" customWidth="1"/>
    <col min="3" max="3" width="9.140625" customWidth="1"/>
    <col min="4" max="4" width="11.42578125" customWidth="1"/>
    <col min="5" max="5" width="9.140625" customWidth="1"/>
    <col min="6" max="6" width="12.140625" customWidth="1"/>
    <col min="7" max="9" width="9.140625" customWidth="1"/>
    <col min="10" max="10" width="11.7109375" customWidth="1"/>
    <col min="11" max="13" width="12.42578125" customWidth="1"/>
  </cols>
  <sheetData/>
  <sheetProtection algorithmName="SHA-512" hashValue="SYedyEEa4y2xDgojlHP0oWX0bTzjcecX2TzXVT9Sr1rMuLVnDYNBu/0Av1Z8LmdSGZ6N6tZgshBFMkuPcb80xQ==" saltValue="OBVmG/tdLhbZnVsdC2wVa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zoomScale="85" zoomScaleNormal="85" workbookViewId="0"/>
  </sheetViews>
  <sheetFormatPr defaultColWidth="0" defaultRowHeight="12.75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6384" width="7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ht="25.5" x14ac:dyDescent="0.2">
      <c r="F72" s="521" t="str">
        <f>texty!$A$21</f>
        <v>partnerská zľava:</v>
      </c>
    </row>
    <row r="73" spans="1:6" x14ac:dyDescent="0.2">
      <c r="F73" s="141">
        <f>profil!C$15</f>
        <v>0</v>
      </c>
    </row>
    <row r="74" spans="1:6" ht="25.5" x14ac:dyDescent="0.2">
      <c r="C74" s="522" t="str">
        <f>texty!A33</f>
        <v>zadajte počet:</v>
      </c>
      <c r="D74" s="171" t="str">
        <f>texty!$A$18</f>
        <v>cena/ks</v>
      </c>
      <c r="E74" s="171" t="str">
        <f>texty!$A$19</f>
        <v>cena celkom</v>
      </c>
    </row>
    <row r="75" spans="1:6" x14ac:dyDescent="0.2">
      <c r="A75">
        <v>222761</v>
      </c>
      <c r="B75" t="str">
        <f>VLOOKUP(A75,cennik!A:C,2,0)</f>
        <v>SEVROLL šablóna pre vozíky DTD 18mm</v>
      </c>
      <c r="C75" s="29"/>
      <c r="D75">
        <f>+VLOOKUP(A75,cennik!$A:$G,3,FALSE)</f>
        <v>4.0829800000000001</v>
      </c>
      <c r="E75" s="90">
        <f>D75*C75</f>
        <v>0</v>
      </c>
      <c r="F75" s="90">
        <f>+E75*(100-$F$73)/100</f>
        <v>0</v>
      </c>
    </row>
    <row r="76" spans="1:6" x14ac:dyDescent="0.2"/>
    <row r="77" spans="1:6" x14ac:dyDescent="0.2"/>
    <row r="80" spans="1:6" ht="13.5" hidden="1" thickBot="1" x14ac:dyDescent="0.25"/>
    <row r="81" spans="3:7" ht="13.5" hidden="1" thickBot="1" x14ac:dyDescent="0.25">
      <c r="C81" s="172" t="str">
        <f>texty!$A$15</f>
        <v>CELKOM  (bez DPH)</v>
      </c>
      <c r="D81" s="173"/>
      <c r="E81" s="173"/>
      <c r="F81" s="174">
        <f>SUM(F75:F79)</f>
        <v>0</v>
      </c>
      <c r="G81" t="str">
        <f>cennik!$B$2</f>
        <v>EUR</v>
      </c>
    </row>
  </sheetData>
  <sheetProtection algorithmName="SHA-512" hashValue="4qNeuUNzkOnHtd3h+3fxEytJemTSQyjCQfos0+DSz4Ghs45Wuq0UdMxGvj6McDfHK1y9JTn7OnlS2HgD7tXRWQ==" saltValue="xMpe97KIZIg9z9vjzKThGg==" spinCount="100000" sheet="1" objects="1" scenario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zoomScale="85" zoomScaleNormal="85" workbookViewId="0"/>
  </sheetViews>
  <sheetFormatPr defaultColWidth="0" defaultRowHeight="12.75" zeroHeight="1" x14ac:dyDescent="0.2"/>
  <cols>
    <col min="1" max="1" width="9.140625" customWidth="1"/>
    <col min="2" max="2" width="46.7109375" bestFit="1" customWidth="1"/>
    <col min="3" max="5" width="9.140625" customWidth="1"/>
    <col min="6" max="6" width="10.42578125" hidden="1" customWidth="1"/>
    <col min="7" max="10" width="7" hidden="1" customWidth="1"/>
    <col min="11" max="11" width="14.42578125" hidden="1" customWidth="1"/>
    <col min="12" max="23" width="8.7109375" customWidth="1"/>
    <col min="24" max="16384" width="8.7109375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</sheetData>
  <sheetProtection algorithmName="SHA-512" hashValue="ucNMssMgaydZnaOWSHJP96lsFS97m5Va4uZhaj15pMCU9JX6bdHk2mMuegtNuAwpijV6juWltFksiXQP6RvmDA==" saltValue="tVK8PsocrLOwl3ZJNj/OYA==" spinCount="100000" sheet="1" objects="1" scenario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zoomScale="70" zoomScaleNormal="70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6" width="7" customWidth="1"/>
    <col min="17" max="18" width="7" hidden="1" customWidth="1"/>
    <col min="19" max="16384" width="8.7109375" hidden="1"/>
  </cols>
  <sheetData>
    <row r="1" s="362" customFormat="1" ht="12.75" x14ac:dyDescent="0.2"/>
    <row r="2" s="362" customFormat="1" ht="12.75" x14ac:dyDescent="0.2"/>
    <row r="3" s="362" customFormat="1" ht="12.75" x14ac:dyDescent="0.2"/>
    <row r="4" s="362" customFormat="1" ht="12.75" x14ac:dyDescent="0.2"/>
    <row r="5" s="362" customFormat="1" ht="12.75" x14ac:dyDescent="0.2"/>
    <row r="6" s="362" customFormat="1" ht="12.75" x14ac:dyDescent="0.2"/>
    <row r="7" s="362" customFormat="1" ht="12.75" x14ac:dyDescent="0.2"/>
    <row r="8" s="362" customFormat="1" ht="12.75" x14ac:dyDescent="0.2"/>
    <row r="9" s="362" customFormat="1" ht="12.75" x14ac:dyDescent="0.2"/>
    <row r="10" s="362" customFormat="1" ht="12.75" x14ac:dyDescent="0.2"/>
    <row r="11" s="362" customFormat="1" ht="12.75" x14ac:dyDescent="0.2"/>
    <row r="12" s="362" customFormat="1" ht="12.75" x14ac:dyDescent="0.2"/>
    <row r="13" s="362" customFormat="1" ht="12.75" x14ac:dyDescent="0.2"/>
    <row r="14" s="362" customFormat="1" ht="12.75" x14ac:dyDescent="0.2"/>
    <row r="15" s="362" customFormat="1" ht="12.75" x14ac:dyDescent="0.2"/>
    <row r="16" s="362" customFormat="1" ht="12.75" x14ac:dyDescent="0.2"/>
    <row r="17" s="362" customFormat="1" ht="12.75" x14ac:dyDescent="0.2"/>
    <row r="18" s="362" customFormat="1" ht="12.75" x14ac:dyDescent="0.2"/>
    <row r="19" s="362" customFormat="1" ht="12.75" x14ac:dyDescent="0.2"/>
    <row r="20" s="362" customFormat="1" ht="12.75" x14ac:dyDescent="0.2"/>
    <row r="21" s="362" customFormat="1" ht="12.75" x14ac:dyDescent="0.2"/>
    <row r="22" s="362" customFormat="1" ht="12.75" x14ac:dyDescent="0.2"/>
    <row r="23" s="362" customFormat="1" ht="12.75" x14ac:dyDescent="0.2"/>
    <row r="24" s="362" customFormat="1" ht="12.75" x14ac:dyDescent="0.2"/>
    <row r="25" s="362" customFormat="1" ht="12.75" x14ac:dyDescent="0.2"/>
    <row r="26" s="362" customFormat="1" ht="12.75" x14ac:dyDescent="0.2"/>
    <row r="27" s="362" customFormat="1" ht="12.75" x14ac:dyDescent="0.2"/>
    <row r="28" s="362" customFormat="1" ht="12.75" x14ac:dyDescent="0.2"/>
    <row r="29" s="362" customFormat="1" ht="12.75" x14ac:dyDescent="0.2"/>
    <row r="30" s="362" customFormat="1" ht="12.75" x14ac:dyDescent="0.2"/>
    <row r="31" s="362" customFormat="1" ht="12.75" x14ac:dyDescent="0.2"/>
    <row r="32" s="362" customFormat="1" ht="12.75" x14ac:dyDescent="0.2"/>
    <row r="33" s="362" customFormat="1" ht="12.75" x14ac:dyDescent="0.2"/>
    <row r="34" s="362" customFormat="1" ht="12.75" x14ac:dyDescent="0.2"/>
    <row r="35" s="362" customFormat="1" ht="12.75" x14ac:dyDescent="0.2"/>
    <row r="36" s="362" customFormat="1" ht="12.75" x14ac:dyDescent="0.2"/>
    <row r="37" s="362" customFormat="1" ht="12.75" x14ac:dyDescent="0.2"/>
    <row r="38" s="362" customFormat="1" ht="12.75" x14ac:dyDescent="0.2"/>
    <row r="39" s="362" customFormat="1" ht="12.75" x14ac:dyDescent="0.2"/>
    <row r="40" s="362" customFormat="1" ht="12.75" x14ac:dyDescent="0.2"/>
    <row r="41" s="362" customFormat="1" ht="12.75" x14ac:dyDescent="0.2"/>
    <row r="42" s="362" customFormat="1" ht="12.75" x14ac:dyDescent="0.2"/>
    <row r="43" s="362" customFormat="1" ht="12.75" x14ac:dyDescent="0.2"/>
    <row r="44" s="362" customFormat="1" ht="12.75" x14ac:dyDescent="0.2"/>
    <row r="45" s="362" customFormat="1" ht="12.75" x14ac:dyDescent="0.2"/>
    <row r="46" s="362" customFormat="1" ht="12.75" x14ac:dyDescent="0.2"/>
    <row r="47" s="362" customFormat="1" ht="12.75" x14ac:dyDescent="0.2"/>
    <row r="48" s="362" customFormat="1" ht="12.75" x14ac:dyDescent="0.2"/>
    <row r="49" s="362" customFormat="1" ht="12.75" x14ac:dyDescent="0.2"/>
    <row r="50" s="362" customFormat="1" ht="12.75" x14ac:dyDescent="0.2"/>
    <row r="51" s="362" customFormat="1" ht="12.75" x14ac:dyDescent="0.2"/>
    <row r="52" s="362" customFormat="1" ht="12.75" x14ac:dyDescent="0.2"/>
    <row r="53" s="362" customFormat="1" ht="12.75" x14ac:dyDescent="0.2"/>
    <row r="54" s="362" customFormat="1" ht="12.75" x14ac:dyDescent="0.2"/>
    <row r="55" s="362" customFormat="1" ht="12.75" x14ac:dyDescent="0.2"/>
    <row r="56" s="362" customFormat="1" ht="12.75" x14ac:dyDescent="0.2"/>
    <row r="57" s="362" customFormat="1" ht="12.75" x14ac:dyDescent="0.2"/>
    <row r="58" s="362" customFormat="1" ht="12.75" x14ac:dyDescent="0.2"/>
    <row r="59" s="362" customFormat="1" ht="12.75" x14ac:dyDescent="0.2"/>
    <row r="60" s="362" customFormat="1" ht="12.75" x14ac:dyDescent="0.2"/>
    <row r="61" s="362" customFormat="1" ht="12.75" x14ac:dyDescent="0.2"/>
    <row r="62" s="362" customFormat="1" ht="12.75" x14ac:dyDescent="0.2"/>
    <row r="63" s="362" customFormat="1" ht="12.75" x14ac:dyDescent="0.2"/>
    <row r="64" s="362" customFormat="1" ht="12.75" x14ac:dyDescent="0.2"/>
    <row r="65" s="362" customFormat="1" ht="12.75" x14ac:dyDescent="0.2"/>
  </sheetData>
  <sheetProtection algorithmName="SHA-512" hashValue="5LsXj1gYdzqx44mrttgQgjJlWrb3hKnimhetONfXKZQUvz7r6KzDVY/ymO8p5MQOKRzGcpclpGcqSx09kxXStA==" saltValue="TH2hQRy0dW7d3LrmHsFa+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zoomScale="70" zoomScaleNormal="70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customWidth="1"/>
    <col min="21" max="16384" width="8.7109375" hidden="1"/>
  </cols>
  <sheetData>
    <row r="1" s="362" customFormat="1" ht="12.75" x14ac:dyDescent="0.2"/>
    <row r="2" s="362" customFormat="1" ht="12.75" x14ac:dyDescent="0.2"/>
    <row r="3" s="362" customFormat="1" ht="12.75" x14ac:dyDescent="0.2"/>
    <row r="4" s="362" customFormat="1" ht="12.75" x14ac:dyDescent="0.2"/>
    <row r="5" s="362" customFormat="1" ht="12.75" x14ac:dyDescent="0.2"/>
    <row r="6" s="362" customFormat="1" ht="12.75" x14ac:dyDescent="0.2"/>
    <row r="7" s="362" customFormat="1" ht="12.75" x14ac:dyDescent="0.2"/>
    <row r="8" s="362" customFormat="1" ht="12.75" x14ac:dyDescent="0.2"/>
    <row r="9" s="362" customFormat="1" ht="12.75" x14ac:dyDescent="0.2"/>
    <row r="10" s="362" customFormat="1" ht="12.75" x14ac:dyDescent="0.2"/>
    <row r="11" s="362" customFormat="1" ht="12.75" x14ac:dyDescent="0.2"/>
    <row r="12" s="362" customFormat="1" ht="12.75" x14ac:dyDescent="0.2"/>
    <row r="13" s="362" customFormat="1" ht="12.75" x14ac:dyDescent="0.2"/>
    <row r="14" s="362" customFormat="1" ht="12.75" x14ac:dyDescent="0.2"/>
    <row r="15" s="362" customFormat="1" ht="12.75" x14ac:dyDescent="0.2"/>
    <row r="16" s="362" customFormat="1" ht="12.75" x14ac:dyDescent="0.2"/>
    <row r="17" s="362" customFormat="1" ht="12.75" x14ac:dyDescent="0.2"/>
    <row r="18" s="362" customFormat="1" ht="12.75" x14ac:dyDescent="0.2"/>
    <row r="19" s="362" customFormat="1" ht="12.75" x14ac:dyDescent="0.2"/>
    <row r="20" s="362" customFormat="1" ht="12.75" x14ac:dyDescent="0.2"/>
    <row r="21" s="362" customFormat="1" ht="12.75" x14ac:dyDescent="0.2"/>
    <row r="22" s="362" customFormat="1" ht="12.75" x14ac:dyDescent="0.2"/>
    <row r="23" s="362" customFormat="1" ht="12.75" x14ac:dyDescent="0.2"/>
    <row r="24" s="362" customFormat="1" ht="12.75" x14ac:dyDescent="0.2"/>
    <row r="25" s="362" customFormat="1" ht="12.75" x14ac:dyDescent="0.2"/>
    <row r="26" s="362" customFormat="1" ht="12.75" x14ac:dyDescent="0.2"/>
    <row r="27" s="362" customFormat="1" ht="12.75" x14ac:dyDescent="0.2"/>
    <row r="28" s="362" customFormat="1" ht="12.75" x14ac:dyDescent="0.2"/>
    <row r="29" s="362" customFormat="1" ht="12.75" x14ac:dyDescent="0.2"/>
    <row r="30" s="362" customFormat="1" ht="12.75" x14ac:dyDescent="0.2"/>
    <row r="31" s="362" customFormat="1" ht="12.75" x14ac:dyDescent="0.2"/>
    <row r="32" s="362" customFormat="1" ht="12.75" x14ac:dyDescent="0.2"/>
    <row r="33" s="362" customFormat="1" ht="12.75" x14ac:dyDescent="0.2"/>
    <row r="34" s="362" customFormat="1" ht="12.75" x14ac:dyDescent="0.2"/>
    <row r="35" s="362" customFormat="1" ht="12.75" x14ac:dyDescent="0.2"/>
    <row r="36" s="362" customFormat="1" ht="12.75" x14ac:dyDescent="0.2"/>
    <row r="37" s="362" customFormat="1" ht="12.75" x14ac:dyDescent="0.2"/>
    <row r="38" s="362" customFormat="1" ht="12.75" x14ac:dyDescent="0.2"/>
    <row r="39" s="362" customFormat="1" ht="12.75" x14ac:dyDescent="0.2"/>
    <row r="40" s="362" customFormat="1" ht="12.75" x14ac:dyDescent="0.2"/>
    <row r="41" s="362" customFormat="1" ht="12.75" x14ac:dyDescent="0.2"/>
    <row r="42" s="362" customFormat="1" ht="12.75" x14ac:dyDescent="0.2"/>
    <row r="43" s="362" customFormat="1" ht="12.75" x14ac:dyDescent="0.2"/>
    <row r="44" s="362" customFormat="1" ht="12.75" x14ac:dyDescent="0.2"/>
    <row r="45" s="362" customFormat="1" ht="12.75" x14ac:dyDescent="0.2"/>
    <row r="46" s="362" customFormat="1" ht="12.75" x14ac:dyDescent="0.2"/>
    <row r="47" s="362" customFormat="1" ht="12.75" x14ac:dyDescent="0.2"/>
    <row r="48" s="362" customFormat="1" ht="12.75" x14ac:dyDescent="0.2"/>
    <row r="49" s="362" customFormat="1" ht="12.75" x14ac:dyDescent="0.2"/>
    <row r="50" s="362" customFormat="1" ht="12.75" x14ac:dyDescent="0.2"/>
    <row r="51" s="362" customFormat="1" ht="12.75" x14ac:dyDescent="0.2"/>
    <row r="52" s="362" customFormat="1" ht="12.75" x14ac:dyDescent="0.2"/>
    <row r="53" s="362" customFormat="1" ht="12.75" x14ac:dyDescent="0.2"/>
    <row r="54" s="362" customFormat="1" ht="12.75" x14ac:dyDescent="0.2"/>
    <row r="55" s="362" customFormat="1" ht="12.75" x14ac:dyDescent="0.2"/>
    <row r="56" s="362" customFormat="1" ht="12.75" x14ac:dyDescent="0.2"/>
    <row r="57" s="362" customFormat="1" ht="12.75" x14ac:dyDescent="0.2"/>
    <row r="58" s="362" customFormat="1" ht="12.75" x14ac:dyDescent="0.2"/>
    <row r="59" s="362" customFormat="1" ht="12.75" x14ac:dyDescent="0.2"/>
    <row r="60" s="362" customFormat="1" ht="12.75" x14ac:dyDescent="0.2"/>
    <row r="61" s="362" customFormat="1" ht="12.75" x14ac:dyDescent="0.2"/>
    <row r="62" s="362" customFormat="1" ht="12.75" x14ac:dyDescent="0.2"/>
    <row r="63" s="362" customFormat="1" ht="12.75" x14ac:dyDescent="0.2"/>
    <row r="64" s="362" customFormat="1" ht="12.75" x14ac:dyDescent="0.2"/>
    <row r="65" s="362" customFormat="1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12.75" x14ac:dyDescent="0.2"/>
  </sheetData>
  <sheetProtection algorithmName="SHA-512" hashValue="JcmkJHjHgTeeKprlP9O4VRDANlEbgReRGfN0E8/LP7YKqbLCbtYZnC3oWoTHlLzkoR0NC+uySy7jzNDhrvkiiw==" saltValue="HZmQErvwHEMjGlFDVL+Sn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zoomScale="55" zoomScaleNormal="55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hidden="1" customWidth="1"/>
    <col min="21" max="16384" width="8.7109375" hidden="1"/>
  </cols>
  <sheetData>
    <row r="1" s="362" customFormat="1" ht="12.75" x14ac:dyDescent="0.2"/>
    <row r="2" s="362" customFormat="1" ht="12.75" x14ac:dyDescent="0.2"/>
    <row r="3" s="362" customFormat="1" ht="12.75" x14ac:dyDescent="0.2"/>
    <row r="4" s="362" customFormat="1" ht="12.75" x14ac:dyDescent="0.2"/>
    <row r="5" s="362" customFormat="1" ht="12.75" x14ac:dyDescent="0.2"/>
    <row r="6" s="362" customFormat="1" ht="12.75" x14ac:dyDescent="0.2"/>
    <row r="7" s="362" customFormat="1" ht="12.75" x14ac:dyDescent="0.2"/>
    <row r="8" s="362" customFormat="1" ht="12.75" x14ac:dyDescent="0.2"/>
    <row r="9" s="362" customFormat="1" ht="12.75" x14ac:dyDescent="0.2"/>
    <row r="10" s="362" customFormat="1" ht="12.75" x14ac:dyDescent="0.2"/>
    <row r="11" s="362" customFormat="1" ht="12.75" x14ac:dyDescent="0.2"/>
    <row r="12" s="362" customFormat="1" ht="12.75" x14ac:dyDescent="0.2"/>
    <row r="13" s="362" customFormat="1" ht="12.75" x14ac:dyDescent="0.2"/>
    <row r="14" s="362" customFormat="1" ht="12.75" x14ac:dyDescent="0.2"/>
    <row r="15" s="362" customFormat="1" ht="12.75" x14ac:dyDescent="0.2"/>
    <row r="16" s="362" customFormat="1" ht="12.75" x14ac:dyDescent="0.2"/>
    <row r="17" s="362" customFormat="1" ht="12.75" x14ac:dyDescent="0.2"/>
    <row r="18" s="362" customFormat="1" ht="12.75" x14ac:dyDescent="0.2"/>
    <row r="19" s="362" customFormat="1" ht="12.75" x14ac:dyDescent="0.2"/>
    <row r="20" s="362" customFormat="1" ht="12.75" x14ac:dyDescent="0.2"/>
    <row r="21" s="362" customFormat="1" ht="12.75" x14ac:dyDescent="0.2"/>
    <row r="22" s="362" customFormat="1" ht="12.75" x14ac:dyDescent="0.2"/>
    <row r="23" s="362" customFormat="1" ht="12.75" x14ac:dyDescent="0.2"/>
    <row r="24" s="362" customFormat="1" ht="12.75" x14ac:dyDescent="0.2"/>
    <row r="25" s="362" customFormat="1" ht="12.75" x14ac:dyDescent="0.2"/>
    <row r="26" s="362" customFormat="1" ht="12.75" x14ac:dyDescent="0.2"/>
    <row r="27" s="362" customFormat="1" ht="12.75" x14ac:dyDescent="0.2"/>
    <row r="28" s="362" customFormat="1" ht="12.75" x14ac:dyDescent="0.2"/>
    <row r="29" s="362" customFormat="1" ht="12.75" x14ac:dyDescent="0.2"/>
    <row r="30" s="362" customFormat="1" ht="12.75" x14ac:dyDescent="0.2"/>
    <row r="31" s="362" customFormat="1" ht="12.75" x14ac:dyDescent="0.2"/>
    <row r="32" s="362" customFormat="1" ht="12.75" x14ac:dyDescent="0.2"/>
    <row r="33" s="362" customFormat="1" ht="12.75" x14ac:dyDescent="0.2"/>
    <row r="34" s="362" customFormat="1" ht="12.75" x14ac:dyDescent="0.2"/>
    <row r="35" s="362" customFormat="1" ht="12.75" x14ac:dyDescent="0.2"/>
    <row r="36" s="362" customFormat="1" ht="12.75" x14ac:dyDescent="0.2"/>
    <row r="37" s="362" customFormat="1" ht="12.75" x14ac:dyDescent="0.2"/>
    <row r="38" s="362" customFormat="1" ht="12.75" x14ac:dyDescent="0.2"/>
    <row r="39" s="362" customFormat="1" ht="12.75" x14ac:dyDescent="0.2"/>
    <row r="40" s="362" customFormat="1" ht="12.75" x14ac:dyDescent="0.2"/>
    <row r="41" s="362" customFormat="1" ht="12.75" x14ac:dyDescent="0.2"/>
    <row r="42" s="362" customFormat="1" ht="12.75" x14ac:dyDescent="0.2"/>
    <row r="43" s="362" customFormat="1" ht="12.75" x14ac:dyDescent="0.2"/>
    <row r="44" s="362" customFormat="1" ht="12.75" x14ac:dyDescent="0.2"/>
    <row r="45" s="362" customFormat="1" ht="12.75" x14ac:dyDescent="0.2"/>
    <row r="46" s="362" customFormat="1" ht="12.75" x14ac:dyDescent="0.2"/>
    <row r="47" s="362" customFormat="1" ht="12.75" x14ac:dyDescent="0.2"/>
    <row r="48" s="362" customFormat="1" ht="12.75" x14ac:dyDescent="0.2"/>
    <row r="49" s="362" customFormat="1" ht="12.75" x14ac:dyDescent="0.2"/>
    <row r="50" s="362" customFormat="1" ht="12.75" x14ac:dyDescent="0.2"/>
    <row r="51" s="362" customFormat="1" ht="12.75" x14ac:dyDescent="0.2"/>
    <row r="52" s="362" customFormat="1" ht="12.75" x14ac:dyDescent="0.2"/>
    <row r="53" s="362" customFormat="1" ht="12.75" x14ac:dyDescent="0.2"/>
    <row r="54" s="362" customFormat="1" ht="12.75" x14ac:dyDescent="0.2"/>
    <row r="55" s="362" customFormat="1" ht="12.75" x14ac:dyDescent="0.2"/>
    <row r="56" s="362" customFormat="1" ht="12.75" x14ac:dyDescent="0.2"/>
    <row r="57" s="362" customFormat="1" ht="12.75" x14ac:dyDescent="0.2"/>
    <row r="58" s="362" customFormat="1" ht="12.75" x14ac:dyDescent="0.2"/>
    <row r="59" s="362" customFormat="1" ht="12.75" x14ac:dyDescent="0.2"/>
    <row r="60" s="362" customFormat="1" ht="12.75" x14ac:dyDescent="0.2"/>
    <row r="61" s="362" customFormat="1" ht="12.75" x14ac:dyDescent="0.2"/>
    <row r="62" s="362" customFormat="1" ht="12.75" x14ac:dyDescent="0.2"/>
    <row r="63" s="362" customFormat="1" ht="12.75" x14ac:dyDescent="0.2"/>
    <row r="64" s="362" customFormat="1" ht="12.75" x14ac:dyDescent="0.2"/>
    <row r="65" s="362" customFormat="1" ht="12.75" x14ac:dyDescent="0.2"/>
    <row r="66" ht="13.15" customHeight="1" x14ac:dyDescent="0.2"/>
    <row r="67" ht="13.15" customHeight="1" x14ac:dyDescent="0.2"/>
    <row r="68" ht="13.15" customHeight="1" x14ac:dyDescent="0.2"/>
    <row r="69" ht="13.15" customHeight="1" x14ac:dyDescent="0.2"/>
    <row r="70" ht="13.15" customHeight="1" x14ac:dyDescent="0.2"/>
    <row r="71" ht="13.15" customHeight="1" x14ac:dyDescent="0.2"/>
    <row r="72" ht="13.15" customHeight="1" x14ac:dyDescent="0.2"/>
    <row r="73" ht="13.15" customHeight="1" x14ac:dyDescent="0.2"/>
    <row r="74" ht="13.15" customHeight="1" x14ac:dyDescent="0.2"/>
    <row r="75" ht="13.15" customHeight="1" x14ac:dyDescent="0.2"/>
    <row r="76" ht="13.15" customHeight="1" x14ac:dyDescent="0.2"/>
    <row r="77" ht="13.15" customHeight="1" x14ac:dyDescent="0.2"/>
    <row r="78" ht="13.15" customHeight="1" x14ac:dyDescent="0.2"/>
    <row r="79" ht="13.15" customHeight="1" x14ac:dyDescent="0.2"/>
    <row r="80" ht="13.15" customHeight="1" x14ac:dyDescent="0.2"/>
    <row r="81" ht="13.15" customHeight="1" x14ac:dyDescent="0.2"/>
    <row r="82" ht="13.15" customHeight="1" x14ac:dyDescent="0.2"/>
    <row r="83" ht="13.15" customHeight="1" x14ac:dyDescent="0.2"/>
    <row r="84" ht="13.15" customHeight="1" x14ac:dyDescent="0.2"/>
    <row r="85" ht="13.15" customHeight="1" x14ac:dyDescent="0.2"/>
    <row r="86" ht="13.15" customHeight="1" x14ac:dyDescent="0.2"/>
    <row r="87" ht="13.15" customHeight="1" x14ac:dyDescent="0.2"/>
    <row r="88" ht="13.15" customHeight="1" x14ac:dyDescent="0.2"/>
    <row r="89" ht="13.15" customHeight="1" x14ac:dyDescent="0.2"/>
    <row r="90" ht="13.15" customHeight="1" x14ac:dyDescent="0.2"/>
    <row r="91" ht="13.15" customHeight="1" x14ac:dyDescent="0.2"/>
    <row r="92" ht="13.15" customHeight="1" x14ac:dyDescent="0.2"/>
    <row r="93" ht="13.15" customHeight="1" x14ac:dyDescent="0.2"/>
    <row r="94" ht="13.15" customHeight="1" x14ac:dyDescent="0.2"/>
    <row r="95" ht="13.15" customHeight="1" x14ac:dyDescent="0.2"/>
    <row r="96" ht="13.15" customHeight="1" x14ac:dyDescent="0.2"/>
    <row r="97" ht="13.15" customHeight="1" x14ac:dyDescent="0.2"/>
    <row r="98" ht="13.15" customHeight="1" x14ac:dyDescent="0.2"/>
    <row r="99" ht="13.15" customHeight="1" x14ac:dyDescent="0.2"/>
    <row r="100" ht="13.15" customHeight="1" x14ac:dyDescent="0.2"/>
    <row r="101" ht="13.15" customHeight="1" x14ac:dyDescent="0.2"/>
  </sheetData>
  <sheetProtection algorithmName="SHA-512" hashValue="R8r/lJPaZ9JR/OaL3q93d8Yu2RG75/zH3vb7eu1RQmtwP0BUgY1kYd7tIqNg2bAczetAFCaN16m2sGKnl7ygjA==" saltValue="Y2CO/rmWmFUqdJRoe6szU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="85" zoomScaleNormal="85" workbookViewId="0">
      <selection activeCell="C8" sqref="C8"/>
    </sheetView>
  </sheetViews>
  <sheetFormatPr defaultColWidth="0" defaultRowHeight="12.75" zeroHeight="1" x14ac:dyDescent="0.2"/>
  <cols>
    <col min="1" max="1" width="11.28515625" style="362" customWidth="1"/>
    <col min="2" max="2" width="46.7109375" style="362" bestFit="1" customWidth="1"/>
    <col min="3" max="3" width="9.140625" style="362" customWidth="1"/>
    <col min="4" max="4" width="11.42578125" style="362" customWidth="1"/>
    <col min="5" max="5" width="9.140625" style="362" customWidth="1"/>
    <col min="6" max="6" width="11.42578125" style="362" customWidth="1"/>
    <col min="7" max="7" width="15.28515625" style="362" customWidth="1"/>
    <col min="8" max="9" width="9.140625" style="362" customWidth="1"/>
    <col min="10" max="10" width="11.7109375" style="362" customWidth="1"/>
    <col min="11" max="16384" width="12.42578125" style="362" hidden="1"/>
  </cols>
  <sheetData>
    <row r="1" spans="1:7" ht="25.5" x14ac:dyDescent="0.3">
      <c r="A1" s="668" t="str">
        <f>texty!A193</f>
        <v>Späť na úvodnú stránku</v>
      </c>
      <c r="B1" s="668"/>
      <c r="F1" s="367" t="str">
        <f>texty!$A$21</f>
        <v>partnerská zľava:</v>
      </c>
    </row>
    <row r="2" spans="1:7" x14ac:dyDescent="0.2">
      <c r="F2" s="374">
        <f>profil!C15</f>
        <v>0</v>
      </c>
    </row>
    <row r="3" spans="1:7" ht="41.25" customHeight="1" x14ac:dyDescent="0.2">
      <c r="A3" s="363" t="str">
        <f>texty!A190</f>
        <v>Ďalšie príslušenstvo</v>
      </c>
      <c r="C3" s="370" t="str">
        <f>texty!A33</f>
        <v>zadajte počet:</v>
      </c>
      <c r="D3" s="367" t="str">
        <f>texty!$A$18</f>
        <v>cena/ks</v>
      </c>
      <c r="E3" s="367" t="str">
        <f>texty!$A$19</f>
        <v>cena celkom</v>
      </c>
    </row>
    <row r="4" spans="1:7" x14ac:dyDescent="0.2">
      <c r="A4" s="362">
        <v>129677</v>
      </c>
      <c r="B4" s="362" t="str">
        <f>VLOOKUP(A4,cennik!A:C,2,0)</f>
        <v>SEVROLL 20173 montážny prípravok pre lamino 10mm malý</v>
      </c>
      <c r="C4" s="373"/>
      <c r="D4" s="362">
        <f>+VLOOKUP(A4,cennik!$A:$G,3,FALSE)</f>
        <v>5.0214600000000003</v>
      </c>
      <c r="E4" s="368">
        <f>D4*C4</f>
        <v>0</v>
      </c>
      <c r="F4" s="368">
        <f>+E4</f>
        <v>0</v>
      </c>
    </row>
    <row r="5" spans="1:7" x14ac:dyDescent="0.2">
      <c r="A5" s="362">
        <v>128842</v>
      </c>
      <c r="B5" s="362" t="str">
        <f>VLOOKUP(A5,cennik!A:C,2,0)</f>
        <v>SEVROLL 20144 vrták stupňovitý 6,5/9,5mm</v>
      </c>
      <c r="C5" s="373"/>
      <c r="D5" s="362">
        <f>+VLOOKUP(A5,cennik!$A:$G,3,FALSE)</f>
        <v>26.752659999999999</v>
      </c>
      <c r="E5" s="368">
        <f>D5*C5</f>
        <v>0</v>
      </c>
      <c r="F5" s="368">
        <f>+E5</f>
        <v>0</v>
      </c>
    </row>
    <row r="6" spans="1:7" x14ac:dyDescent="0.2">
      <c r="A6" s="192">
        <v>223569</v>
      </c>
      <c r="B6" s="21" t="str">
        <f>+VLOOKUP(A6,cennik!$A:$G,2,FALSE)</f>
        <v>SEVROLL 20223 spona dorazovej kefky</v>
      </c>
      <c r="C6" s="373"/>
      <c r="D6" s="362">
        <f>+VLOOKUP(A6,cennik!$A:$G,3,FALSE)</f>
        <v>7.1209999999999996E-2</v>
      </c>
      <c r="E6" s="368">
        <f>D6*C6</f>
        <v>0</v>
      </c>
      <c r="F6" s="368">
        <f>+E6*(100-$F$2)/100</f>
        <v>0</v>
      </c>
    </row>
    <row r="7" spans="1:7" x14ac:dyDescent="0.2">
      <c r="A7" s="364">
        <v>283281</v>
      </c>
      <c r="B7" s="21" t="e">
        <f>+VLOOKUP(A7,cennik!$A:$G,2,FALSE)</f>
        <v>#N/A</v>
      </c>
      <c r="C7" s="373"/>
      <c r="D7" s="362" t="e">
        <f>+VLOOKUP(A7,cennik!$A:$G,3,FALSE)</f>
        <v>#N/A</v>
      </c>
      <c r="E7" s="368" t="e">
        <f>D7*C7</f>
        <v>#N/A</v>
      </c>
      <c r="F7" s="368" t="e">
        <f>+E7</f>
        <v>#N/A</v>
      </c>
      <c r="G7" s="362" t="str">
        <f>CONCATENATE("(20 ",texty!$A$17,"; ",texty!$A$18,")")</f>
        <v>(20 ks; cena/ks)</v>
      </c>
    </row>
    <row r="8" spans="1:7" x14ac:dyDescent="0.2">
      <c r="A8" s="362">
        <v>283283</v>
      </c>
      <c r="B8" s="21" t="e">
        <f>+VLOOKUP(A8,cennik!$A:$G,2,FALSE)</f>
        <v>#N/A</v>
      </c>
      <c r="C8" s="373"/>
      <c r="D8" s="362" t="e">
        <f>+VLOOKUP(A8,cennik!$A:$G,3,FALSE)</f>
        <v>#N/A</v>
      </c>
      <c r="E8" s="368" t="e">
        <f>D8*C8</f>
        <v>#N/A</v>
      </c>
      <c r="F8" s="368" t="e">
        <f>+E8</f>
        <v>#N/A</v>
      </c>
      <c r="G8" s="362" t="str">
        <f>CONCATENATE("(20 ",texty!$A$17,"; ",texty!$A$18,")")</f>
        <v>(20 ks; cena/ks)</v>
      </c>
    </row>
    <row r="9" spans="1:7" x14ac:dyDescent="0.2">
      <c r="E9" s="368"/>
      <c r="F9" s="368"/>
    </row>
    <row r="10" spans="1:7" x14ac:dyDescent="0.2">
      <c r="E10" s="368"/>
      <c r="F10" s="368"/>
    </row>
    <row r="11" spans="1:7" x14ac:dyDescent="0.2">
      <c r="A11" s="365" t="str">
        <f>texty!A195</f>
        <v>Jednoduché vedenie pre systémy:</v>
      </c>
      <c r="E11" s="368"/>
      <c r="F11" s="368"/>
    </row>
    <row r="12" spans="1:7" x14ac:dyDescent="0.2">
      <c r="A12" s="362" t="s">
        <v>655</v>
      </c>
      <c r="E12" s="368"/>
      <c r="F12" s="368"/>
    </row>
    <row r="13" spans="1:7" x14ac:dyDescent="0.2">
      <c r="A13" s="362">
        <v>89029</v>
      </c>
      <c r="B13" s="362" t="str">
        <f>VLOOKUP(A13,cennik!A:C,2,0)</f>
        <v>SEVROLL 01255 Single horné vedenie 1,7m strieborná</v>
      </c>
      <c r="C13" s="373"/>
      <c r="D13" s="368">
        <f>+VLOOKUP(A13,cennik!$A:$G,3,FALSE)</f>
        <v>14.836729999999999</v>
      </c>
      <c r="E13" s="368">
        <f>D13*C13</f>
        <v>0</v>
      </c>
      <c r="F13" s="368">
        <f>+E13*(100-$F$2)/100</f>
        <v>0</v>
      </c>
      <c r="G13" s="362" t="str">
        <f>cennik!$B$2</f>
        <v>EUR</v>
      </c>
    </row>
    <row r="14" spans="1:7" x14ac:dyDescent="0.2">
      <c r="A14" s="362">
        <v>89032</v>
      </c>
      <c r="B14" s="362" t="str">
        <f>VLOOKUP(A14,cennik!A:C,2,0)</f>
        <v>SEVROLL 01256 Single horné vedenie 2,35m strieborná</v>
      </c>
      <c r="C14" s="373"/>
      <c r="D14" s="368">
        <f>+VLOOKUP(A14,cennik!$A:$G,3,FALSE)</f>
        <v>20.487580000000001</v>
      </c>
      <c r="E14" s="368">
        <f>D14*C14</f>
        <v>0</v>
      </c>
      <c r="F14" s="368">
        <f>+E14*(100-$F$2)/100</f>
        <v>0</v>
      </c>
      <c r="G14" s="362" t="str">
        <f>cennik!$B$2</f>
        <v>EUR</v>
      </c>
    </row>
    <row r="15" spans="1:7" x14ac:dyDescent="0.2">
      <c r="A15" s="362">
        <v>89035</v>
      </c>
      <c r="B15" s="362" t="str">
        <f>VLOOKUP(A15,cennik!A:C,2,0)</f>
        <v>SEVROLL 01257 SINGLE HORNÉ VEDENIE 3 m strieborná</v>
      </c>
      <c r="C15" s="373"/>
      <c r="D15" s="368">
        <f>+VLOOKUP(A15,cennik!$A:$G,3,FALSE)</f>
        <v>26.190049999999999</v>
      </c>
      <c r="E15" s="368">
        <f>D15*C15</f>
        <v>0</v>
      </c>
      <c r="F15" s="368">
        <f>+E15*(100-$F$2)/100</f>
        <v>0</v>
      </c>
      <c r="G15" s="362" t="str">
        <f>cennik!$B$2</f>
        <v>EUR</v>
      </c>
    </row>
    <row r="16" spans="1:7" x14ac:dyDescent="0.2">
      <c r="C16" s="368"/>
      <c r="D16" s="368"/>
      <c r="E16" s="368"/>
      <c r="F16" s="368"/>
    </row>
    <row r="17" spans="1:7" x14ac:dyDescent="0.2">
      <c r="D17" s="368"/>
      <c r="E17" s="368"/>
      <c r="F17" s="368"/>
    </row>
    <row r="18" spans="1:7" x14ac:dyDescent="0.2">
      <c r="A18" s="362">
        <v>213609</v>
      </c>
      <c r="B18" s="362" t="str">
        <f>VLOOKUP(A18,cennik!A:C,2,0)</f>
        <v>SEVROLL Hide M spodné vedenie Hide M 3m stri</v>
      </c>
      <c r="C18" s="373"/>
      <c r="D18" s="368">
        <f>+VLOOKUP(A18,cennik!$A:$G,3,FALSE)</f>
        <v>8.66981</v>
      </c>
      <c r="E18" s="368">
        <f t="shared" ref="E18:E24" si="0">D18*C18</f>
        <v>0</v>
      </c>
      <c r="F18" s="368">
        <f t="shared" ref="F18:F24" si="1">+E18*(100-$F$2)/100</f>
        <v>0</v>
      </c>
      <c r="G18" s="362" t="str">
        <f>cennik!$B$2</f>
        <v>EUR</v>
      </c>
    </row>
    <row r="19" spans="1:7" x14ac:dyDescent="0.2">
      <c r="A19" s="362">
        <v>197753</v>
      </c>
      <c r="B19" s="362" t="str">
        <f>VLOOKUP(A19,cennik!A:C,2,0)</f>
        <v>SEVROLL Hide N spodné vedenie Hide N 3m stri</v>
      </c>
      <c r="C19" s="373"/>
      <c r="D19" s="368">
        <f>+VLOOKUP(A19,cennik!$A:$G,3,FALSE)</f>
        <v>12.61767</v>
      </c>
      <c r="E19" s="368">
        <f t="shared" si="0"/>
        <v>0</v>
      </c>
      <c r="F19" s="368">
        <f t="shared" si="1"/>
        <v>0</v>
      </c>
      <c r="G19" s="362" t="str">
        <f>cennik!$B$2</f>
        <v>EUR</v>
      </c>
    </row>
    <row r="20" spans="1:7" x14ac:dyDescent="0.2">
      <c r="A20" s="362">
        <v>223405</v>
      </c>
      <c r="B20" s="362" t="str">
        <f>VLOOKUP(A20,cennik!A:C,2,0)</f>
        <v>SEVROLL Hide M spodné vedenie 3m oliva</v>
      </c>
      <c r="C20" s="373"/>
      <c r="D20" s="368">
        <f>+VLOOKUP(A20,cennik!$A:$G,3,FALSE)</f>
        <v>10.527620000000001</v>
      </c>
      <c r="E20" s="368">
        <f t="shared" si="0"/>
        <v>0</v>
      </c>
      <c r="F20" s="368">
        <f t="shared" si="1"/>
        <v>0</v>
      </c>
      <c r="G20" s="362" t="str">
        <f>cennik!$B$2</f>
        <v>EUR</v>
      </c>
    </row>
    <row r="21" spans="1:7" x14ac:dyDescent="0.2">
      <c r="A21" s="362">
        <v>197755</v>
      </c>
      <c r="B21" s="362" t="str">
        <f>VLOOKUP(A21,cennik!A:C,2,0)</f>
        <v>SEVROLL 02578 Hide N spodné vedenie 3m oliva</v>
      </c>
      <c r="C21" s="373"/>
      <c r="D21" s="368">
        <f>+VLOOKUP(A21,cennik!$A:$G,3,FALSE)</f>
        <v>14.785119999999999</v>
      </c>
      <c r="E21" s="368">
        <f t="shared" si="0"/>
        <v>0</v>
      </c>
      <c r="F21" s="368">
        <f t="shared" si="1"/>
        <v>0</v>
      </c>
      <c r="G21" s="362" t="str">
        <f>cennik!$B$2</f>
        <v>EUR</v>
      </c>
    </row>
    <row r="22" spans="1:7" x14ac:dyDescent="0.2">
      <c r="A22" s="362">
        <v>279078</v>
      </c>
      <c r="B22" s="362" t="str">
        <f>VLOOKUP(A22,cennik!A:C,2,0)</f>
        <v>SEVROLL Hide N spodné vedenie 6m oliva</v>
      </c>
      <c r="C22" s="373"/>
      <c r="D22" s="368">
        <f>+VLOOKUP(A22,cennik!$A:$G,3,FALSE)</f>
        <v>29.570239999999998</v>
      </c>
      <c r="E22" s="368">
        <f t="shared" si="0"/>
        <v>0</v>
      </c>
      <c r="F22" s="368">
        <f t="shared" si="1"/>
        <v>0</v>
      </c>
      <c r="G22" s="362" t="str">
        <f>cennik!$B$2</f>
        <v>EUR</v>
      </c>
    </row>
    <row r="23" spans="1:7" x14ac:dyDescent="0.2">
      <c r="A23" s="362">
        <v>212613</v>
      </c>
      <c r="B23" s="362" t="str">
        <f>VLOOKUP(A23,cennik!A:C,2,0)</f>
        <v>SEVROLL 20208 koncovka k lište Hide N strieborná</v>
      </c>
      <c r="C23" s="373"/>
      <c r="D23" s="368">
        <f>+VLOOKUP(A23,cennik!$A:$G,3,FALSE)</f>
        <v>5.3412199999999999</v>
      </c>
      <c r="E23" s="368">
        <f t="shared" si="0"/>
        <v>0</v>
      </c>
      <c r="F23" s="368">
        <f t="shared" si="1"/>
        <v>0</v>
      </c>
      <c r="G23" s="362" t="str">
        <f>cennik!$B$2</f>
        <v>EUR</v>
      </c>
    </row>
    <row r="24" spans="1:7" x14ac:dyDescent="0.2">
      <c r="A24" s="362">
        <v>212616</v>
      </c>
      <c r="B24" s="362" t="str">
        <f>VLOOKUP(A24,cennik!A:C,2,0)</f>
        <v>SEVROLL 20208 brzda k lište Hide N a M</v>
      </c>
      <c r="C24" s="373"/>
      <c r="D24" s="368">
        <f>+VLOOKUP(A24,cennik!$A:$G,3,FALSE)</f>
        <v>2.6835100000000001</v>
      </c>
      <c r="E24" s="368">
        <f t="shared" si="0"/>
        <v>0</v>
      </c>
      <c r="F24" s="368">
        <f t="shared" si="1"/>
        <v>0</v>
      </c>
      <c r="G24" s="362" t="str">
        <f>cennik!$B$2</f>
        <v>EUR</v>
      </c>
    </row>
    <row r="25" spans="1:7" x14ac:dyDescent="0.2">
      <c r="D25" s="368"/>
      <c r="E25" s="368"/>
      <c r="F25" s="368"/>
    </row>
    <row r="26" spans="1:7" x14ac:dyDescent="0.2">
      <c r="D26" s="368"/>
      <c r="E26" s="368"/>
      <c r="F26" s="368"/>
    </row>
    <row r="27" spans="1:7" x14ac:dyDescent="0.2">
      <c r="A27" s="362">
        <v>84192</v>
      </c>
      <c r="B27" s="362" t="str">
        <f>VLOOKUP(A27,cennik!A:C,2,0)</f>
        <v>SEVROLL SMART SPODNÉ VEDENIE 1,7M STRIE.</v>
      </c>
      <c r="C27" s="373"/>
      <c r="D27" s="368">
        <f>+VLOOKUP(A27,cennik!$A:$G,3,FALSE)</f>
        <v>3.8704499999999999</v>
      </c>
      <c r="E27" s="368">
        <f>D27*C27</f>
        <v>0</v>
      </c>
      <c r="F27" s="368">
        <f>+E27*(100-$F$2)/100</f>
        <v>0</v>
      </c>
      <c r="G27" s="362" t="str">
        <f>cennik!$B$2</f>
        <v>EUR</v>
      </c>
    </row>
    <row r="28" spans="1:7" x14ac:dyDescent="0.2">
      <c r="A28" s="362">
        <v>84195</v>
      </c>
      <c r="B28" s="362" t="str">
        <f>VLOOKUP(A28,cennik!A:C,2,0)</f>
        <v>SEVROLL SMART SPODNÉ VEDENIE 2,35M STRIE</v>
      </c>
      <c r="C28" s="373"/>
      <c r="D28" s="368">
        <f>+VLOOKUP(A28,cennik!$A:$G,3,FALSE)</f>
        <v>5.3154199999999996</v>
      </c>
      <c r="E28" s="368">
        <f>D28*C28</f>
        <v>0</v>
      </c>
      <c r="F28" s="368">
        <f>+E28*(100-$F$2)/100</f>
        <v>0</v>
      </c>
      <c r="G28" s="362" t="str">
        <f>cennik!$B$2</f>
        <v>EUR</v>
      </c>
    </row>
    <row r="29" spans="1:7" x14ac:dyDescent="0.2">
      <c r="A29" s="362">
        <v>84198</v>
      </c>
      <c r="B29" s="362" t="str">
        <f>VLOOKUP(A29,cennik!A:C,2,0)</f>
        <v>SEVROLL SMART SPODNÉ VEDENIE 3M STRIE.</v>
      </c>
      <c r="C29" s="373"/>
      <c r="D29" s="368">
        <f>+VLOOKUP(A29,cennik!$A:$G,3,FALSE)</f>
        <v>6.7345800000000002</v>
      </c>
      <c r="E29" s="368">
        <f>D29*C29</f>
        <v>0</v>
      </c>
      <c r="F29" s="368">
        <f>+E29*(100-$F$2)/100</f>
        <v>0</v>
      </c>
      <c r="G29" s="362" t="str">
        <f>cennik!$B$2</f>
        <v>EUR</v>
      </c>
    </row>
    <row r="30" spans="1:7" x14ac:dyDescent="0.2">
      <c r="C30" s="24"/>
      <c r="D30" s="368"/>
      <c r="E30" s="368"/>
      <c r="F30" s="368"/>
    </row>
    <row r="31" spans="1:7" x14ac:dyDescent="0.2">
      <c r="C31" s="24"/>
      <c r="D31" s="368"/>
      <c r="E31" s="368"/>
      <c r="F31" s="368"/>
    </row>
    <row r="32" spans="1:7" x14ac:dyDescent="0.2">
      <c r="A32" s="365" t="str">
        <f>texty!A238</f>
        <v> Ozdobné nalepovacie lišty</v>
      </c>
      <c r="C32" s="24"/>
      <c r="D32" s="368"/>
      <c r="E32" s="368"/>
      <c r="F32" s="368"/>
    </row>
    <row r="33" spans="1:7" x14ac:dyDescent="0.2">
      <c r="A33" s="362">
        <v>135157</v>
      </c>
      <c r="B33" s="362" t="str">
        <f>VLOOKUP(A33,cennik!A:C,2,0)</f>
        <v>SEVROLL okrasná lišta S10 3m oliva</v>
      </c>
      <c r="C33" s="373"/>
      <c r="D33" s="368">
        <f>+VLOOKUP(A33,cennik!$A:$G,3,FALSE)</f>
        <v>4.22525</v>
      </c>
      <c r="E33" s="368">
        <f>D33*C33</f>
        <v>0</v>
      </c>
      <c r="F33" s="368">
        <f>+E33*(100-$F$2)/100</f>
        <v>0</v>
      </c>
      <c r="G33" s="362" t="str">
        <f>cennik!$B$2</f>
        <v>EUR</v>
      </c>
    </row>
    <row r="34" spans="1:7" x14ac:dyDescent="0.2">
      <c r="A34" s="362">
        <v>135156</v>
      </c>
      <c r="B34" s="362" t="str">
        <f>VLOOKUP(A34,cennik!A:C,2,0)</f>
        <v>SEVROLL okrasná lišta S10 3m strieborná</v>
      </c>
      <c r="C34" s="373"/>
      <c r="D34" s="368">
        <f>+VLOOKUP(A34,cennik!$A:$G,3,FALSE)</f>
        <v>3.3801899999999998</v>
      </c>
      <c r="E34" s="368">
        <f t="shared" ref="E34:E37" si="2">D34*C34</f>
        <v>0</v>
      </c>
      <c r="F34" s="368">
        <f t="shared" ref="F34:F37" si="3">+E34*(100-$F$2)/100</f>
        <v>0</v>
      </c>
      <c r="G34" s="362" t="str">
        <f>cennik!$B$2</f>
        <v>EUR</v>
      </c>
    </row>
    <row r="35" spans="1:7" x14ac:dyDescent="0.2">
      <c r="C35" s="24"/>
      <c r="D35" s="368"/>
      <c r="E35" s="368"/>
      <c r="F35" s="368"/>
    </row>
    <row r="36" spans="1:7" x14ac:dyDescent="0.2">
      <c r="A36" s="362">
        <v>135154</v>
      </c>
      <c r="B36" s="362" t="str">
        <f>VLOOKUP(A36,cennik!A:C,2,0)</f>
        <v>SEVROLL okrasná lišta S20 3m oliva</v>
      </c>
      <c r="C36" s="373"/>
      <c r="D36" s="368">
        <f>+VLOOKUP(A36,cennik!$A:$G,3,FALSE)</f>
        <v>7.5602799999999997</v>
      </c>
      <c r="E36" s="368">
        <f t="shared" si="2"/>
        <v>0</v>
      </c>
      <c r="F36" s="368">
        <f t="shared" si="3"/>
        <v>0</v>
      </c>
      <c r="G36" s="362" t="str">
        <f>cennik!$B$2</f>
        <v>EUR</v>
      </c>
    </row>
    <row r="37" spans="1:7" x14ac:dyDescent="0.2">
      <c r="A37" s="362">
        <v>134300</v>
      </c>
      <c r="B37" s="362" t="str">
        <f>VLOOKUP(A37,cennik!A:C,2,0)</f>
        <v>SEVROLL okrasná lišta S20 3m strieborná</v>
      </c>
      <c r="C37" s="373"/>
      <c r="D37" s="368">
        <f>+VLOOKUP(A37,cennik!$A:$G,3,FALSE)</f>
        <v>6.1669200000000002</v>
      </c>
      <c r="E37" s="368">
        <f t="shared" si="2"/>
        <v>0</v>
      </c>
      <c r="F37" s="368">
        <f t="shared" si="3"/>
        <v>0</v>
      </c>
      <c r="G37" s="362" t="str">
        <f>cennik!$B$2</f>
        <v>EUR</v>
      </c>
    </row>
    <row r="38" spans="1:7" x14ac:dyDescent="0.2">
      <c r="D38" s="368"/>
      <c r="E38" s="368"/>
      <c r="F38" s="368"/>
    </row>
    <row r="39" spans="1:7" x14ac:dyDescent="0.2">
      <c r="D39" s="368"/>
      <c r="E39" s="368"/>
      <c r="F39" s="368"/>
    </row>
    <row r="40" spans="1:7" x14ac:dyDescent="0.2">
      <c r="D40" s="368"/>
      <c r="E40" s="368"/>
      <c r="F40" s="368"/>
    </row>
    <row r="41" spans="1:7" x14ac:dyDescent="0.2">
      <c r="D41" s="368"/>
      <c r="E41" s="368"/>
      <c r="F41" s="368"/>
    </row>
    <row r="42" spans="1:7" x14ac:dyDescent="0.2">
      <c r="A42" s="365" t="str">
        <f>texty!$A$213</f>
        <v>OCHRANNÉ FÓLIE NA SKLENENÉ VÝPLNE</v>
      </c>
    </row>
    <row r="43" spans="1:7" x14ac:dyDescent="0.2">
      <c r="A43" s="362">
        <v>203857</v>
      </c>
      <c r="B43" s="362" t="e">
        <f>VLOOKUP(A43,cennik!A:C,2,0)</f>
        <v>#N/A</v>
      </c>
      <c r="C43" s="373"/>
      <c r="D43" s="368" t="e">
        <f>+VLOOKUP(A43,cennik!$A:$G,3,FALSE)</f>
        <v>#N/A</v>
      </c>
      <c r="E43" s="368" t="e">
        <f>D43*C43</f>
        <v>#N/A</v>
      </c>
      <c r="F43" s="368" t="e">
        <f>+E43*(100-$F$2)/100</f>
        <v>#N/A</v>
      </c>
      <c r="G43" s="362" t="str">
        <f>cennik!$B$2</f>
        <v>EUR</v>
      </c>
    </row>
    <row r="44" spans="1:7" x14ac:dyDescent="0.2">
      <c r="A44" s="362">
        <v>203859</v>
      </c>
      <c r="B44" s="362" t="e">
        <f>VLOOKUP(A44,cennik!A:C,2,0)</f>
        <v>#N/A</v>
      </c>
      <c r="C44" s="373"/>
      <c r="D44" s="368" t="e">
        <f>+VLOOKUP(A44,cennik!$A:$G,3,FALSE)</f>
        <v>#N/A</v>
      </c>
      <c r="E44" s="368" t="e">
        <f>D44*C44</f>
        <v>#N/A</v>
      </c>
      <c r="F44" s="368" t="e">
        <f>+E44*(100-$F$2)/100</f>
        <v>#N/A</v>
      </c>
      <c r="G44" s="362" t="str">
        <f>cennik!$B$2</f>
        <v>EUR</v>
      </c>
    </row>
    <row r="45" spans="1:7" x14ac:dyDescent="0.2">
      <c r="A45" s="362">
        <v>203860</v>
      </c>
      <c r="B45" s="362" t="e">
        <f>VLOOKUP(A45,cennik!A:C,2,0)</f>
        <v>#N/A</v>
      </c>
      <c r="C45" s="373"/>
      <c r="D45" s="368" t="e">
        <f>+VLOOKUP(A45,cennik!$A:$G,3,FALSE)</f>
        <v>#N/A</v>
      </c>
      <c r="E45" s="368" t="e">
        <f>D45*C45</f>
        <v>#N/A</v>
      </c>
      <c r="F45" s="368" t="e">
        <f>+E45*(100-$F$2)/100</f>
        <v>#N/A</v>
      </c>
      <c r="G45" s="362" t="str">
        <f>cennik!$B$2</f>
        <v>EUR</v>
      </c>
    </row>
    <row r="46" spans="1:7" x14ac:dyDescent="0.2">
      <c r="A46" s="362">
        <v>203861</v>
      </c>
      <c r="B46" s="362" t="e">
        <f>VLOOKUP(A46,cennik!A:C,2,0)</f>
        <v>#N/A</v>
      </c>
      <c r="C46" s="373"/>
      <c r="D46" s="368" t="e">
        <f>+VLOOKUP(A46,cennik!$A:$G,3,FALSE)</f>
        <v>#N/A</v>
      </c>
      <c r="E46" s="368" t="e">
        <f>D46*C46</f>
        <v>#N/A</v>
      </c>
      <c r="F46" s="368" t="e">
        <f>+E46*(100-$F$2)/100</f>
        <v>#N/A</v>
      </c>
      <c r="G46" s="362" t="str">
        <f>cennik!$B$2</f>
        <v>EUR</v>
      </c>
    </row>
    <row r="47" spans="1:7" x14ac:dyDescent="0.2">
      <c r="A47" s="362">
        <v>203862</v>
      </c>
      <c r="B47" s="362" t="e">
        <f>VLOOKUP(A47,cennik!A:C,2,0)</f>
        <v>#N/A</v>
      </c>
      <c r="C47" s="373"/>
      <c r="D47" s="368" t="e">
        <f>+VLOOKUP(A47,cennik!$A:$G,3,FALSE)</f>
        <v>#N/A</v>
      </c>
      <c r="E47" s="368" t="e">
        <f>D47*C47</f>
        <v>#N/A</v>
      </c>
      <c r="F47" s="368" t="e">
        <f>+E47*(100-$F$2)/100</f>
        <v>#N/A</v>
      </c>
      <c r="G47" s="362" t="str">
        <f>cennik!$B$2</f>
        <v>EUR</v>
      </c>
    </row>
    <row r="48" spans="1:7" x14ac:dyDescent="0.2"/>
    <row r="49" spans="1:6" x14ac:dyDescent="0.2"/>
    <row r="58" spans="1:6" ht="13.5" thickBot="1" x14ac:dyDescent="0.25"/>
    <row r="59" spans="1:6" ht="13.5" thickBot="1" x14ac:dyDescent="0.25">
      <c r="C59" s="371" t="str">
        <f>texty!$A$15</f>
        <v>CELKOM  (bez DPH)</v>
      </c>
      <c r="D59" s="369"/>
      <c r="E59" s="369"/>
      <c r="F59" s="372" t="e">
        <f>SUM(F4:F47)</f>
        <v>#N/A</v>
      </c>
    </row>
    <row r="60" spans="1:6" x14ac:dyDescent="0.2"/>
    <row r="61" spans="1:6" x14ac:dyDescent="0.2">
      <c r="A61" s="365" t="str">
        <f>texty!A216</f>
        <v>LAKOVANIE PROFILOV</v>
      </c>
    </row>
    <row r="62" spans="1:6" x14ac:dyDescent="0.2">
      <c r="A62" s="669" t="str">
        <f>texty!A217</f>
        <v>možnosť nalakovať do akéhokoľvek odtieňa RAL</v>
      </c>
      <c r="B62" s="669"/>
    </row>
    <row r="63" spans="1:6" x14ac:dyDescent="0.2">
      <c r="A63" s="669" t="str">
        <f>texty!A218</f>
        <v> voľba lesk / mat (pri objednávke je nutná špecifikácia)</v>
      </c>
      <c r="B63" s="669"/>
    </row>
    <row r="64" spans="1:6" x14ac:dyDescent="0.2">
      <c r="A64" s="669" t="str">
        <f>texty!A219</f>
        <v>obmedzenie na max dĺžku 3,85m</v>
      </c>
      <c r="B64" s="669"/>
    </row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x14ac:dyDescent="0.2"/>
    <row r="73" spans="1:6" x14ac:dyDescent="0.2"/>
    <row r="74" spans="1:6" x14ac:dyDescent="0.2"/>
    <row r="75" spans="1:6" x14ac:dyDescent="0.2"/>
    <row r="76" spans="1:6" ht="15" x14ac:dyDescent="0.25">
      <c r="A76" s="366">
        <v>180245</v>
      </c>
      <c r="B76" s="317" t="e">
        <f>+VLOOKUP(A76,cennik!$A:$G,2,FALSE)</f>
        <v>#N/A</v>
      </c>
      <c r="C76" s="373"/>
      <c r="D76" s="368" t="e">
        <f>+VLOOKUP(A76,cennik!$A:$G,3,FALSE)</f>
        <v>#N/A</v>
      </c>
      <c r="E76" s="317"/>
      <c r="F76" s="368">
        <f>+E76*(100-$F$2)/100</f>
        <v>0</v>
      </c>
    </row>
    <row r="77" spans="1:6" ht="15.75" thickBot="1" x14ac:dyDescent="0.3">
      <c r="A77" s="366"/>
      <c r="B77" s="317"/>
      <c r="C77" s="366"/>
      <c r="D77" s="316"/>
      <c r="E77" s="366"/>
    </row>
    <row r="78" spans="1:6" ht="13.5" thickBot="1" x14ac:dyDescent="0.25">
      <c r="C78" s="371" t="str">
        <f>texty!$A$15</f>
        <v>CELKOM  (bez DPH)</v>
      </c>
      <c r="D78" s="369"/>
      <c r="E78" s="369"/>
      <c r="F78" s="372" t="e">
        <f>F76+F59</f>
        <v>#N/A</v>
      </c>
    </row>
    <row r="79" spans="1:6" x14ac:dyDescent="0.2"/>
    <row r="80" spans="1:6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1r/0PTdSDM3apHPXI3YLCgFEnQWbME3IjZg0dB1VH96ZuVqacPjm1mL5kFHgf3rnUVsd61ujhT5DhoICY2IoFA==" saltValue="bpclMqzf+Lz0uRXkR1LZGg==" spinCount="100000" sheet="1" objects="1" scenario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180245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8.7109375" style="5" customWidth="1"/>
    <col min="2" max="2" width="15.7109375" style="5" customWidth="1"/>
    <col min="3" max="3" width="41" style="5" customWidth="1"/>
    <col min="4" max="4" width="14.140625" style="5" customWidth="1"/>
    <col min="5" max="7" width="14.7109375" style="5" customWidth="1"/>
    <col min="8" max="8" width="4.7109375" style="5" customWidth="1"/>
    <col min="9" max="9" width="24.7109375" style="6" customWidth="1"/>
    <col min="10" max="10" width="12.28515625" style="6" hidden="1" customWidth="1"/>
    <col min="11" max="11" width="19.140625" style="6" hidden="1" customWidth="1"/>
    <col min="12" max="12" width="9.140625" style="5" hidden="1" customWidth="1"/>
    <col min="13" max="13" width="18.42578125" style="5" hidden="1" customWidth="1"/>
    <col min="14" max="14" width="7.42578125" style="5" hidden="1" customWidth="1"/>
    <col min="15" max="15" width="5.7109375" style="5" hidden="1" customWidth="1"/>
    <col min="16" max="16" width="8.7109375" style="5" hidden="1" customWidth="1"/>
    <col min="17" max="17" width="7.140625" style="5" hidden="1" customWidth="1"/>
    <col min="18" max="16384" width="9.140625" style="5" hidden="1"/>
  </cols>
  <sheetData>
    <row r="1" spans="1:22" ht="13.5" customHeight="1" thickBot="1" x14ac:dyDescent="0.25">
      <c r="A1" s="422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">
      <c r="A2" s="523" t="s">
        <v>2651</v>
      </c>
      <c r="B2" s="419" t="str">
        <f>profil!T7</f>
        <v>Zákazník:,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6.25" thickBot="1" x14ac:dyDescent="0.25">
      <c r="A3" s="524"/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421" t="str">
        <f>+System10!D3</f>
        <v>počet dverí:</v>
      </c>
      <c r="E3" s="421" t="str">
        <f>+System10!E3</f>
        <v>farba</v>
      </c>
      <c r="F3" s="420" t="str">
        <f>texty!A38</f>
        <v>typ spodného vedenia</v>
      </c>
      <c r="G3" s="24"/>
      <c r="H3" s="24"/>
      <c r="I3" s="24"/>
      <c r="L3" s="6"/>
    </row>
    <row r="4" spans="1:22" ht="24" customHeight="1" x14ac:dyDescent="0.2">
      <c r="A4" s="423" t="str">
        <f>+System10!$A$4</f>
        <v>VNÚTORNÝ ROZMER SKRINE:</v>
      </c>
      <c r="B4" s="456"/>
      <c r="C4" s="456"/>
      <c r="D4" s="457"/>
      <c r="E4" s="458"/>
      <c r="F4" s="458"/>
      <c r="G4" s="644"/>
      <c r="H4" s="644"/>
      <c r="I4" s="644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">
      <c r="B5" s="640" t="str">
        <f>IF(barva=texty!A129,texty!A3,System10!B5)</f>
        <v>vypíšte týchto 5 políčok !!! Údaje v mm</v>
      </c>
      <c r="C5" s="640"/>
      <c r="D5" s="640"/>
      <c r="E5" s="640"/>
      <c r="F5" s="640"/>
      <c r="G5" s="644"/>
      <c r="H5" s="644"/>
      <c r="I5" s="644"/>
      <c r="K5" s="190"/>
      <c r="L5" s="23" t="str">
        <f>CONCATENATE(L4,"-",E4)</f>
        <v>1700-</v>
      </c>
      <c r="M5" s="21"/>
      <c r="N5" s="23" t="str">
        <f>CONCATENATE(N4,"-",E4,", ",F4)</f>
        <v xml:space="preserve">1700-, </v>
      </c>
    </row>
    <row r="6" spans="1:22" ht="18" customHeight="1" x14ac:dyDescent="0.2">
      <c r="A6" s="423"/>
      <c r="B6" s="431" t="str">
        <f>IF(D4=4,texty!A227,"")</f>
        <v/>
      </c>
      <c r="C6" s="21"/>
      <c r="D6" s="443">
        <v>3</v>
      </c>
      <c r="E6" s="17"/>
      <c r="F6" s="17"/>
      <c r="G6" s="644"/>
      <c r="H6" s="644"/>
      <c r="I6" s="644"/>
      <c r="K6" s="190"/>
      <c r="L6" s="6"/>
      <c r="R6" s="636" t="s">
        <v>557</v>
      </c>
      <c r="S6" s="636" t="s">
        <v>558</v>
      </c>
      <c r="T6" s="636" t="s">
        <v>559</v>
      </c>
      <c r="U6" s="636" t="s">
        <v>560</v>
      </c>
    </row>
    <row r="7" spans="1:22" ht="12.75" customHeight="1" x14ac:dyDescent="0.2">
      <c r="A7" s="576" t="str">
        <f>texty!A71</f>
        <v>krídlo dverí:</v>
      </c>
      <c r="B7" s="57">
        <f>+B4-40</f>
        <v>-40</v>
      </c>
      <c r="C7" s="59" t="e">
        <f>+((C4-3+(36*(D4-1)))/D4+IF(AND(D4=4,D6=2),M1,0))</f>
        <v>#DIV/0!</v>
      </c>
      <c r="D7" s="17"/>
      <c r="E7" s="17"/>
      <c r="F7" s="17"/>
      <c r="G7" s="434" t="str">
        <f>texty!$A$39</f>
        <v>V prípade použitia skla ako výplne</v>
      </c>
      <c r="H7" s="24"/>
      <c r="I7" s="24"/>
      <c r="L7" s="6"/>
      <c r="O7" s="17" t="e">
        <f>IF(L11="jiné",M12,L11)</f>
        <v>#DIV/0!</v>
      </c>
      <c r="P7" s="21">
        <f>+E4</f>
        <v>0</v>
      </c>
      <c r="R7" s="636"/>
      <c r="S7" s="636"/>
      <c r="T7" s="636"/>
      <c r="U7" s="636"/>
    </row>
    <row r="8" spans="1:22" ht="12.75" customHeight="1" x14ac:dyDescent="0.2">
      <c r="A8" s="576" t="str">
        <f>texty!A72</f>
        <v>rozmer výplne 10 mm:</v>
      </c>
      <c r="B8" s="57">
        <f>+B7-64</f>
        <v>-104</v>
      </c>
      <c r="C8" s="59" t="e">
        <f>+C7-20</f>
        <v>#DIV/0!</v>
      </c>
      <c r="D8" s="17"/>
      <c r="E8" s="17"/>
      <c r="F8" s="17"/>
      <c r="G8" s="434" t="str">
        <f>texty!$A$40</f>
        <v>je treba použiť bezpečnostné sklo</v>
      </c>
      <c r="H8" s="24"/>
      <c r="I8" s="24"/>
      <c r="L8" s="6" t="s">
        <v>60</v>
      </c>
      <c r="M8" s="5" t="s">
        <v>61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">
      <c r="A9" s="576" t="str">
        <f>texty!A73</f>
        <v>rozmer zrkadla / skla</v>
      </c>
      <c r="B9" s="57">
        <f>+B8</f>
        <v>-104</v>
      </c>
      <c r="C9" s="59" t="e">
        <f>+C8-4</f>
        <v>#DIV/0!</v>
      </c>
      <c r="D9" s="17"/>
      <c r="E9" s="17"/>
      <c r="F9" s="17"/>
      <c r="G9" s="434" t="str">
        <f>texty!$A$41</f>
        <v>alebo sklo zabezpečiť ochrannou fóliou</v>
      </c>
      <c r="H9" s="24"/>
      <c r="I9" s="24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562</v>
      </c>
    </row>
    <row r="10" spans="1:22" ht="12.75" customHeight="1" x14ac:dyDescent="0.2">
      <c r="A10" s="576" t="str">
        <f>texty!A74</f>
        <v>dĺžka vodiacej a krycej lišty krídla</v>
      </c>
      <c r="B10" s="57"/>
      <c r="C10" s="60" t="e">
        <f>+C7-37</f>
        <v>#DIV/0!</v>
      </c>
      <c r="D10" s="17"/>
      <c r="E10" s="17"/>
      <c r="F10" s="17"/>
      <c r="G10" s="435"/>
      <c r="H10" s="24"/>
      <c r="I10" s="24"/>
      <c r="L10" s="5" t="s">
        <v>59</v>
      </c>
      <c r="O10" s="17" t="e">
        <f>IF(L11="jiné",M13,"")</f>
        <v>#DIV/0!</v>
      </c>
      <c r="P10" s="21">
        <f>+E4</f>
        <v>0</v>
      </c>
      <c r="Q10" s="5">
        <v>3</v>
      </c>
      <c r="R10" s="159" t="e">
        <f t="shared" si="0"/>
        <v>#DIV/0!</v>
      </c>
    </row>
    <row r="11" spans="1:22" ht="12.75" customHeight="1" x14ac:dyDescent="0.2">
      <c r="A11" s="576" t="str">
        <f>texty!A75</f>
        <v>Horný/spodný profil</v>
      </c>
      <c r="B11" s="57"/>
      <c r="C11" s="189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I11" s="24"/>
      <c r="L11" s="36" t="e">
        <f>IF((L9+M9)&lt;1700,1700,IF((L9+M9)&lt;2350,2350,IF((L9+M9)&lt;3000,3000,"jiné")))</f>
        <v>#DIV/0!</v>
      </c>
      <c r="N11" s="5" t="s">
        <v>62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">
      <c r="A12" s="576" t="str">
        <f>texty!A76</f>
        <v>úchytková lišta</v>
      </c>
      <c r="B12" s="488">
        <f>+B7</f>
        <v>-40</v>
      </c>
      <c r="C12" s="489"/>
      <c r="D12" s="17"/>
      <c r="E12" s="17"/>
      <c r="F12" s="17"/>
      <c r="G12" s="24"/>
      <c r="H12" s="24"/>
      <c r="I12" s="24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">
      <c r="A13" s="576" t="str">
        <f>texty!A77</f>
        <v>dĺžka tesnenia na sklo na jednom krídle</v>
      </c>
      <c r="B13" s="64"/>
      <c r="C13" s="491" t="e">
        <f>ROUND(B8*2+C9*2,0)</f>
        <v>#DIV/0!</v>
      </c>
      <c r="D13" s="17"/>
      <c r="E13" s="17"/>
      <c r="F13" s="17"/>
      <c r="G13" s="24"/>
      <c r="H13" s="24"/>
      <c r="I13" s="24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4" x14ac:dyDescent="0.2">
      <c r="A14" s="635" t="str">
        <f>IF(SUM(D47:D48)&gt;0,texty!A245,"")</f>
        <v/>
      </c>
      <c r="B14" s="635"/>
      <c r="C14" s="490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I14" s="24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">
      <c r="A15" s="635"/>
      <c r="B15" s="635"/>
      <c r="C15" s="490"/>
      <c r="D15" s="17"/>
      <c r="E15" s="17"/>
      <c r="F15" s="17"/>
      <c r="G15" s="24"/>
      <c r="H15" s="24"/>
      <c r="I15" s="24"/>
      <c r="L15" s="6"/>
      <c r="R15" s="159"/>
    </row>
    <row r="16" spans="1:22" x14ac:dyDescent="0.2">
      <c r="A16" s="422"/>
      <c r="B16" s="17"/>
      <c r="C16" s="490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">
      <c r="B17" s="17"/>
      <c r="C17" s="433"/>
      <c r="D17" s="17"/>
      <c r="E17" s="17"/>
      <c r="F17" s="17"/>
      <c r="G17" s="24"/>
      <c r="H17" s="24"/>
      <c r="I17" s="24"/>
      <c r="L17" s="6"/>
      <c r="M17" s="5" t="e">
        <f>M14-C4</f>
        <v>#DIV/0!</v>
      </c>
      <c r="Q17" s="5" t="s">
        <v>561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">
      <c r="A18" s="422"/>
      <c r="B18" s="17"/>
      <c r="C18" s="433"/>
      <c r="D18" s="17"/>
      <c r="E18" s="17"/>
      <c r="F18" s="17"/>
      <c r="G18" s="24"/>
      <c r="H18" s="24"/>
      <c r="I18" s="24"/>
      <c r="L18" s="6"/>
    </row>
    <row r="19" spans="1:22" ht="14.25" customHeight="1" x14ac:dyDescent="0.2">
      <c r="A19" s="422"/>
      <c r="B19" s="484" t="str">
        <f>texty!A242</f>
        <v>dilatácia 4 mm</v>
      </c>
      <c r="C19" s="119"/>
      <c r="D19" s="17"/>
      <c r="E19" s="17"/>
      <c r="F19" s="17"/>
      <c r="G19" s="24"/>
      <c r="H19" s="24"/>
      <c r="I19" s="638" t="s">
        <v>993</v>
      </c>
      <c r="L19" s="6"/>
    </row>
    <row r="20" spans="1:22" ht="16.5" customHeight="1" x14ac:dyDescent="0.2">
      <c r="A20" s="422"/>
      <c r="B20" s="17"/>
      <c r="C20" s="17"/>
      <c r="D20" s="21"/>
      <c r="E20" s="17"/>
      <c r="F20" s="17"/>
      <c r="G20" s="24"/>
      <c r="H20" s="24"/>
      <c r="I20" s="638"/>
      <c r="L20" s="6"/>
      <c r="M20" s="6"/>
      <c r="R20" s="5" t="s">
        <v>581</v>
      </c>
      <c r="S20" s="5" t="s">
        <v>580</v>
      </c>
      <c r="T20" s="5">
        <v>1700</v>
      </c>
      <c r="U20" s="5">
        <v>2350</v>
      </c>
      <c r="V20" s="5">
        <v>3000</v>
      </c>
    </row>
    <row r="21" spans="1:22" ht="16.5" customHeight="1" x14ac:dyDescent="0.2">
      <c r="A21" s="422"/>
      <c r="B21" s="17"/>
      <c r="C21" s="17"/>
      <c r="D21" s="382"/>
      <c r="E21" s="17"/>
      <c r="F21" s="17"/>
      <c r="G21" s="24"/>
      <c r="H21" s="24"/>
      <c r="I21" s="639" t="s">
        <v>994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">
      <c r="A22" s="422"/>
      <c r="B22" s="17"/>
      <c r="C22" s="17"/>
      <c r="D22" s="17"/>
      <c r="E22" s="17"/>
      <c r="F22" s="17"/>
      <c r="G22" s="24"/>
      <c r="H22" s="24"/>
      <c r="I22" s="639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">
      <c r="A23" s="422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">
      <c r="A24" s="422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1700-0</v>
      </c>
      <c r="M24" s="6" t="e">
        <f>SUM(T21:T32)</f>
        <v>#DIV/0!</v>
      </c>
      <c r="N24" s="5">
        <v>1700</v>
      </c>
      <c r="P24" s="5" t="s">
        <v>563</v>
      </c>
      <c r="Q24" s="162" t="s">
        <v>564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">
      <c r="A25" s="422"/>
      <c r="B25" s="17"/>
      <c r="C25" s="21"/>
      <c r="D25" s="17"/>
      <c r="E25" s="17"/>
      <c r="F25" s="17"/>
      <c r="G25" s="438" t="str">
        <f>texty!$A$21</f>
        <v>partnerská zľava:</v>
      </c>
      <c r="H25" s="24"/>
      <c r="I25" s="24"/>
      <c r="L25" s="5" t="str">
        <f>CONCATENATE(N25,"-",$P$7)</f>
        <v>2350-0</v>
      </c>
      <c r="M25" s="6" t="e">
        <f>SUM(U21:U32)</f>
        <v>#DIV/0!</v>
      </c>
      <c r="N25" s="5">
        <v>2350</v>
      </c>
      <c r="Q25" s="5" t="s">
        <v>576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">
      <c r="A26" s="427" t="str">
        <f>+System10!$A$26</f>
        <v>Objednávacie kódy, ceny:</v>
      </c>
      <c r="B26" s="17"/>
      <c r="C26" s="21"/>
      <c r="D26" s="17"/>
      <c r="E26" s="17"/>
      <c r="F26" s="17"/>
      <c r="G26" s="374">
        <f>profil!C15</f>
        <v>0</v>
      </c>
      <c r="H26" s="440" t="s">
        <v>57</v>
      </c>
      <c r="I26" s="24"/>
      <c r="L26" s="5" t="str">
        <f>CONCATENATE(N26,"-",$P$7)</f>
        <v>3000-0</v>
      </c>
      <c r="M26" s="6" t="e">
        <f>SUM(V21:V32)</f>
        <v>#DIV/0!</v>
      </c>
      <c r="N26" s="5">
        <v>3000</v>
      </c>
      <c r="O26" s="160"/>
      <c r="Q26" s="5" t="s">
        <v>565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">
      <c r="A27" s="422"/>
      <c r="B27" s="19" t="s">
        <v>3</v>
      </c>
      <c r="C27" s="20" t="str">
        <f>texty!$A$16</f>
        <v>názov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celkom</v>
      </c>
      <c r="G27" s="20" t="str">
        <f>texty!$A$20</f>
        <v>celkom netto:</v>
      </c>
      <c r="H27" s="24"/>
      <c r="I27" s="20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566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">
      <c r="A28" s="422" t="str">
        <f>+System10!$A$28</f>
        <v>Horný profil:</v>
      </c>
      <c r="B28" s="16" t="e">
        <f>+VLOOKUP(L5,data!$C$196:$D$254,2,0)</f>
        <v>#N/A</v>
      </c>
      <c r="C28" s="25" t="e">
        <f>+VLOOKUP(B28,cennik!$A:$G,2,FALSE)</f>
        <v>#N/A</v>
      </c>
      <c r="D28" s="17" t="e">
        <f>IF(B28="N/A",0,1)</f>
        <v>#N/A</v>
      </c>
      <c r="E28" s="91" t="e">
        <f>+VLOOKUP(B28,cennik!$A:$G,3,FALSE)</f>
        <v>#N/A</v>
      </c>
      <c r="F28" s="91" t="e">
        <f t="shared" ref="F28:F39" si="1">+E28*D28</f>
        <v>#N/A</v>
      </c>
      <c r="G28" s="92" t="e">
        <f>+F28*(100-$G$26)/100</f>
        <v>#N/A</v>
      </c>
      <c r="H28" s="24" t="str">
        <f>cennik!$B$2</f>
        <v>EUR</v>
      </c>
      <c r="I28" s="469" t="str">
        <f>IFERROR(IF((VLOOKUP(B28,cennik!A:L,12,0))="O",texty!$A$250,""),"")</f>
        <v/>
      </c>
      <c r="K28" s="191" t="e">
        <f>IF(D28&gt;0,IF(VLOOKUP(B28,cennik!A:L,12,FALSE)="O",1,""),"")</f>
        <v>#N/A</v>
      </c>
      <c r="L28" s="6"/>
      <c r="M28" s="160"/>
      <c r="N28" s="160"/>
      <c r="O28" s="160"/>
      <c r="Q28" s="5" t="s">
        <v>577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">
      <c r="A29" s="422" t="str">
        <f>+System10!$A$29</f>
        <v>spodný profil:</v>
      </c>
      <c r="B29" s="16" t="e">
        <f>+VLOOKUP(N5,data!$C$4:$D$98,2,0)</f>
        <v>#N/A</v>
      </c>
      <c r="C29" s="25" t="e">
        <f>IF($B$29=data!$D$64,texty!$A$239,+VLOOKUP($B$29,cennik!$A:$G,2,FALSE))</f>
        <v>#N/A</v>
      </c>
      <c r="D29" s="17">
        <v>1</v>
      </c>
      <c r="E29" s="91" t="e">
        <f>IF(B29=data!$D$73,0,+VLOOKUP(B29,cennik!$A:$G,3,FALSE))</f>
        <v>#N/A</v>
      </c>
      <c r="F29" s="91" t="e">
        <f t="shared" si="1"/>
        <v>#N/A</v>
      </c>
      <c r="G29" s="92" t="e">
        <f>+F29*(100-$F$26)/100</f>
        <v>#N/A</v>
      </c>
      <c r="H29" s="24" t="str">
        <f>cennik!$B$2</f>
        <v>EUR</v>
      </c>
      <c r="I29" s="469" t="str">
        <f>IFERROR(IF((VLOOKUP(B29,cennik!A:L,12,0))="O",texty!$A$250,""),"")</f>
        <v/>
      </c>
      <c r="K29" s="191" t="e">
        <f>IF(D29&gt;0,IF(VLOOKUP(B29,cennik!A:L,12,FALSE)="O",1,""),"")</f>
        <v>#N/A</v>
      </c>
      <c r="L29" s="6" t="s">
        <v>567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578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">
      <c r="A30" s="422" t="str">
        <f>+System10!$A$30</f>
        <v>krycí profil (maska):</v>
      </c>
      <c r="B30" s="16" t="e">
        <f>+VLOOKUP(N5,data!$C$105:$D$195,2,0)</f>
        <v>#N/A</v>
      </c>
      <c r="C30" s="25" t="e">
        <f>IF($B$30=data!$D$64,texty!$A$239,+VLOOKUP($B$30,cennik!$A:$G,2,FALSE))</f>
        <v>#N/A</v>
      </c>
      <c r="D30" s="17">
        <v>1</v>
      </c>
      <c r="E30" s="91" t="e">
        <f>IF(B30=data!$D$73,0,+VLOOKUP(B30,cennik!$A:$G,3,FALSE))</f>
        <v>#N/A</v>
      </c>
      <c r="F30" s="91" t="e">
        <f t="shared" si="1"/>
        <v>#N/A</v>
      </c>
      <c r="G30" s="92" t="e">
        <f t="shared" ref="G30:G39" si="2">+F30*(100-$G$26)/100</f>
        <v>#N/A</v>
      </c>
      <c r="H30" s="24" t="str">
        <f>cennik!$B$2</f>
        <v>EUR</v>
      </c>
      <c r="I30" s="469" t="str">
        <f>IFERROR(IF((VLOOKUP(B30,cennik!A:L,12,0))="O",texty!$A$250,""),"")</f>
        <v/>
      </c>
      <c r="K30" s="191" t="e">
        <f>IF(D30&gt;0,IF(VLOOKUP(B30,cennik!A:L,12,FALSE)="O",1,""),"")</f>
        <v>#N/A</v>
      </c>
      <c r="L30" s="6" t="s">
        <v>568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569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">
      <c r="A31" s="422" t="str">
        <f>+System10!$A$31</f>
        <v>horné vozíky (sady)</v>
      </c>
      <c r="B31" s="16">
        <v>89265</v>
      </c>
      <c r="C31" s="25" t="str">
        <f>+VLOOKUP(B31,cennik!$A$3:$G$984,2,FALSE)</f>
        <v>SEVROLL 10202 horný vozík 10mm asymetrický L+P</v>
      </c>
      <c r="D31" s="17">
        <f>IF((D50+D51)&gt;D4,0,D4-(D50+D51))</f>
        <v>0</v>
      </c>
      <c r="E31" s="91">
        <f>+VLOOKUP(B31,cennik!$A:$G,3,FALSE)</f>
        <v>5.55023</v>
      </c>
      <c r="F31" s="91">
        <f t="shared" si="1"/>
        <v>0</v>
      </c>
      <c r="G31" s="92">
        <f t="shared" si="2"/>
        <v>0</v>
      </c>
      <c r="H31" s="24" t="str">
        <f>cennik!$B$2</f>
        <v>EUR</v>
      </c>
      <c r="I31" s="469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579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">
      <c r="A32" s="422" t="str">
        <f>+System10!$A$32</f>
        <v>spodné vozíky (sada)</v>
      </c>
      <c r="B32" s="16">
        <f>IF(F4=M68,328321,229441)</f>
        <v>229441</v>
      </c>
      <c r="C32" s="25" t="str">
        <f>+VLOOKUP(B32,cennik!$A:$G,2,FALSE)</f>
        <v>SEVROLL 10200 spodný vozík WD 10C HI-TEC - 2ks</v>
      </c>
      <c r="D32" s="17">
        <f>+D4</f>
        <v>0</v>
      </c>
      <c r="E32" s="91">
        <f>+VLOOKUP(B32,cennik!$A:$G,3,FALSE)</f>
        <v>6.5952500000000001</v>
      </c>
      <c r="F32" s="91">
        <f t="shared" si="1"/>
        <v>0</v>
      </c>
      <c r="G32" s="92">
        <f t="shared" si="2"/>
        <v>0</v>
      </c>
      <c r="H32" s="24" t="str">
        <f>cennik!$B$2</f>
        <v>EUR</v>
      </c>
      <c r="I32" s="469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570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">
      <c r="A33" s="422" t="str">
        <f>+System10!$A$33</f>
        <v>dorazový kartáč</v>
      </c>
      <c r="B33" s="16" t="e">
        <f>+VLOOKUP(L48,data!$C$790:$D$810,2,0)</f>
        <v>#N/A</v>
      </c>
      <c r="C33" s="25" t="e">
        <f>+VLOOKUP(B33,cennik!$A:$G,2,FALSE)</f>
        <v>#N/A</v>
      </c>
      <c r="D33" s="17">
        <f>CEILING((B4*D4*2/1000),1)</f>
        <v>0</v>
      </c>
      <c r="E33" s="91" t="e">
        <f>+VLOOKUP(B33,cennik!$A:$G,3,FALSE)</f>
        <v>#N/A</v>
      </c>
      <c r="F33" s="91" t="e">
        <f t="shared" si="1"/>
        <v>#N/A</v>
      </c>
      <c r="G33" s="92" t="e">
        <f t="shared" si="2"/>
        <v>#N/A</v>
      </c>
      <c r="H33" s="24" t="str">
        <f>cennik!$B$2</f>
        <v>EUR</v>
      </c>
      <c r="I33" s="469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">
      <c r="A34" s="422" t="str">
        <f>+System10!$A$34</f>
        <v>úchytková lišta</v>
      </c>
      <c r="B34" s="16" t="e">
        <f>+VLOOKUP(P7,data!$C$678:$D$681,2,0)</f>
        <v>#N/A</v>
      </c>
      <c r="C34" s="25" t="e">
        <f>+VLOOKUP(B34,cennik!$A:$G,2,FALSE)</f>
        <v>#N/A</v>
      </c>
      <c r="D34" s="17">
        <f>IF(B12&lt;=1347,D4*2/2,D4*2)</f>
        <v>0</v>
      </c>
      <c r="E34" s="91" t="e">
        <f>+VLOOKUP(B34,cennik!$A:$G,3,FALSE)</f>
        <v>#N/A</v>
      </c>
      <c r="F34" s="91" t="e">
        <f t="shared" si="1"/>
        <v>#N/A</v>
      </c>
      <c r="G34" s="92" t="e">
        <f t="shared" si="2"/>
        <v>#N/A</v>
      </c>
      <c r="H34" s="24" t="str">
        <f>cennik!$B$2</f>
        <v>EUR</v>
      </c>
      <c r="I34" s="469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">
      <c r="A35" s="422" t="str">
        <f>+System10!$A$35</f>
        <v>spojovacia skrutka</v>
      </c>
      <c r="B35" s="16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 t="shared" si="1"/>
        <v>0</v>
      </c>
      <c r="G35" s="92">
        <f t="shared" si="2"/>
        <v>0</v>
      </c>
      <c r="H35" s="24" t="str">
        <f>cennik!$B$2</f>
        <v>EUR</v>
      </c>
      <c r="I35" s="469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">
      <c r="A36" s="422" t="str">
        <f>+System10!$A$36</f>
        <v>horný profil rámu (vodiaca lišta)</v>
      </c>
      <c r="B36" s="16" t="e">
        <f>+VLOOKUP(M29,data!C305:D345,2,0)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24" t="str">
        <f>cennik!$B$2</f>
        <v>EUR</v>
      </c>
      <c r="I36" s="469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13</v>
      </c>
    </row>
    <row r="37" spans="1:12" ht="12.75" customHeight="1" x14ac:dyDescent="0.2">
      <c r="A37" s="422" t="str">
        <f>+System10!$A$36</f>
        <v>horný profil rámu (vodiaca lišta)</v>
      </c>
      <c r="B37" s="24" t="e">
        <f>IF(M30&lt;&gt;"jiné",+VLOOKUP(M30,data!C305:D333,2,0),"")</f>
        <v>#DIV/0!</v>
      </c>
      <c r="C37" s="446" t="e">
        <f>IF(M30&lt;&gt;"jiné",+VLOOKUP(B37,cennik!$A$3:$G$984,2,FALSE),texty!$A$2)</f>
        <v>#DIV/0!</v>
      </c>
      <c r="D37" s="64" t="e">
        <f>N30</f>
        <v>#DIV/0!</v>
      </c>
      <c r="E37" s="447" t="e">
        <f>IF(M30&lt;&gt;"jiné",+VLOOKUP(B37,cennik!$A:$G,3,FALSE),0)</f>
        <v>#DIV/0!</v>
      </c>
      <c r="F37" s="91" t="e">
        <f t="shared" si="1"/>
        <v>#DIV/0!</v>
      </c>
      <c r="G37" s="92" t="e">
        <f t="shared" si="2"/>
        <v>#DIV/0!</v>
      </c>
      <c r="H37" s="24" t="str">
        <f>cennik!$B$2</f>
        <v>EUR</v>
      </c>
      <c r="I37" s="469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13</v>
      </c>
    </row>
    <row r="38" spans="1:12" ht="12.75" customHeight="1" x14ac:dyDescent="0.2">
      <c r="A38" s="422" t="str">
        <f>+System10!A38</f>
        <v>horizontálny spodný profil rámu</v>
      </c>
      <c r="B38" s="16" t="e">
        <f>+VLOOKUP(M29,data!$C$370:$D$410,2,0)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24" t="str">
        <f>cennik!$B$2</f>
        <v>EUR</v>
      </c>
      <c r="I38" s="469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13</v>
      </c>
    </row>
    <row r="39" spans="1:12" ht="12.75" customHeight="1" x14ac:dyDescent="0.2">
      <c r="A39" s="422" t="str">
        <f>+System10!A39</f>
        <v>horizontálny spodný profil rámu</v>
      </c>
      <c r="B39" s="24" t="e">
        <f>IF(M30&lt;&gt;"jiné",+VLOOKUP(M30,data!$C$370:$D$398,2,0),"")</f>
        <v>#DIV/0!</v>
      </c>
      <c r="C39" s="25" t="e">
        <f>IF(M30&lt;&gt;"jiné",+VLOOKUP(B39,cennik!$A$3:$G$984,2,FALSE),texty!A2)</f>
        <v>#DIV/0!</v>
      </c>
      <c r="D39" s="64" t="e">
        <f>N30</f>
        <v>#DIV/0!</v>
      </c>
      <c r="E39" s="447" t="e">
        <f>IF(M30&lt;&gt;"jiné",+VLOOKUP(B39,cennik!$A:$G,3,FALSE),0)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24" t="str">
        <f>cennik!$B$2</f>
        <v>EUR</v>
      </c>
      <c r="I39" s="469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13</v>
      </c>
    </row>
    <row r="40" spans="1:12" ht="12.75" customHeight="1" x14ac:dyDescent="0.2">
      <c r="A40" s="21"/>
      <c r="B40" s="21"/>
      <c r="C40" s="21"/>
      <c r="D40" s="21"/>
      <c r="E40" s="361"/>
      <c r="F40" s="361"/>
      <c r="G40" s="361"/>
      <c r="H40" s="24"/>
      <c r="I40" s="469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14</v>
      </c>
    </row>
    <row r="41" spans="1:12" ht="12.75" customHeight="1" x14ac:dyDescent="0.2">
      <c r="A41" s="427" t="str">
        <f>texty!$A$66</f>
        <v>Voliteľné príslušenstvo:</v>
      </c>
      <c r="B41" s="16"/>
      <c r="C41" s="21"/>
      <c r="D41" s="448" t="str">
        <f>System10!$D$41</f>
        <v>zadajte počet:</v>
      </c>
      <c r="E41" s="91"/>
      <c r="F41" s="91"/>
      <c r="G41" s="361"/>
      <c r="H41" s="24"/>
      <c r="I41" s="469" t="str">
        <f>IFERROR(IF((VLOOKUP(B41,cennik!A:L,12,0))="O",texty!$A$250,""),"")</f>
        <v/>
      </c>
      <c r="K41" s="191"/>
      <c r="L41" s="3" t="s">
        <v>14</v>
      </c>
    </row>
    <row r="42" spans="1:12" ht="12.75" customHeight="1" x14ac:dyDescent="0.2">
      <c r="A42" s="422" t="str">
        <f>texty!$A$88</f>
        <v>pozicionér do horného vedenia</v>
      </c>
      <c r="B42" s="16">
        <v>298035</v>
      </c>
      <c r="C42" s="25" t="str">
        <f>+VLOOKUP(B42,cennik!$A:$G,2,FALSE)</f>
        <v>SEVROLL 20326 Fix pozicionér pre horný vozík transparentný</v>
      </c>
      <c r="D42" s="373"/>
      <c r="E42" s="91">
        <f>+VLOOKUP(B42,cennik!$A:$G,3,FALSE)</f>
        <v>1.0837300000000001</v>
      </c>
      <c r="F42" s="96">
        <f t="shared" ref="F42:F51" si="3">+CEILING(D42,1)*E42</f>
        <v>0</v>
      </c>
      <c r="G42" s="92">
        <f t="shared" ref="G42:G55" si="4">+F42*(100-$G$26)/100</f>
        <v>0</v>
      </c>
      <c r="H42" s="24" t="str">
        <f>cennik!$B$2</f>
        <v>EUR</v>
      </c>
      <c r="I42" s="469" t="str">
        <f>IFERROR(IF((VLOOKUP(B42,cennik!A:L,12,0))="O",texty!$A$250,""),"")</f>
        <v/>
      </c>
      <c r="K42" s="191"/>
      <c r="L42" s="3"/>
    </row>
    <row r="43" spans="1:12" ht="12.75" customHeight="1" x14ac:dyDescent="0.2">
      <c r="A43" s="422" t="str">
        <f>+System10!$A$43</f>
        <v xml:space="preserve">pozicionér </v>
      </c>
      <c r="B43" s="16">
        <f>IF(F4="Gemini",387424,89063)</f>
        <v>89063</v>
      </c>
      <c r="C43" s="25" t="str">
        <f>+VLOOKUP(B43,cennik!$A:$G,2,FALSE)</f>
        <v>SEVROLL 20080 pozicionér spodného vozíka HI-TEC</v>
      </c>
      <c r="D43" s="373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24" t="str">
        <f>cennik!$B$2</f>
        <v>EUR</v>
      </c>
      <c r="I43" s="469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">
      <c r="A44" s="422" t="str">
        <f>texty!$A$228</f>
        <v> Tlmič dorazu MINI do 25 kg (pár)</v>
      </c>
      <c r="B44" s="16">
        <v>318662</v>
      </c>
      <c r="C44" s="25" t="str">
        <f>+VLOOKUP(B44,cennik!$A:$G,2,FALSE)</f>
        <v>SEVROLL 20368-SV tlmič dorazu Mini SV25 (14-25kg)</v>
      </c>
      <c r="D44" s="373"/>
      <c r="E44" s="91">
        <f>+VLOOKUP(B44,cennik!$A:$G,3,FALSE)</f>
        <v>22.75825</v>
      </c>
      <c r="F44" s="96">
        <f t="shared" si="3"/>
        <v>0</v>
      </c>
      <c r="G44" s="92">
        <f t="shared" si="4"/>
        <v>0</v>
      </c>
      <c r="H44" s="24" t="str">
        <f>cennik!$B$2</f>
        <v>EUR</v>
      </c>
      <c r="I44" s="469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">
      <c r="A45" s="422" t="str">
        <f>texty!$A$229</f>
        <v> Tlmič dorazu MINI do 40 kg (pár)</v>
      </c>
      <c r="B45" s="24">
        <v>283956</v>
      </c>
      <c r="C45" s="25" t="str">
        <f>+VLOOKUP(B45,cennik!$A:$G,2,FALSE)</f>
        <v>SEVROLL 20258-SV tlmič dorazu Mini SV40 (25 - 40kg)</v>
      </c>
      <c r="D45" s="373"/>
      <c r="E45" s="91">
        <f>+VLOOKUP(B45,cennik!$A:$G,3,FALSE)</f>
        <v>22.75825</v>
      </c>
      <c r="F45" s="96">
        <f t="shared" si="3"/>
        <v>0</v>
      </c>
      <c r="G45" s="92">
        <f t="shared" si="4"/>
        <v>0</v>
      </c>
      <c r="H45" s="24" t="str">
        <f>cennik!$B$2</f>
        <v>EUR</v>
      </c>
      <c r="I45" s="469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">
      <c r="A46" s="422" t="str">
        <f>texty!$A$230</f>
        <v> Tlmič dorazu MINI do 60 kg (pár)</v>
      </c>
      <c r="B46" s="24">
        <v>351743</v>
      </c>
      <c r="C46" s="25" t="str">
        <f>+VLOOKUP(B46,cennik!$A:$G,2,FALSE)</f>
        <v>SEVROLL 20339-SV tlmič dorazu Mini SV60 (40 - 60kg)</v>
      </c>
      <c r="D46" s="373"/>
      <c r="E46" s="91">
        <f>+VLOOKUP(B46,cennik!$A:$G,3,FALSE)</f>
        <v>22.75825</v>
      </c>
      <c r="F46" s="96">
        <f t="shared" si="3"/>
        <v>0</v>
      </c>
      <c r="G46" s="92">
        <f t="shared" si="4"/>
        <v>0</v>
      </c>
      <c r="H46" s="24" t="str">
        <f>cennik!$B$2</f>
        <v>EUR</v>
      </c>
      <c r="I46" s="469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">
      <c r="A47" s="422" t="str">
        <f>texty!$A$231</f>
        <v> Tlmič pre stredné krídlo do 25 kg</v>
      </c>
      <c r="B47" s="24">
        <v>318663</v>
      </c>
      <c r="C47" s="25" t="str">
        <f>+VLOOKUP(B47,cennik!$A:$G,2,FALSE)</f>
        <v>SEVROLL 20363-SV tlmič Central 10/18mm obojstranný 25kg</v>
      </c>
      <c r="D47" s="373"/>
      <c r="E47" s="91">
        <f>+VLOOKUP(B47,cennik!$A:$G,3,FALSE)</f>
        <v>48.741869999999999</v>
      </c>
      <c r="F47" s="96">
        <f t="shared" si="3"/>
        <v>0</v>
      </c>
      <c r="G47" s="92">
        <f t="shared" si="4"/>
        <v>0</v>
      </c>
      <c r="H47" s="24" t="str">
        <f>cennik!$B$2</f>
        <v>EUR</v>
      </c>
      <c r="I47" s="469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">
      <c r="A48" s="422" t="str">
        <f>texty!$A$232</f>
        <v> Tlmič pre stredné krídlo do 40 kg</v>
      </c>
      <c r="B48" s="24">
        <v>283955</v>
      </c>
      <c r="C48" s="25" t="str">
        <f>+VLOOKUP(B48,cennik!$A:$G,2,FALSE)</f>
        <v>SEVROLL 20319-SV tlmič Central 10/18mm obojstranný 25-40kg</v>
      </c>
      <c r="D48" s="373"/>
      <c r="E48" s="91">
        <f>+VLOOKUP(B48,cennik!$A:$G,3,FALSE)</f>
        <v>48.741869999999999</v>
      </c>
      <c r="F48" s="96">
        <f t="shared" si="3"/>
        <v>0</v>
      </c>
      <c r="G48" s="92">
        <f t="shared" si="4"/>
        <v>0</v>
      </c>
      <c r="H48" s="24" t="str">
        <f>cennik!$B$2</f>
        <v>EUR</v>
      </c>
      <c r="I48" s="469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</v>
      </c>
    </row>
    <row r="49" spans="1:12" ht="12.75" customHeight="1" x14ac:dyDescent="0.2">
      <c r="A49" s="422" t="str">
        <f>CONCATENATE(texty!A179,)</f>
        <v>skrutka k spodnémi vedeniu</v>
      </c>
      <c r="B49" s="16">
        <v>98019</v>
      </c>
      <c r="C49" s="25" t="str">
        <f>+VLOOKUP(B49,cennik!$A:$G,2,FALSE)</f>
        <v>SEVROLL 20041 skrutka 2,5x18mm polguľatá hlava zinok biely</v>
      </c>
      <c r="D49" s="373"/>
      <c r="E49" s="91">
        <f>+VLOOKUP(B49,cennik!$A:$G,3,FALSE)</f>
        <v>2.9159999999999998E-2</v>
      </c>
      <c r="F49" s="96">
        <f t="shared" si="3"/>
        <v>0</v>
      </c>
      <c r="G49" s="92">
        <f t="shared" si="4"/>
        <v>0</v>
      </c>
      <c r="H49" s="24" t="str">
        <f>cennik!$B$2</f>
        <v>EUR</v>
      </c>
      <c r="I49" s="469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">
      <c r="A50" s="422" t="str">
        <f>System10!A49</f>
        <v>tlmič dorazu (pár) 25 kg</v>
      </c>
      <c r="B50" s="24">
        <v>227185</v>
      </c>
      <c r="C50" s="25" t="str">
        <f>+VLOOKUP(B50,cennik!$A:$G,2,FALSE)</f>
        <v>K-SEVROLL tlmič dorazu 10/18mm 14-25kg L+P</v>
      </c>
      <c r="D50" s="373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EUR</v>
      </c>
      <c r="I50" s="469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" customHeight="1" x14ac:dyDescent="0.2">
      <c r="A51" s="422" t="str">
        <f>texty!$A$98</f>
        <v>tlmič dorazu (pár) 50 kg</v>
      </c>
      <c r="B51" s="24">
        <v>227187</v>
      </c>
      <c r="C51" s="25" t="str">
        <f>+VLOOKUP(B51,cennik!$A:$G,2,FALSE)</f>
        <v>K-SEVROLL tlmič dorazu 10/18mm 25-50kg L+P</v>
      </c>
      <c r="D51" s="373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EUR</v>
      </c>
      <c r="I51" s="469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">
      <c r="A52" s="422" t="str">
        <f>System10!A51</f>
        <v>spojovací profil H10-3metre</v>
      </c>
      <c r="B52" s="16" t="e">
        <f>+VLOOKUP(P7,data!C457:D468,2,0)</f>
        <v>#N/A</v>
      </c>
      <c r="C52" s="25" t="e">
        <f>+VLOOKUP(B52,cennik!$A:$G,2,FALSE)</f>
        <v>#N/A</v>
      </c>
      <c r="D52" s="459"/>
      <c r="E52" s="91" t="e">
        <f>+VLOOKUP(B52,cennik!$A:$G,3,FALSE)</f>
        <v>#N/A</v>
      </c>
      <c r="F52" s="91" t="e">
        <f>+E52*D52</f>
        <v>#N/A</v>
      </c>
      <c r="G52" s="92" t="e">
        <f t="shared" si="4"/>
        <v>#N/A</v>
      </c>
      <c r="H52" s="24" t="str">
        <f>cennik!$B$2</f>
        <v>EUR</v>
      </c>
      <c r="I52" s="469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">
      <c r="A53" s="422" t="str">
        <f>System10!A52</f>
        <v>spojovací profil H30-3metre</v>
      </c>
      <c r="B53" s="17" t="e">
        <f>+VLOOKUP(P7,data!C468:D476,2,0)</f>
        <v>#N/A</v>
      </c>
      <c r="C53" s="25" t="e">
        <f>IF($B$53=data!$D$64,texty!$A$239,+VLOOKUP($B$53,cennik!$A:$G,2,FALSE))</f>
        <v>#N/A</v>
      </c>
      <c r="D53" s="373"/>
      <c r="E53" s="474" t="e">
        <f>IF(B53=data!$D$73,0,+VLOOKUP(B53,cennik!$A:$G,3,FALSE))</f>
        <v>#N/A</v>
      </c>
      <c r="F53" s="474" t="e">
        <f>+E53*D53</f>
        <v>#N/A</v>
      </c>
      <c r="G53" s="475" t="e">
        <f t="shared" si="4"/>
        <v>#N/A</v>
      </c>
      <c r="H53" s="24" t="str">
        <f>cennik!$B$2</f>
        <v>EUR</v>
      </c>
      <c r="I53" s="469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">
      <c r="A54" s="422" t="str">
        <f>texty!$A$92</f>
        <v>spojovacia skrutka</v>
      </c>
      <c r="B54" s="16">
        <v>89244</v>
      </c>
      <c r="C54" s="25" t="str">
        <f>+VLOOKUP(B54,cennik!$A:$G,2,FALSE)</f>
        <v>SEVROLL 20001 skrutkovrut 6,3x32 SEVROLL a Simple</v>
      </c>
      <c r="D54" s="459"/>
      <c r="E54" s="91">
        <f>+VLOOKUP(B54,cennik!$A:$G,3,FALSE)</f>
        <v>0.15482000000000001</v>
      </c>
      <c r="F54" s="91">
        <f>+E54*D54</f>
        <v>0</v>
      </c>
      <c r="G54" s="92">
        <f t="shared" si="4"/>
        <v>0</v>
      </c>
      <c r="H54" s="24" t="str">
        <f>cennik!$B$2</f>
        <v>EUR</v>
      </c>
      <c r="I54" s="469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12.75" customHeight="1" x14ac:dyDescent="0.2">
      <c r="A55" s="422" t="str">
        <f>System10!A55</f>
        <v>protiprachový kartáč</v>
      </c>
      <c r="B55" s="17">
        <v>95946</v>
      </c>
      <c r="C55" s="25" t="str">
        <f>+VLOOKUP(B55,cennik!$A:$G,2,FALSE)</f>
        <v>SEVROLL protiprach.kartáč zásuvný 4,8x13mm</v>
      </c>
      <c r="D55" s="459"/>
      <c r="E55" s="91">
        <f>+VLOOKUP(B55,cennik!$A:$G,3,FALSE)</f>
        <v>0.18106</v>
      </c>
      <c r="F55" s="91">
        <f>+E55*D55</f>
        <v>0</v>
      </c>
      <c r="G55" s="92">
        <f t="shared" si="4"/>
        <v>0</v>
      </c>
      <c r="H55" s="24" t="str">
        <f>cennik!$B$2</f>
        <v>EUR</v>
      </c>
      <c r="I55" s="469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12.75" customHeight="1" x14ac:dyDescent="0.2">
      <c r="A56" s="422" t="str">
        <f>texty!A240</f>
        <v>zámok posuvných dverí</v>
      </c>
      <c r="B56" s="17">
        <v>216363</v>
      </c>
      <c r="C56" s="25" t="str">
        <f>+VLOOKUP(B56,cennik!$A:$G,2,FALSE)</f>
        <v>SEVROLL 20356 zámok na posuvné dvere 10/18mm</v>
      </c>
      <c r="D56" s="459"/>
      <c r="E56" s="91">
        <f>+VLOOKUP(B56,cennik!$A:$G,3,FALSE)</f>
        <v>15.72176</v>
      </c>
      <c r="F56" s="91">
        <f>+E56*D56</f>
        <v>0</v>
      </c>
      <c r="G56" s="92">
        <f>+F56*(100-$G$26)/100</f>
        <v>0</v>
      </c>
      <c r="H56" s="24" t="str">
        <f>cennik!$B$2</f>
        <v>EUR</v>
      </c>
      <c r="I56" s="469" t="str">
        <f>IFERROR(IF((VLOOKUP(B56,cennik!A:L,12,0))="O",texty!$A$250,""),"")</f>
        <v/>
      </c>
      <c r="J56" s="439" t="str">
        <f>IF(D56&gt;0,IF(VLOOKUP(B56,cennik!A:L,12,FALSE)="O",1,""),"")</f>
        <v/>
      </c>
      <c r="K56" s="24"/>
    </row>
    <row r="57" spans="1:12" s="21" customFormat="1" ht="12.75" customHeight="1" x14ac:dyDescent="0.2">
      <c r="A57" s="422"/>
      <c r="B57" s="17"/>
      <c r="C57" s="25"/>
      <c r="D57" s="91"/>
      <c r="E57" s="91"/>
      <c r="F57" s="91"/>
      <c r="G57" s="92"/>
      <c r="H57" s="24"/>
      <c r="I57" s="469" t="str">
        <f>IFERROR(IF((VLOOKUP(B57,cennik!A:L,12,0))="O",texty!$A$250,""),"")</f>
        <v/>
      </c>
      <c r="J57" s="439"/>
      <c r="K57" s="24"/>
    </row>
    <row r="58" spans="1:12" ht="12.75" customHeight="1" x14ac:dyDescent="0.2">
      <c r="A58" s="429" t="e">
        <f>CONCATENATE(texty!$A$6,ROUND((C13/1000),1),texty!$A$8)</f>
        <v>#DIV/0!</v>
      </c>
      <c r="B58" s="42"/>
      <c r="C58" s="43"/>
      <c r="D58" s="42"/>
      <c r="E58" s="97"/>
      <c r="F58" s="97"/>
      <c r="G58" s="97"/>
      <c r="H58" s="361"/>
      <c r="I58" s="469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">
      <c r="A59" s="21"/>
      <c r="B59" s="21"/>
      <c r="C59" s="442" t="str">
        <f>texty!$A$10</f>
        <v>Potrebná dĺžka tesnenia pri celkovom presklení (nutné objednať celé metre)</v>
      </c>
      <c r="D59" s="439" t="e">
        <f>CEILING(((B9+C9)*2/1000*D4),1)</f>
        <v>#DIV/0!</v>
      </c>
      <c r="E59" s="361"/>
      <c r="F59" s="361"/>
      <c r="G59" s="361"/>
      <c r="H59" s="361"/>
      <c r="I59" s="469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">
      <c r="A60" s="450" t="str">
        <f>texty!$A$12</f>
        <v>(pri kombináciach s H profilmi je nutné pripočítať potrebnú dĺžku - tesnenie musí byť po celom odvode každého skla</v>
      </c>
      <c r="B60" s="451"/>
      <c r="C60" s="452"/>
      <c r="D60" s="451"/>
      <c r="E60" s="441"/>
      <c r="F60" s="441"/>
      <c r="G60" s="441"/>
      <c r="H60" s="361"/>
      <c r="I60" s="469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">
      <c r="A61" s="422" t="str">
        <f>System10!A59</f>
        <v>tesnenie na sklo 4mm</v>
      </c>
      <c r="B61" s="17">
        <v>89238</v>
      </c>
      <c r="C61" s="25" t="str">
        <f>+VLOOKUP(B61,cennik!$A:$G,2,FALSE)</f>
        <v>SEVROLL 20031-SV tesnenie na sklo 10/4mm</v>
      </c>
      <c r="D61" s="460"/>
      <c r="E61" s="91">
        <f>+VLOOKUP(B61,cennik!$A:$G,3,FALSE)</f>
        <v>0.79988999999999999</v>
      </c>
      <c r="F61" s="96">
        <f>+CEILING(D61,1)*E61</f>
        <v>0</v>
      </c>
      <c r="G61" s="92">
        <f>+F61*(100-$G$26)/100</f>
        <v>0</v>
      </c>
      <c r="H61" s="24" t="str">
        <f>cennik!$B$2</f>
        <v>EUR</v>
      </c>
      <c r="I61" s="469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2.75" customHeight="1" x14ac:dyDescent="0.2">
      <c r="A62" s="422" t="str">
        <f>texty!A103</f>
        <v>tesnenie na sklo 4,5 mm</v>
      </c>
      <c r="B62" s="17">
        <v>135164</v>
      </c>
      <c r="C62" s="25" t="str">
        <f>+VLOOKUP(B62,cennik!$A:$G,2,FALSE)</f>
        <v>SEVROLL 20032-SV tesnenie na sklo 10/4,5mm</v>
      </c>
      <c r="D62" s="460"/>
      <c r="E62" s="91">
        <f>+VLOOKUP(B62,cennik!$A:$G,3,FALSE)</f>
        <v>0.79988999999999999</v>
      </c>
      <c r="F62" s="96">
        <f>+CEILING(D62,1)*E62</f>
        <v>0</v>
      </c>
      <c r="G62" s="92">
        <f>+F62*(100-$G$26)/100</f>
        <v>0</v>
      </c>
      <c r="H62" s="24" t="str">
        <f>cennik!$B$2</f>
        <v>EUR</v>
      </c>
      <c r="I62" s="469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12.75" customHeight="1" x14ac:dyDescent="0.2">
      <c r="A63" s="422" t="str">
        <f>System10!A61</f>
        <v>tesnenie na sklo 6mm</v>
      </c>
      <c r="B63" s="17">
        <v>89243</v>
      </c>
      <c r="C63" s="25" t="str">
        <f>+VLOOKUP(B63,cennik!$A:$G,2,FALSE)</f>
        <v>SEVROLL 20033-SV tesnenie na sklo 10/6mm</v>
      </c>
      <c r="D63" s="460"/>
      <c r="E63" s="91">
        <f>+VLOOKUP(B63,cennik!$A:$G,3,FALSE)</f>
        <v>0.79988999999999999</v>
      </c>
      <c r="F63" s="96">
        <f>+CEILING(D63,1)*E63</f>
        <v>0</v>
      </c>
      <c r="G63" s="92">
        <f>+F63*(100-$G$26)/100</f>
        <v>0</v>
      </c>
      <c r="H63" s="24" t="str">
        <f>cennik!$B$2</f>
        <v>EUR</v>
      </c>
      <c r="I63" s="469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">
      <c r="A64" s="271" t="str">
        <f>texty!$A$190</f>
        <v>Ďalšie príslušenstvo</v>
      </c>
      <c r="B64" s="21"/>
      <c r="C64" s="21"/>
      <c r="D64" s="21"/>
      <c r="E64" s="361"/>
      <c r="F64" s="361"/>
      <c r="G64" s="361"/>
      <c r="H64" s="24"/>
      <c r="I64" s="469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">
      <c r="A65" s="271" t="str">
        <f>texty!$A$244</f>
        <v>Technický nákres tohoto systému</v>
      </c>
      <c r="B65" s="470">
        <v>129677</v>
      </c>
      <c r="C65" s="453" t="str">
        <f>VLOOKUP(B65,cennik!A:C,2,0)</f>
        <v>SEVROLL 20173 montážny prípravok pre lamino 10mm malý</v>
      </c>
      <c r="D65" s="460"/>
      <c r="E65" s="91">
        <f>+VLOOKUP(B65,cennik!$A:$G,3,FALSE)</f>
        <v>5.0214600000000003</v>
      </c>
      <c r="F65" s="96">
        <f>+CEILING(D65,1)*E65</f>
        <v>0</v>
      </c>
      <c r="G65" s="92">
        <f>+F65</f>
        <v>0</v>
      </c>
      <c r="H65" s="24" t="str">
        <f>cennik!$B$2</f>
        <v>EUR</v>
      </c>
      <c r="I65" s="469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">
      <c r="A66" s="21"/>
      <c r="B66" s="470">
        <v>128842</v>
      </c>
      <c r="C66" s="453" t="str">
        <f>VLOOKUP(B66,cennik!A:C,2,0)</f>
        <v>SEVROLL 20144 vrták stupňovitý 6,5/9,5mm</v>
      </c>
      <c r="D66" s="460"/>
      <c r="E66" s="91">
        <f>+VLOOKUP(B66,cennik!$A:$G,3,FALSE)</f>
        <v>26.752659999999999</v>
      </c>
      <c r="F66" s="96">
        <f>+CEILING(D66,1)*E66</f>
        <v>0</v>
      </c>
      <c r="G66" s="92">
        <f>+F66</f>
        <v>0</v>
      </c>
      <c r="H66" s="24" t="str">
        <f>cennik!$B$2</f>
        <v>EUR</v>
      </c>
      <c r="I66" s="469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">
      <c r="A67" s="637" t="str">
        <f>IF(SUM(D50:D51)&gt;0,IF(C7&lt;(B4/3),texty!$A$212,""),"")</f>
        <v/>
      </c>
      <c r="B67" s="637"/>
      <c r="C67" s="637"/>
      <c r="D67" s="637"/>
      <c r="E67" s="637"/>
      <c r="F67" s="637"/>
      <c r="G67" s="637"/>
      <c r="H67" s="637"/>
      <c r="I67" s="637"/>
      <c r="J67" s="272"/>
      <c r="K67" s="134"/>
    </row>
    <row r="68" spans="1:14" ht="12.75" customHeight="1" x14ac:dyDescent="0.2">
      <c r="A68" s="21"/>
      <c r="B68" s="17"/>
      <c r="C68" s="17"/>
      <c r="D68" s="455" t="str">
        <f>texty!$A$15</f>
        <v>CELKOM  (bez DPH)</v>
      </c>
      <c r="E68" s="441"/>
      <c r="F68" s="101" t="e">
        <f>SUM(F28:F66)</f>
        <v>#N/A</v>
      </c>
      <c r="G68" s="101" t="e">
        <f>SUM(G28:G66)</f>
        <v>#N/A</v>
      </c>
      <c r="H68" s="24" t="str">
        <f>cennik!$B$2</f>
        <v>EUR</v>
      </c>
      <c r="I68" s="24"/>
      <c r="J68" s="181"/>
      <c r="K68" s="181"/>
      <c r="L68" s="5" t="str">
        <f>data!J4</f>
        <v xml:space="preserve">strieborná </v>
      </c>
      <c r="M68" s="21" t="s">
        <v>987</v>
      </c>
    </row>
    <row r="69" spans="1:14" ht="12.75" customHeight="1" x14ac:dyDescent="0.2">
      <c r="A69" s="442" t="str">
        <f>System10!$A$67</f>
        <v>Vaša poznámka:</v>
      </c>
      <c r="B69" s="641"/>
      <c r="C69" s="642"/>
      <c r="D69" s="642"/>
      <c r="E69" s="642"/>
      <c r="F69" s="642"/>
      <c r="G69" s="643"/>
      <c r="H69" s="24"/>
      <c r="I69" s="24"/>
      <c r="L69" s="5" t="str">
        <f>data!J6</f>
        <v>oliva</v>
      </c>
      <c r="M69" s="21" t="s">
        <v>43</v>
      </c>
    </row>
    <row r="70" spans="1:14" ht="12.75" customHeight="1" x14ac:dyDescent="0.2">
      <c r="A70" s="630">
        <f>profil!$U$15</f>
        <v>0</v>
      </c>
      <c r="B70" s="631"/>
      <c r="C70" s="631"/>
      <c r="D70" s="631"/>
      <c r="E70" s="631"/>
      <c r="F70" s="631"/>
      <c r="G70" s="631"/>
      <c r="H70" s="631"/>
      <c r="I70" s="24"/>
      <c r="L70" s="5" t="str">
        <f>data!$J$15</f>
        <v>biela lesk</v>
      </c>
      <c r="M70" s="21"/>
    </row>
    <row r="71" spans="1:14" ht="12.75" customHeight="1" x14ac:dyDescent="0.2">
      <c r="A71" s="632">
        <f>IF(N71=1,texty!$A$215,IF(K71&gt;0,texty!$A$214,""))</f>
        <v>0</v>
      </c>
      <c r="B71" s="632"/>
      <c r="C71" s="632"/>
      <c r="D71" s="632"/>
      <c r="E71" s="632"/>
      <c r="F71" s="632"/>
      <c r="G71" s="632"/>
      <c r="H71" s="632"/>
      <c r="I71" s="24"/>
      <c r="K71" s="6" t="e">
        <f>SUM(K28:K66)</f>
        <v>#N/A</v>
      </c>
      <c r="L71" s="5" t="str">
        <f>data!$J$17</f>
        <v>čierna mat</v>
      </c>
      <c r="N71" s="5">
        <f>IF(ISERROR(K71),1,0)</f>
        <v>1</v>
      </c>
    </row>
    <row r="72" spans="1:14" ht="12.75" customHeight="1" x14ac:dyDescent="0.2"/>
    <row r="73" spans="1:14" ht="12.75" hidden="1" customHeight="1" x14ac:dyDescent="0.2">
      <c r="L73" s="5" t="str">
        <f>data!J9</f>
        <v>kart. čierna</v>
      </c>
    </row>
    <row r="74" spans="1:14" ht="12.75" hidden="1" customHeight="1" x14ac:dyDescent="0.2">
      <c r="L74" s="5" t="str">
        <f>data!J15</f>
        <v>biela lesk</v>
      </c>
    </row>
    <row r="75" spans="1:14" ht="12.75" hidden="1" customHeight="1" x14ac:dyDescent="0.2">
      <c r="L75" s="5" t="str">
        <f>data!J16</f>
        <v>čierna lesk</v>
      </c>
    </row>
    <row r="76" spans="1:14" ht="12.75" hidden="1" customHeight="1" x14ac:dyDescent="0.2">
      <c r="L76" s="5" t="str">
        <f>data!J17</f>
        <v>čierna mat</v>
      </c>
    </row>
  </sheetData>
  <sheetProtection algorithmName="SHA-512" hashValue="tI5y2u5LGXTMMuzNPfM12AyLZKSzgXfZIjicY1hpZK5oHU/sProbKhkHDSxrMR6HYpvVcPlNyHIiFCEAgOfXJg==" saltValue="Vzz2ZYfEcTIncHnXwi1FvQ==" spinCount="100000" sheet="1" objects="1" scenarios="1" selectLockedCell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329" priority="3">
      <formula>SUM($D$47:$D$48)&gt;0</formula>
    </cfRule>
  </conditionalFormatting>
  <conditionalFormatting sqref="D6">
    <cfRule type="expression" dxfId="327" priority="7">
      <formula>$D$4=4</formula>
    </cfRule>
    <cfRule type="expression" dxfId="326" priority="8">
      <formula>$D$4&lt;&gt;4</formula>
    </cfRule>
  </conditionalFormatting>
  <conditionalFormatting sqref="D54">
    <cfRule type="expression" dxfId="325" priority="9" stopIfTrue="1">
      <formula>IF($D$53&gt;0,IF($D$54=0,1,0),0)</formula>
    </cfRule>
  </conditionalFormatting>
  <conditionalFormatting sqref="G4">
    <cfRule type="expression" dxfId="324" priority="6">
      <formula>$D$4=4</formula>
    </cfRule>
  </conditionalFormatting>
  <conditionalFormatting sqref="I19:I20">
    <cfRule type="expression" dxfId="323" priority="4">
      <formula>$F$4=$M$69</formula>
    </cfRule>
  </conditionalFormatting>
  <conditionalFormatting sqref="I21:I22">
    <cfRule type="expression" dxfId="32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$M$68:$M$69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E6:F6" xr:uid="{E32435ED-AC49-4DD2-A80D-811EBC674518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="85" zoomScaleNormal="85" workbookViewId="0">
      <selection activeCell="B4" sqref="B4"/>
    </sheetView>
  </sheetViews>
  <sheetFormatPr defaultColWidth="0" defaultRowHeight="12.75" customHeight="1" x14ac:dyDescent="0.2"/>
  <cols>
    <col min="1" max="1" width="39.42578125" style="21" customWidth="1"/>
    <col min="2" max="2" width="15.7109375" style="21" customWidth="1"/>
    <col min="3" max="3" width="40.28515625" style="21" customWidth="1"/>
    <col min="4" max="7" width="14.7109375" style="21" customWidth="1"/>
    <col min="8" max="8" width="8.140625" style="21" bestFit="1" customWidth="1"/>
    <col min="9" max="9" width="24.7109375" style="24" customWidth="1"/>
    <col min="10" max="11" width="13.7109375" style="24" hidden="1" customWidth="1"/>
    <col min="12" max="12" width="9.140625" style="21" hidden="1" customWidth="1"/>
    <col min="13" max="13" width="8.140625" style="21" hidden="1" customWidth="1"/>
    <col min="14" max="14" width="11.42578125" style="21" hidden="1" customWidth="1"/>
    <col min="15" max="15" width="7.140625" style="21" hidden="1" customWidth="1"/>
    <col min="16" max="16" width="8.7109375" style="21" hidden="1" customWidth="1"/>
    <col min="17" max="17" width="7.140625" style="21" hidden="1" customWidth="1"/>
    <col min="18" max="16384" width="9.140625" style="21" hidden="1"/>
  </cols>
  <sheetData>
    <row r="1" spans="1:22" ht="13.5" customHeight="1" thickBot="1" x14ac:dyDescent="0.25">
      <c r="A1" s="422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 x14ac:dyDescent="0.2">
      <c r="A2" s="523" t="s">
        <v>2649</v>
      </c>
      <c r="B2" s="419" t="str">
        <f>profil!T7</f>
        <v>Zákazník:, , IČO: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 x14ac:dyDescent="0.25">
      <c r="A3" s="524"/>
      <c r="B3" s="420" t="str">
        <f>CONCATENATE(texty!A34," / max.          2 740 mm /")</f>
        <v>výška / max.          2 740 mm /</v>
      </c>
      <c r="C3" s="421" t="str">
        <f>CONCATENATE(texty!A35," / max 6 000 mm /")</f>
        <v>šírka / max 6 000 mm /</v>
      </c>
      <c r="D3" s="421" t="str">
        <f>+System10!D3</f>
        <v>počet dverí:</v>
      </c>
      <c r="E3" s="421" t="str">
        <f>+System10!E3</f>
        <v>farba</v>
      </c>
      <c r="F3" s="420" t="str">
        <f>texty!A38</f>
        <v>typ spodného vedenia</v>
      </c>
      <c r="G3" s="24"/>
      <c r="H3" s="24"/>
      <c r="L3" s="24"/>
    </row>
    <row r="4" spans="1:22" ht="18" customHeight="1" x14ac:dyDescent="0.2">
      <c r="A4" s="423" t="str">
        <f>+System10!A4</f>
        <v>VNÚTORNÝ ROZMER SKRINE:</v>
      </c>
      <c r="B4" s="456"/>
      <c r="C4" s="456"/>
      <c r="D4" s="457"/>
      <c r="E4" s="457"/>
      <c r="F4" s="458"/>
      <c r="G4" s="644"/>
      <c r="H4" s="644"/>
      <c r="I4" s="644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 x14ac:dyDescent="0.2">
      <c r="A5" s="423"/>
      <c r="B5" s="640" t="str">
        <f>+System10!$B$5</f>
        <v>vypíšte týchto 5 políčok !!! Údaje v mm</v>
      </c>
      <c r="C5" s="640"/>
      <c r="D5" s="640"/>
      <c r="E5" s="640"/>
      <c r="F5" s="640"/>
      <c r="G5" s="644"/>
      <c r="H5" s="644"/>
      <c r="I5" s="644"/>
      <c r="K5" s="23" t="str">
        <f>CONCATENATE(K4,"-",E4)</f>
        <v>1700-</v>
      </c>
      <c r="M5" s="23" t="str">
        <f>CONCATENATE(M4,"-",E4,", ",F4)</f>
        <v xml:space="preserve">1700-, </v>
      </c>
    </row>
    <row r="6" spans="1:22" ht="18" customHeight="1" x14ac:dyDescent="0.2">
      <c r="A6" s="423"/>
      <c r="B6" s="431" t="str">
        <f>IF(D4=4,texty!A227,"")</f>
        <v/>
      </c>
      <c r="D6" s="443">
        <v>3</v>
      </c>
      <c r="E6" s="17"/>
      <c r="F6" s="17"/>
      <c r="G6" s="644"/>
      <c r="H6" s="644"/>
      <c r="I6" s="644"/>
      <c r="K6" s="461"/>
      <c r="L6" s="24"/>
      <c r="R6" s="645" t="s">
        <v>557</v>
      </c>
      <c r="S6" s="645" t="s">
        <v>558</v>
      </c>
      <c r="T6" s="645" t="s">
        <v>559</v>
      </c>
      <c r="U6" s="645" t="s">
        <v>560</v>
      </c>
    </row>
    <row r="7" spans="1:22" ht="12.75" customHeight="1" x14ac:dyDescent="0.2">
      <c r="A7" s="423" t="str">
        <f>texty!A71</f>
        <v>krídlo dverí:</v>
      </c>
      <c r="B7" s="57">
        <f>+B4-40</f>
        <v>-40</v>
      </c>
      <c r="C7" s="59" t="e">
        <f>+(C4-3+(30*(D4-1)))/D4+IF(AND(D4=4,D6=2),M1,0)</f>
        <v>#DIV/0!</v>
      </c>
      <c r="D7" s="17"/>
      <c r="E7" s="17"/>
      <c r="F7" s="17"/>
      <c r="G7" s="434" t="str">
        <f>texty!$A$39</f>
        <v>V prípade použitia skla ako výplne</v>
      </c>
      <c r="H7" s="24"/>
      <c r="L7" s="24"/>
      <c r="O7" s="17" t="e">
        <f>IF(L11="jiné",M12,L11)</f>
        <v>#DIV/0!</v>
      </c>
      <c r="P7" s="21">
        <f>+E4</f>
        <v>0</v>
      </c>
      <c r="R7" s="645"/>
      <c r="S7" s="645"/>
      <c r="T7" s="645"/>
      <c r="U7" s="645"/>
    </row>
    <row r="8" spans="1:22" ht="12.75" customHeight="1" x14ac:dyDescent="0.2">
      <c r="A8" s="423" t="str">
        <f>texty!A72</f>
        <v>rozmer výplne 10 mm:</v>
      </c>
      <c r="B8" s="57">
        <f>+B7-64</f>
        <v>-104</v>
      </c>
      <c r="C8" s="59" t="e">
        <f>+C7-41</f>
        <v>#DIV/0!</v>
      </c>
      <c r="D8" s="17"/>
      <c r="E8" s="17"/>
      <c r="F8" s="17"/>
      <c r="G8" s="434" t="str">
        <f>texty!$A$40</f>
        <v>je treba použiť bezpečnostné sklo</v>
      </c>
      <c r="H8" s="24"/>
      <c r="L8" s="24" t="s">
        <v>60</v>
      </c>
      <c r="M8" s="21" t="s">
        <v>61</v>
      </c>
      <c r="O8" s="23" t="e">
        <f>CONCATENATE(O7,"-",E4)</f>
        <v>#DIV/0!</v>
      </c>
      <c r="Q8" s="21">
        <v>1</v>
      </c>
      <c r="R8" s="462" t="e">
        <f>$C$10+5</f>
        <v>#DIV/0!</v>
      </c>
      <c r="S8" s="21" t="e">
        <f>FLOOR(1700/R8,1)</f>
        <v>#DIV/0!</v>
      </c>
      <c r="T8" s="21" t="e">
        <f>FLOOR(2350/R8,1)</f>
        <v>#DIV/0!</v>
      </c>
      <c r="U8" s="21" t="e">
        <f>FLOOR(3000/R8,1)</f>
        <v>#DIV/0!</v>
      </c>
    </row>
    <row r="9" spans="1:22" ht="12.75" customHeight="1" x14ac:dyDescent="0.2">
      <c r="A9" s="423" t="str">
        <f>texty!A73</f>
        <v>rozmer zrkadla / skla</v>
      </c>
      <c r="B9" s="57">
        <f>+B8</f>
        <v>-104</v>
      </c>
      <c r="C9" s="59" t="e">
        <f>+C8-4</f>
        <v>#DIV/0!</v>
      </c>
      <c r="D9" s="17"/>
      <c r="E9" s="17"/>
      <c r="F9" s="17"/>
      <c r="G9" s="434" t="str">
        <f>texty!$A$41</f>
        <v>alebo sklo zabezpečiť ochrannou fóliou</v>
      </c>
      <c r="H9" s="24"/>
      <c r="L9" s="463" t="e">
        <f>C10*D4</f>
        <v>#DIV/0!</v>
      </c>
      <c r="M9" s="464">
        <f>(D4+1)*5</f>
        <v>5</v>
      </c>
      <c r="Q9" s="21">
        <v>2</v>
      </c>
      <c r="R9" s="462" t="e">
        <f t="shared" ref="R9:R14" si="0">R8+$C$10+5</f>
        <v>#DIV/0!</v>
      </c>
      <c r="S9" s="21" t="e">
        <f>(1700-C10)*S17</f>
        <v>#DIV/0!</v>
      </c>
      <c r="T9" s="21" t="e">
        <f>(2350-C10)*T17</f>
        <v>#DIV/0!</v>
      </c>
      <c r="U9" s="21" t="e">
        <f>(3000-C10)*U17</f>
        <v>#DIV/0!</v>
      </c>
      <c r="V9" s="21" t="s">
        <v>562</v>
      </c>
    </row>
    <row r="10" spans="1:22" ht="12.75" customHeight="1" x14ac:dyDescent="0.2">
      <c r="A10" s="423" t="str">
        <f>texty!A74</f>
        <v>dĺžka vodiacej a krycej lišty krídla</v>
      </c>
      <c r="B10" s="57"/>
      <c r="C10" s="60" t="e">
        <f>+C7-58</f>
        <v>#DIV/0!</v>
      </c>
      <c r="D10" s="17"/>
      <c r="E10" s="17"/>
      <c r="F10" s="17"/>
      <c r="G10" s="435"/>
      <c r="H10" s="24"/>
      <c r="L10" s="21" t="s">
        <v>59</v>
      </c>
      <c r="O10" s="17" t="e">
        <f>IF(L11="jiné",M13,"")</f>
        <v>#DIV/0!</v>
      </c>
      <c r="P10" s="21">
        <f>+E4</f>
        <v>0</v>
      </c>
      <c r="Q10" s="21">
        <v>3</v>
      </c>
      <c r="R10" s="462" t="e">
        <f t="shared" si="0"/>
        <v>#DIV/0!</v>
      </c>
    </row>
    <row r="11" spans="1:22" ht="12.75" customHeight="1" x14ac:dyDescent="0.2">
      <c r="A11" s="423" t="str">
        <f>texty!A75</f>
        <v>Horný/spodný profil</v>
      </c>
      <c r="B11" s="57"/>
      <c r="C11" s="189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L11" s="464" t="e">
        <f>IF((L9+M9)&lt;1700,1700,IF((L9+M9)&lt;2350,2350,IF((L9+M9)&lt;3000,3000,"jiné")))</f>
        <v>#DIV/0!</v>
      </c>
      <c r="N11" s="21" t="s">
        <v>62</v>
      </c>
      <c r="O11" s="23" t="e">
        <f>CONCATENATE(O10,"-",E4)</f>
        <v>#DIV/0!</v>
      </c>
      <c r="Q11" s="21">
        <v>4</v>
      </c>
      <c r="R11" s="462" t="e">
        <f t="shared" si="0"/>
        <v>#DIV/0!</v>
      </c>
    </row>
    <row r="12" spans="1:22" ht="12.75" customHeight="1" x14ac:dyDescent="0.2">
      <c r="A12" s="423" t="str">
        <f>texty!A76</f>
        <v>úchytková lišta</v>
      </c>
      <c r="B12" s="488">
        <f>+B7</f>
        <v>-40</v>
      </c>
      <c r="C12" s="489"/>
      <c r="D12" s="17"/>
      <c r="E12" s="17"/>
      <c r="F12" s="17"/>
      <c r="G12" s="24"/>
      <c r="H12" s="24"/>
      <c r="L12" s="24" t="e">
        <f>C10*(D4-1)+(D4*5)</f>
        <v>#DIV/0!</v>
      </c>
      <c r="M12" s="21" t="e">
        <f>IF(L12&lt;1700,1700,IF(L12&lt;2350,2350,IF(L12&lt;3000,3000,3000)))</f>
        <v>#DIV/0!</v>
      </c>
      <c r="N12" s="21" t="e">
        <f>M12-L12</f>
        <v>#DIV/0!</v>
      </c>
      <c r="Q12" s="21">
        <v>5</v>
      </c>
      <c r="R12" s="462" t="e">
        <f t="shared" si="0"/>
        <v>#DIV/0!</v>
      </c>
    </row>
    <row r="13" spans="1:22" ht="12.75" customHeight="1" x14ac:dyDescent="0.2">
      <c r="A13" s="423" t="str">
        <f>texty!A77</f>
        <v>dĺžka tesnenia na sklo na jednom krídle</v>
      </c>
      <c r="B13" s="58"/>
      <c r="C13" s="144" t="e">
        <f>ROUND(B8*2+C9*2,0)</f>
        <v>#DIV/0!</v>
      </c>
      <c r="D13" s="17"/>
      <c r="E13" s="17"/>
      <c r="F13" s="17"/>
      <c r="G13" s="24"/>
      <c r="H13" s="24"/>
      <c r="L13" s="465" t="e">
        <f>C10+10</f>
        <v>#DIV/0!</v>
      </c>
      <c r="M13" s="21" t="e">
        <f>IF(N12&gt;=0,IF(L13&lt;1700,1700,IF(L13&lt;2350,2350,IF(L13&lt;3000,3000,"jiné"))),IF((L13+C10)&lt;1700,1700,IF((L13+C10)&lt;2350,2350,IF((L13+C10)&lt;3000,3000,"jiné"))))</f>
        <v>#DIV/0!</v>
      </c>
      <c r="N13" s="21" t="e">
        <f>M13-L13</f>
        <v>#DIV/0!</v>
      </c>
      <c r="Q13" s="21">
        <v>6</v>
      </c>
      <c r="R13" s="462" t="e">
        <f t="shared" si="0"/>
        <v>#DIV/0!</v>
      </c>
    </row>
    <row r="14" spans="1:22" ht="24" x14ac:dyDescent="0.2">
      <c r="A14" s="635" t="str">
        <f>IF(SUM(D47:D48)&gt;0,texty!A245,"")</f>
        <v/>
      </c>
      <c r="B14" s="635"/>
      <c r="C14" s="490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L14" s="24"/>
      <c r="M14" s="21" t="e">
        <f>SUM(M12:M13)</f>
        <v>#DIV/0!</v>
      </c>
      <c r="N14" s="21" t="e">
        <f>SUM(N12:N13)</f>
        <v>#DIV/0!</v>
      </c>
      <c r="Q14" s="21">
        <v>7</v>
      </c>
      <c r="R14" s="462" t="e">
        <f t="shared" si="0"/>
        <v>#DIV/0!</v>
      </c>
    </row>
    <row r="15" spans="1:22" ht="18.75" customHeight="1" x14ac:dyDescent="0.2">
      <c r="A15" s="635"/>
      <c r="B15" s="635"/>
      <c r="C15" s="490"/>
      <c r="D15" s="17"/>
      <c r="E15" s="17"/>
      <c r="F15" s="17"/>
      <c r="G15" s="24"/>
      <c r="H15" s="24"/>
      <c r="L15" s="24"/>
      <c r="R15" s="462"/>
    </row>
    <row r="16" spans="1:22" x14ac:dyDescent="0.2">
      <c r="A16" s="422"/>
      <c r="B16" s="17"/>
      <c r="C16" s="490"/>
      <c r="D16" s="17"/>
      <c r="E16" s="17"/>
      <c r="F16" s="17"/>
      <c r="G16" s="24"/>
      <c r="H16" s="24"/>
      <c r="L16" s="24"/>
      <c r="R16" s="462"/>
    </row>
    <row r="17" spans="1:22" ht="12.75" customHeight="1" x14ac:dyDescent="0.2">
      <c r="A17" s="5"/>
      <c r="B17" s="17"/>
      <c r="C17" s="433"/>
      <c r="D17" s="17"/>
      <c r="E17" s="17"/>
      <c r="F17" s="17"/>
      <c r="G17" s="24"/>
      <c r="H17" s="24"/>
      <c r="L17" s="24"/>
      <c r="M17" s="21" t="e">
        <f>M14-C4</f>
        <v>#DIV/0!</v>
      </c>
      <c r="Q17" s="21" t="s">
        <v>561</v>
      </c>
      <c r="S17" s="21" t="e">
        <f>FLOOR($D$4/S8,1)</f>
        <v>#DIV/0!</v>
      </c>
      <c r="T17" s="21" t="e">
        <f>FLOOR($D$4/T8,1)</f>
        <v>#DIV/0!</v>
      </c>
      <c r="U17" s="21" t="e">
        <f>FLOOR($D$4/U8,1)</f>
        <v>#DIV/0!</v>
      </c>
    </row>
    <row r="18" spans="1:22" ht="22.5" customHeight="1" x14ac:dyDescent="0.2">
      <c r="A18" s="422"/>
      <c r="B18" s="17"/>
      <c r="C18" s="433"/>
      <c r="D18" s="17"/>
      <c r="E18" s="17"/>
      <c r="F18" s="17"/>
      <c r="G18" s="24"/>
      <c r="H18" s="24"/>
      <c r="L18" s="24"/>
    </row>
    <row r="19" spans="1:22" ht="14.25" customHeight="1" x14ac:dyDescent="0.2">
      <c r="A19" s="422"/>
      <c r="B19" s="484" t="str">
        <f>texty!A242</f>
        <v>dilatácia 4 mm</v>
      </c>
      <c r="C19" s="119"/>
      <c r="D19" s="17"/>
      <c r="E19" s="17"/>
      <c r="F19" s="17"/>
      <c r="G19" s="24"/>
      <c r="H19" s="24"/>
      <c r="I19" s="638" t="s">
        <v>993</v>
      </c>
      <c r="L19" s="24"/>
    </row>
    <row r="20" spans="1:22" ht="16.5" customHeight="1" x14ac:dyDescent="0.2">
      <c r="A20" s="422"/>
      <c r="B20" s="17"/>
      <c r="C20" s="17"/>
      <c r="E20" s="17"/>
      <c r="F20" s="17"/>
      <c r="G20" s="24"/>
      <c r="H20" s="24"/>
      <c r="I20" s="638"/>
      <c r="L20" s="24"/>
      <c r="M20" s="24"/>
      <c r="R20" s="21" t="s">
        <v>581</v>
      </c>
      <c r="S20" s="21" t="s">
        <v>580</v>
      </c>
      <c r="T20" s="21">
        <v>1700</v>
      </c>
      <c r="U20" s="21">
        <v>2350</v>
      </c>
      <c r="V20" s="21">
        <v>3000</v>
      </c>
    </row>
    <row r="21" spans="1:22" ht="16.5" customHeight="1" x14ac:dyDescent="0.2">
      <c r="A21" s="422"/>
      <c r="B21" s="17"/>
      <c r="C21" s="17"/>
      <c r="D21" s="382"/>
      <c r="E21" s="17"/>
      <c r="F21" s="17"/>
      <c r="G21" s="24"/>
      <c r="H21" s="24"/>
      <c r="I21" s="639" t="s">
        <v>994</v>
      </c>
      <c r="L21" s="24"/>
      <c r="Q21" s="21">
        <v>1</v>
      </c>
      <c r="R21" s="21" t="e">
        <f>S8</f>
        <v>#DIV/0!</v>
      </c>
      <c r="S21" s="21" t="e">
        <f>IF(R21&gt;=D4,1,"")</f>
        <v>#DIV/0!</v>
      </c>
      <c r="T21" s="466" t="e">
        <f>IF(S21=1,1,"")</f>
        <v>#DIV/0!</v>
      </c>
      <c r="U21" s="466"/>
      <c r="V21" s="466"/>
    </row>
    <row r="22" spans="1:22" x14ac:dyDescent="0.2">
      <c r="A22" s="422"/>
      <c r="B22" s="17"/>
      <c r="C22" s="17"/>
      <c r="D22" s="17"/>
      <c r="E22" s="17"/>
      <c r="F22" s="17"/>
      <c r="G22" s="24"/>
      <c r="H22" s="24"/>
      <c r="I22" s="639"/>
      <c r="L22" s="23"/>
      <c r="Q22" s="21">
        <v>2</v>
      </c>
      <c r="R22" s="21" t="e">
        <f>T8</f>
        <v>#DIV/0!</v>
      </c>
      <c r="S22" s="21" t="e">
        <f>IF(R22&gt;=D4,IF(S21=1,"",1),"")</f>
        <v>#DIV/0!</v>
      </c>
      <c r="T22" s="466"/>
      <c r="U22" s="466" t="e">
        <f>IF(S22=1,1,"")</f>
        <v>#DIV/0!</v>
      </c>
      <c r="V22" s="466"/>
    </row>
    <row r="23" spans="1:22" ht="12.75" customHeight="1" x14ac:dyDescent="0.2">
      <c r="A23" s="422"/>
      <c r="B23" s="17"/>
      <c r="C23" s="17"/>
      <c r="D23" s="17"/>
      <c r="E23" s="17"/>
      <c r="F23" s="17"/>
      <c r="G23" s="24"/>
      <c r="H23" s="24"/>
      <c r="Q23" s="21">
        <v>3</v>
      </c>
      <c r="R23" s="21" t="e">
        <f>U8</f>
        <v>#DIV/0!</v>
      </c>
      <c r="S23" s="21" t="e">
        <f>IF(R23&gt;=D4,IF(R22&gt;=D4,"",1),"")</f>
        <v>#DIV/0!</v>
      </c>
      <c r="V23" s="466" t="e">
        <f>IF(S23=1,1,"")</f>
        <v>#DIV/0!</v>
      </c>
    </row>
    <row r="24" spans="1:22" ht="12.75" customHeight="1" x14ac:dyDescent="0.2">
      <c r="A24" s="422"/>
      <c r="B24" s="17"/>
      <c r="C24" s="17"/>
      <c r="D24" s="17"/>
      <c r="E24" s="17"/>
      <c r="F24" s="17"/>
      <c r="G24" s="24"/>
      <c r="H24" s="24"/>
      <c r="L24" s="21" t="str">
        <f>CONCATENATE(N24,"-",$P$7)</f>
        <v>1700-0</v>
      </c>
      <c r="M24" s="24" t="e">
        <f>SUM(T21:T32)</f>
        <v>#DIV/0!</v>
      </c>
      <c r="N24" s="21">
        <v>1700</v>
      </c>
      <c r="P24" s="21" t="s">
        <v>563</v>
      </c>
      <c r="Q24" s="467" t="s">
        <v>564</v>
      </c>
      <c r="R24" s="21" t="e">
        <f>S8+T8</f>
        <v>#DIV/0!</v>
      </c>
      <c r="S24" s="21" t="e">
        <f>IF(R24&gt;=D4,IF(SUM(S21:S23)&gt;0,"",1),"")</f>
        <v>#DIV/0!</v>
      </c>
      <c r="T24" s="466" t="e">
        <f>IF(S24=1,1,"")</f>
        <v>#DIV/0!</v>
      </c>
      <c r="U24" s="466" t="e">
        <f>IF(S24=1,1,"")</f>
        <v>#DIV/0!</v>
      </c>
    </row>
    <row r="25" spans="1:22" ht="12.75" customHeight="1" x14ac:dyDescent="0.2">
      <c r="A25" s="422"/>
      <c r="B25" s="17"/>
      <c r="D25" s="17"/>
      <c r="E25" s="17"/>
      <c r="F25" s="17"/>
      <c r="G25" s="438" t="str">
        <f>+System10!G25</f>
        <v>partnerská zľava:</v>
      </c>
      <c r="H25" s="24"/>
      <c r="L25" s="21" t="str">
        <f>CONCATENATE(N25,"-",$P$7)</f>
        <v>2350-0</v>
      </c>
      <c r="M25" s="24" t="e">
        <f>SUM(U21:U32)</f>
        <v>#DIV/0!</v>
      </c>
      <c r="N25" s="21">
        <v>2350</v>
      </c>
      <c r="Q25" s="21" t="s">
        <v>576</v>
      </c>
      <c r="R25" s="21" t="e">
        <f>T8+T8</f>
        <v>#DIV/0!</v>
      </c>
      <c r="S25" s="21" t="e">
        <f>IF(R25&gt;=D4,IF(SUM(S21:S24)&gt;0,"",1),"")</f>
        <v>#DIV/0!</v>
      </c>
      <c r="U25" s="466" t="e">
        <f>IF(S25=1,2,"")</f>
        <v>#DIV/0!</v>
      </c>
    </row>
    <row r="26" spans="1:22" ht="12.75" customHeight="1" x14ac:dyDescent="0.2">
      <c r="A26" s="427" t="str">
        <f>+System10!$A$26</f>
        <v>Objednávacie kódy, ceny:</v>
      </c>
      <c r="B26" s="17"/>
      <c r="D26" s="17"/>
      <c r="E26" s="17"/>
      <c r="F26" s="17"/>
      <c r="G26" s="374">
        <f>profil!C15</f>
        <v>0</v>
      </c>
      <c r="H26" s="440" t="s">
        <v>57</v>
      </c>
      <c r="L26" s="21" t="str">
        <f>CONCATENATE(N26,"-",$P$7)</f>
        <v>3000-0</v>
      </c>
      <c r="M26" s="24" t="e">
        <f>SUM(V21:V32)</f>
        <v>#DIV/0!</v>
      </c>
      <c r="N26" s="21">
        <v>3000</v>
      </c>
      <c r="O26" s="468"/>
      <c r="Q26" s="21" t="s">
        <v>565</v>
      </c>
      <c r="R26" s="21" t="e">
        <f>S8+U8</f>
        <v>#DIV/0!</v>
      </c>
      <c r="S26" s="21" t="e">
        <f>IF(R26&gt;=D4,IF(SUM(S21:S25)&gt;0,"",1),"")</f>
        <v>#DIV/0!</v>
      </c>
      <c r="T26" s="466" t="e">
        <f>IF(S26=1,1,"")</f>
        <v>#DIV/0!</v>
      </c>
      <c r="V26" s="466" t="e">
        <f>IF(S26=1,1,"")</f>
        <v>#DIV/0!</v>
      </c>
    </row>
    <row r="27" spans="1:22" ht="12.75" customHeight="1" x14ac:dyDescent="0.2">
      <c r="A27" s="422"/>
      <c r="B27" s="19" t="str">
        <f>+System10!B27</f>
        <v>kód</v>
      </c>
      <c r="C27" s="20" t="str">
        <f>+System10!C27</f>
        <v>názov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celkom</v>
      </c>
      <c r="G27" s="20" t="str">
        <f>+System10!G27</f>
        <v>celkom netto:</v>
      </c>
      <c r="H27" s="24"/>
      <c r="I27" s="20" t="str">
        <f>texty!A29</f>
        <v>Poznámka:</v>
      </c>
      <c r="J27" s="18"/>
      <c r="L27" s="24"/>
      <c r="M27" s="21">
        <f>COUNT(M24,M25,M26)</f>
        <v>0</v>
      </c>
      <c r="N27" s="468"/>
      <c r="O27" s="468"/>
      <c r="Q27" s="21" t="s">
        <v>566</v>
      </c>
      <c r="R27" s="21" t="e">
        <f>T8+U8</f>
        <v>#DIV/0!</v>
      </c>
      <c r="S27" s="21" t="e">
        <f>IF(R27&gt;=D4,IF(SUM(S21:S26)&gt;0,"",1),"")</f>
        <v>#DIV/0!</v>
      </c>
      <c r="U27" s="466" t="e">
        <f>IF(S27=1,1,"")</f>
        <v>#DIV/0!</v>
      </c>
      <c r="V27" s="466" t="e">
        <f>IF(S27=1,1,"")</f>
        <v>#DIV/0!</v>
      </c>
    </row>
    <row r="28" spans="1:22" ht="12.75" customHeight="1" x14ac:dyDescent="0.2">
      <c r="A28" s="422" t="str">
        <f>texty!$A$81</f>
        <v>Horný profil:</v>
      </c>
      <c r="B28" s="16" t="e">
        <f>+VLOOKUP(K5,data!$C$196:$D$215,2,0)</f>
        <v>#N/A</v>
      </c>
      <c r="C28" s="25" t="e">
        <f>+VLOOKUP(B28,cennik!$A:$G,2,FALSE)</f>
        <v>#N/A</v>
      </c>
      <c r="D28" s="17">
        <v>1</v>
      </c>
      <c r="E28" s="91" t="e">
        <f>+VLOOKUP(B28,cennik!$A:$G,3,FALSE)</f>
        <v>#N/A</v>
      </c>
      <c r="F28" s="91" t="e">
        <f>+E28*D28</f>
        <v>#N/A</v>
      </c>
      <c r="G28" s="92" t="e">
        <f t="shared" ref="G28:G39" si="1">+F28*(100-$G$26)/100</f>
        <v>#N/A</v>
      </c>
      <c r="H28" s="24" t="str">
        <f>cennik!$B$2</f>
        <v>EUR</v>
      </c>
      <c r="I28" s="469" t="str">
        <f>IFERROR(IF((VLOOKUP(B28,cennik!A:L,12,0))="O",texty!$A$250,""),"")</f>
        <v/>
      </c>
      <c r="J28" s="439" t="e">
        <f>IF(D28&gt;0,IF(VLOOKUP(B28,cennik!A:L,12,FALSE)="O",1,""),"")</f>
        <v>#N/A</v>
      </c>
      <c r="K28" s="191" t="e">
        <f>IF(D28&gt;0,IF(VLOOKUP(B28,cennik!A:L,12,FALSE)="O",1,""),"")</f>
        <v>#N/A</v>
      </c>
      <c r="L28" s="24"/>
      <c r="M28" s="468"/>
      <c r="N28" s="468"/>
      <c r="O28" s="468"/>
      <c r="Q28" s="21" t="s">
        <v>577</v>
      </c>
      <c r="R28" s="21" t="e">
        <f>U8+U8</f>
        <v>#DIV/0!</v>
      </c>
      <c r="S28" s="21" t="e">
        <f>IF(R28&gt;=D4,IF(SUM(S21:S27)&gt;0,"",1),"")</f>
        <v>#DIV/0!</v>
      </c>
      <c r="V28" s="466" t="e">
        <f>IF(S28=1,2,"")</f>
        <v>#DIV/0!</v>
      </c>
    </row>
    <row r="29" spans="1:22" ht="12.75" customHeight="1" x14ac:dyDescent="0.2">
      <c r="A29" s="422" t="str">
        <f>texty!$A$82</f>
        <v>spodný profil:</v>
      </c>
      <c r="B29" s="16" t="e">
        <f>+VLOOKUP(M5,data!$C$4:$D$83,2,0)</f>
        <v>#N/A</v>
      </c>
      <c r="C29" s="25" t="e">
        <f>IF($B$29=data!$D$64,texty!$A$239,+VLOOKUP($B$29,cennik!$A$3:$G$907,2,FALSE))</f>
        <v>#N/A</v>
      </c>
      <c r="D29" s="17">
        <v>1</v>
      </c>
      <c r="E29" s="91" t="e">
        <f>IF(B29=data!$D$73,0,+VLOOKUP(B29,cennik!$A$3:$G$907,3,FALSE))</f>
        <v>#N/A</v>
      </c>
      <c r="F29" s="91" t="e">
        <f>+E29*D29</f>
        <v>#N/A</v>
      </c>
      <c r="G29" s="92" t="e">
        <f t="shared" si="1"/>
        <v>#N/A</v>
      </c>
      <c r="H29" s="24" t="str">
        <f>cennik!$B$2</f>
        <v>EUR</v>
      </c>
      <c r="I29" s="469" t="str">
        <f>IFERROR(IF((VLOOKUP(B29,cennik!A:L,12,0))="O",texty!$A$250,""),"")</f>
        <v/>
      </c>
      <c r="J29" s="439" t="e">
        <f>IF(D29&gt;0,IF(VLOOKUP(B29,cennik!A:L,12,FALSE)="O",1,""),"")</f>
        <v>#N/A</v>
      </c>
      <c r="K29" s="191" t="e">
        <f>IF(D29&gt;0,IF(VLOOKUP(B29,cennik!A:L,12,FALSE)="O",1,""),"")</f>
        <v>#N/A</v>
      </c>
      <c r="L29" s="24" t="s">
        <v>567</v>
      </c>
      <c r="M29" s="21" t="e">
        <f>IF(M24=0,IF(M25=0,L26,L25),L24)</f>
        <v>#DIV/0!</v>
      </c>
      <c r="N29" s="468" t="e">
        <f>IF(M29=L24,M24,IF(M29=L25,M25,IF(M29=L26,M26,"chyba")))</f>
        <v>#DIV/0!</v>
      </c>
      <c r="O29" s="468"/>
      <c r="P29" s="468"/>
      <c r="Q29" s="21" t="s">
        <v>578</v>
      </c>
      <c r="R29" s="21" t="e">
        <f>S8+S8+S8</f>
        <v>#DIV/0!</v>
      </c>
      <c r="S29" s="21" t="e">
        <f>IF(R29&gt;=D4,IF(SUM(S21:S28)&gt;0,"",1),"")</f>
        <v>#DIV/0!</v>
      </c>
      <c r="T29" s="466" t="e">
        <f>IF(S29=1,3,"")</f>
        <v>#DIV/0!</v>
      </c>
    </row>
    <row r="30" spans="1:22" ht="12.75" customHeight="1" x14ac:dyDescent="0.2">
      <c r="A30" s="422" t="str">
        <f>texty!$A$83</f>
        <v>krycí profil (maska):</v>
      </c>
      <c r="B30" s="16" t="e">
        <f>+VLOOKUP(M5,data!$C$105:$D$195,2,0)</f>
        <v>#N/A</v>
      </c>
      <c r="C30" s="25" t="e">
        <f>IF($B$30=data!$D$64,texty!$A$239,+VLOOKUP($B$30,cennik!$A$3:$G$907,2,FALSE))</f>
        <v>#N/A</v>
      </c>
      <c r="D30" s="17">
        <v>1</v>
      </c>
      <c r="E30" s="91" t="e">
        <f>IF(B30=data!$D$73,0,+VLOOKUP(B30,cennik!$A$3:$G$907,3,FALSE))</f>
        <v>#N/A</v>
      </c>
      <c r="F30" s="91" t="e">
        <f>+E30*D30</f>
        <v>#N/A</v>
      </c>
      <c r="G30" s="92" t="e">
        <f t="shared" si="1"/>
        <v>#N/A</v>
      </c>
      <c r="H30" s="24" t="str">
        <f>cennik!$B$2</f>
        <v>EUR</v>
      </c>
      <c r="I30" s="469" t="str">
        <f>IFERROR(IF((VLOOKUP(B30,cennik!A:L,12,0))="O",texty!$A$250,""),"")</f>
        <v/>
      </c>
      <c r="J30" s="439" t="e">
        <f>IF(D30&gt;0,IF(VLOOKUP(B30,cennik!A:L,12,FALSE)="O",1,""),"")</f>
        <v>#N/A</v>
      </c>
      <c r="K30" s="191" t="e">
        <f>IF(D30&gt;0,IF(VLOOKUP(B30,cennik!A:L,12,FALSE)="O",1,""),"")</f>
        <v>#N/A</v>
      </c>
      <c r="L30" s="24" t="s">
        <v>568</v>
      </c>
      <c r="M30" s="21" t="e">
        <f>IF(M29=L26,"jiné",IF(M29=L24,IF(M25&lt;&gt;0,L25,IF(M26&lt;&gt;0,L26,"jiné")),IF(M26&lt;&gt;0,L26,"jiné")))</f>
        <v>#DIV/0!</v>
      </c>
      <c r="N30" s="468" t="e">
        <f>IF(M30=L25,M25,IF(M30=L26,M26,IF(M30=L27,M27,0)))</f>
        <v>#DIV/0!</v>
      </c>
      <c r="O30" s="468"/>
      <c r="P30" s="468"/>
      <c r="Q30" s="21" t="s">
        <v>569</v>
      </c>
      <c r="R30" s="21" t="e">
        <f>S8+2*T8</f>
        <v>#DIV/0!</v>
      </c>
      <c r="S30" s="21" t="e">
        <f>IF(R30&gt;=D4,IF(SUM(S21:S29)&gt;0,"",1),"")</f>
        <v>#DIV/0!</v>
      </c>
      <c r="T30" s="466" t="e">
        <f>IF(S30=1,1,"")</f>
        <v>#DIV/0!</v>
      </c>
      <c r="U30" s="466" t="e">
        <f>IF(S30=1,2,"")</f>
        <v>#DIV/0!</v>
      </c>
    </row>
    <row r="31" spans="1:22" ht="12.75" customHeight="1" x14ac:dyDescent="0.2">
      <c r="A31" s="422" t="str">
        <f>texty!$A$84</f>
        <v>horné vozíky (sady)</v>
      </c>
      <c r="B31" s="16">
        <v>228009</v>
      </c>
      <c r="C31" s="25" t="str">
        <f>+VLOOKUP(B31,cennik!$A:$G,2,FALSE)</f>
        <v>SEVROLL 10204 horný vozík Gemini symetrický 10mm - 2ks</v>
      </c>
      <c r="D31" s="17">
        <f>IF((D49+D50)&gt;D4,0,D4-(D49+D50))</f>
        <v>0</v>
      </c>
      <c r="E31" s="91">
        <f>+VLOOKUP(B31,cennik!$A:$G,3,FALSE)</f>
        <v>5.1322099999999997</v>
      </c>
      <c r="F31" s="91">
        <f t="shared" ref="F31:F39" si="2">+E31*D31</f>
        <v>0</v>
      </c>
      <c r="G31" s="92">
        <f t="shared" si="1"/>
        <v>0</v>
      </c>
      <c r="H31" s="24" t="str">
        <f>cennik!$B$2</f>
        <v>EUR</v>
      </c>
      <c r="I31" s="469" t="str">
        <f>IFERROR(IF((VLOOKUP(B31,cennik!A:L,12,0))="O",texty!$A$250,""),"")</f>
        <v/>
      </c>
      <c r="J31" s="439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68"/>
      <c r="N31" s="468"/>
      <c r="O31" s="468"/>
      <c r="P31" s="468"/>
      <c r="Q31" s="21" t="s">
        <v>579</v>
      </c>
      <c r="R31" s="21" t="e">
        <f>T8+T8+T8</f>
        <v>#DIV/0!</v>
      </c>
      <c r="S31" s="21" t="e">
        <f>IF(R31&gt;=D4,IF(SUM(S21:S30)&gt;0,"",1),"")</f>
        <v>#DIV/0!</v>
      </c>
      <c r="U31" s="466" t="e">
        <f>IF(S31=1,3,"")</f>
        <v>#DIV/0!</v>
      </c>
    </row>
    <row r="32" spans="1:22" ht="12.75" customHeight="1" x14ac:dyDescent="0.2">
      <c r="A32" s="422" t="str">
        <f>texty!$A$85</f>
        <v>spodné vozíky (sada)</v>
      </c>
      <c r="B32" s="16">
        <f>IF(F4=M70,328321,229441)</f>
        <v>229441</v>
      </c>
      <c r="C32" s="25" t="str">
        <f>+VLOOKUP(B32,cennik!$A:$G,2,FALSE)</f>
        <v>SEVROLL 10200 spodný vozík WD 10C HI-TEC - 2ks</v>
      </c>
      <c r="D32" s="17">
        <f>+D4</f>
        <v>0</v>
      </c>
      <c r="E32" s="91">
        <f>+VLOOKUP(B32,cennik!$A:$G,3,FALSE)</f>
        <v>6.5952500000000001</v>
      </c>
      <c r="F32" s="91">
        <f t="shared" si="2"/>
        <v>0</v>
      </c>
      <c r="G32" s="92">
        <f t="shared" si="1"/>
        <v>0</v>
      </c>
      <c r="H32" s="24" t="str">
        <f>cennik!$B$2</f>
        <v>EUR</v>
      </c>
      <c r="I32" s="469" t="str">
        <f>IFERROR(IF((VLOOKUP(B32,cennik!A:L,12,0))="O",texty!$A$250,""),"")</f>
        <v/>
      </c>
      <c r="J32" s="439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68"/>
      <c r="N32" s="468"/>
      <c r="O32" s="468"/>
      <c r="P32" s="468"/>
      <c r="Q32" s="21" t="s">
        <v>570</v>
      </c>
      <c r="R32" s="21" t="e">
        <f>S8+2*U8</f>
        <v>#DIV/0!</v>
      </c>
      <c r="S32" s="21" t="e">
        <f>IF(R32&gt;=D4,IF(SUM(S21:S31)&gt;0,"",1),"")</f>
        <v>#DIV/0!</v>
      </c>
      <c r="T32" s="466" t="e">
        <f>IF(S32=1,1,"")</f>
        <v>#DIV/0!</v>
      </c>
      <c r="V32" s="466" t="e">
        <f>IF(S32=1,2,"")</f>
        <v>#DIV/0!</v>
      </c>
    </row>
    <row r="33" spans="1:16" ht="12.75" customHeight="1" x14ac:dyDescent="0.2">
      <c r="A33" s="422" t="str">
        <f>+System10!$A$33</f>
        <v>dorazový kartáč</v>
      </c>
      <c r="B33" s="16">
        <v>98067</v>
      </c>
      <c r="C33" s="25" t="str">
        <f>+VLOOKUP(B33,cennik!$A:$G,2,FALSE)</f>
        <v>SEVROLL dorazová kefa zásuvná 14x4mm sivá</v>
      </c>
      <c r="D33" s="17">
        <f>CEILING((B4*D4*2/1000),1)</f>
        <v>0</v>
      </c>
      <c r="E33" s="91">
        <f>+VLOOKUP(B33,cennik!$A:$G,3,FALSE)</f>
        <v>0.19361999999999999</v>
      </c>
      <c r="F33" s="91">
        <f t="shared" si="2"/>
        <v>0</v>
      </c>
      <c r="G33" s="92">
        <f t="shared" si="1"/>
        <v>0</v>
      </c>
      <c r="H33" s="24" t="str">
        <f>cennik!$B$2</f>
        <v>EUR</v>
      </c>
      <c r="I33" s="469" t="str">
        <f>IFERROR(IF((VLOOKUP(B33,cennik!A:L,12,0))="O",texty!$A$250,""),"")</f>
        <v/>
      </c>
      <c r="J33" s="439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6" ht="12.75" customHeight="1" x14ac:dyDescent="0.2">
      <c r="A34" s="422" t="str">
        <f>+System10!$A$34</f>
        <v>úchytková lišta</v>
      </c>
      <c r="B34" s="563" t="e">
        <f>+VLOOKUP(P7,data!$C$488:$D$489,2,0)</f>
        <v>#N/A</v>
      </c>
      <c r="C34" s="25" t="e">
        <f>+VLOOKUP(B34,cennik!$A:$G,2,FALSE)</f>
        <v>#N/A</v>
      </c>
      <c r="D34" s="17">
        <f>IF(B12&lt;=1347,D4*2/2,D4*2)</f>
        <v>0</v>
      </c>
      <c r="E34" s="91" t="e">
        <f>+VLOOKUP(B34,cennik!$A:$G,3,FALSE)</f>
        <v>#N/A</v>
      </c>
      <c r="F34" s="91" t="e">
        <f t="shared" si="2"/>
        <v>#N/A</v>
      </c>
      <c r="G34" s="92" t="e">
        <f t="shared" si="1"/>
        <v>#N/A</v>
      </c>
      <c r="H34" s="24" t="str">
        <f>cennik!$B$2</f>
        <v>EUR</v>
      </c>
      <c r="I34" s="469" t="str">
        <f>IFERROR(IF((VLOOKUP(B34,cennik!A:L,12,0))="O",texty!$A$250,""),"")</f>
        <v/>
      </c>
      <c r="J34" s="439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6" ht="12.75" customHeight="1" x14ac:dyDescent="0.2">
      <c r="A35" s="422" t="str">
        <f>+System10!$A$35</f>
        <v>spojovacia skrutka</v>
      </c>
      <c r="B35" s="24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 t="shared" si="2"/>
        <v>0</v>
      </c>
      <c r="G35" s="92">
        <f t="shared" si="1"/>
        <v>0</v>
      </c>
      <c r="H35" s="24" t="str">
        <f>cennik!$B$2</f>
        <v>EUR</v>
      </c>
      <c r="I35" s="469" t="str">
        <f>IFERROR(IF((VLOOKUP(B35,cennik!A:L,12,0))="O",texty!$A$250,""),"")</f>
        <v/>
      </c>
      <c r="J35" s="439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6" ht="12.75" customHeight="1" x14ac:dyDescent="0.2">
      <c r="A36" s="422" t="str">
        <f>+System10!$A$36</f>
        <v>horný profil rámu (vodiaca lišta)</v>
      </c>
      <c r="B36" s="16" t="e">
        <f>+VLOOKUP(M29,data!C305:D322,2,0)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24" t="str">
        <f>cennik!$B$2</f>
        <v>EUR</v>
      </c>
      <c r="I36" s="469" t="str">
        <f>IFERROR(IF((VLOOKUP(B36,cennik!A:L,12,0))="O",texty!$A$250,""),"")</f>
        <v/>
      </c>
      <c r="J36" s="439" t="e">
        <f>IF(D36&gt;0,IF(VLOOKUP(B36,cennik!A:L,12,FALSE)="O",1,""),"")</f>
        <v>#DIV/0!</v>
      </c>
      <c r="K36" s="191" t="e">
        <f>IF(D36&gt;0,IF(VLOOKUP(B36,cennik!A:L,12,FALSE)="O",1,""),"")</f>
        <v>#DIV/0!</v>
      </c>
      <c r="L36" s="23">
        <f>+System10!L22</f>
        <v>0</v>
      </c>
    </row>
    <row r="37" spans="1:16" ht="12.75" customHeight="1" x14ac:dyDescent="0.2">
      <c r="A37" s="422" t="str">
        <f>+System10!$A$36</f>
        <v>horný profil rámu (vodiaca lišta)</v>
      </c>
      <c r="B37" s="16" t="e">
        <f>IF(M30="jiné","",+VLOOKUP(M30,data!C304:D321,2,0))</f>
        <v>#DIV/0!</v>
      </c>
      <c r="C37" s="446" t="e">
        <f>IF(M30&lt;&gt;"jiné",+VLOOKUP(B37,cennik!$A:$G,2,FALSE),texty!$A$2)</f>
        <v>#DIV/0!</v>
      </c>
      <c r="D37" s="64" t="e">
        <f>N30</f>
        <v>#DIV/0!</v>
      </c>
      <c r="E37" s="447" t="e">
        <f>IF(M30&lt;&gt;"jiné",+VLOOKUP(B37,cennik!$A$3:$G$701,3,FALSE),0)</f>
        <v>#DIV/0!</v>
      </c>
      <c r="F37" s="91" t="e">
        <f t="shared" si="2"/>
        <v>#DIV/0!</v>
      </c>
      <c r="G37" s="92" t="e">
        <f t="shared" si="1"/>
        <v>#DIV/0!</v>
      </c>
      <c r="H37" s="24" t="str">
        <f>cennik!$B$2</f>
        <v>EUR</v>
      </c>
      <c r="I37" s="469" t="str">
        <f>IFERROR(IF((VLOOKUP(B37,cennik!A:L,12,0))="O",texty!$A$250,""),"")</f>
        <v/>
      </c>
      <c r="J37" s="439" t="e">
        <f>IF(D37&gt;0,IF(VLOOKUP(B37,cennik!A:L,12,FALSE)="O",1,""),"")</f>
        <v>#DIV/0!</v>
      </c>
      <c r="K37" s="191" t="e">
        <f>IF(D37&gt;0,IF(VLOOKUP(B37,cennik!A:L,12,FALSE)="O",1,""),"")</f>
        <v>#DIV/0!</v>
      </c>
      <c r="L37" s="23"/>
    </row>
    <row r="38" spans="1:16" ht="12.75" customHeight="1" x14ac:dyDescent="0.2">
      <c r="A38" s="422" t="str">
        <f>+System10!A38</f>
        <v>horizontálny spodný profil rámu</v>
      </c>
      <c r="B38" s="24" t="e">
        <f>+VLOOKUP(M29,data!$C$370:$D$384,2,0)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24" t="str">
        <f>cennik!$B$2</f>
        <v>EUR</v>
      </c>
      <c r="I38" s="469" t="str">
        <f>IFERROR(IF((VLOOKUP(B38,cennik!A:L,12,0))="O",texty!$A$250,""),"")</f>
        <v/>
      </c>
      <c r="J38" s="439" t="e">
        <f>IF(D38&gt;0,IF(VLOOKUP(B38,cennik!A:L,12,FALSE)="O",1,""),"")</f>
        <v>#DIV/0!</v>
      </c>
      <c r="K38" s="191" t="e">
        <f>IF(D38&gt;0,IF(VLOOKUP(B38,cennik!A:L,12,FALSE)="O",1,""),"")</f>
        <v>#DIV/0!</v>
      </c>
      <c r="L38" s="23" t="str">
        <f>+System10!L24</f>
        <v>1700-0</v>
      </c>
    </row>
    <row r="39" spans="1:16" ht="12.75" customHeight="1" x14ac:dyDescent="0.2">
      <c r="A39" s="422" t="str">
        <f>+System10!A39</f>
        <v>horizontálny spodný profil rámu</v>
      </c>
      <c r="B39" s="16" t="e">
        <f>IF(M30&lt;&gt;"jiné",+VLOOKUP(M30,data!$C$370:$D$384,2,0),"")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47" t="e">
        <f>IF(M30&lt;&gt;"jiné",+VLOOKUP(B39,cennik!$A$3:$G$701,3,FALSE),0)</f>
        <v>#DIV/0!</v>
      </c>
      <c r="F39" s="91" t="e">
        <f t="shared" si="2"/>
        <v>#DIV/0!</v>
      </c>
      <c r="G39" s="92" t="e">
        <f t="shared" si="1"/>
        <v>#DIV/0!</v>
      </c>
      <c r="H39" s="24" t="str">
        <f>cennik!$B$2</f>
        <v>EUR</v>
      </c>
      <c r="I39" s="469" t="str">
        <f>IFERROR(IF((VLOOKUP(B39,cennik!A:L,12,0))="O",texty!$A$250,""),"")</f>
        <v/>
      </c>
      <c r="J39" s="439" t="e">
        <f>IF(D39&gt;0,IF(VLOOKUP(B39,cennik!A:L,12,FALSE)="O",1,""),"")</f>
        <v>#DIV/0!</v>
      </c>
      <c r="K39" s="191" t="e">
        <f>IF(D39&gt;0,IF(VLOOKUP(B39,cennik!A:L,12,FALSE)="O",1,""),"")</f>
        <v>#DIV/0!</v>
      </c>
      <c r="L39" s="23"/>
    </row>
    <row r="40" spans="1:16" ht="12.75" customHeight="1" x14ac:dyDescent="0.2">
      <c r="E40" s="361"/>
      <c r="F40" s="361"/>
      <c r="G40" s="361"/>
      <c r="H40" s="24"/>
      <c r="I40" s="469" t="str">
        <f>IFERROR(IF((VLOOKUP(B40,cennik!A:L,12,0))="O",texty!$A$250,""),"")</f>
        <v/>
      </c>
      <c r="J40" s="439" t="str">
        <f>IF(D40&gt;0,IF(VLOOKUP(B40,cennik!A:L,12,FALSE)="O",1,""),"")</f>
        <v/>
      </c>
      <c r="K40" s="191"/>
      <c r="L40" s="23"/>
    </row>
    <row r="41" spans="1:16" ht="12.75" customHeight="1" x14ac:dyDescent="0.2">
      <c r="A41" s="427" t="str">
        <f>texty!$A$66</f>
        <v>Voliteľné príslušenstvo:</v>
      </c>
      <c r="B41" s="16"/>
      <c r="D41" s="448" t="str">
        <f>+System10!D41</f>
        <v>zadajte počet:</v>
      </c>
      <c r="E41" s="91"/>
      <c r="F41" s="91"/>
      <c r="G41" s="361"/>
      <c r="H41" s="24"/>
      <c r="I41" s="469" t="str">
        <f>IFERROR(IF((VLOOKUP(B41,cennik!A:L,12,0))="O",texty!$A$250,""),"")</f>
        <v/>
      </c>
      <c r="J41" s="439"/>
      <c r="K41" s="191"/>
      <c r="L41" s="23"/>
    </row>
    <row r="42" spans="1:16" ht="12.75" customHeight="1" x14ac:dyDescent="0.2">
      <c r="A42" s="422" t="str">
        <f>texty!A88</f>
        <v>pozicionér do horného vedenia</v>
      </c>
      <c r="B42" s="16">
        <v>298035</v>
      </c>
      <c r="C42" s="25" t="str">
        <f>+VLOOKUP(B42,cennik!$A:$G,2,FALSE)</f>
        <v>SEVROLL 20326 Fix pozicionér pre horný vozík transparentný</v>
      </c>
      <c r="D42" s="373"/>
      <c r="E42" s="91">
        <f>+VLOOKUP(B42,cennik!$A:$G,3,FALSE)</f>
        <v>1.0837300000000001</v>
      </c>
      <c r="F42" s="96">
        <f t="shared" ref="F42:F50" si="3">+CEILING(D42,1)*E42</f>
        <v>0</v>
      </c>
      <c r="G42" s="92">
        <f t="shared" ref="G42:G54" si="4">+F42*(100-$G$26)/100</f>
        <v>0</v>
      </c>
      <c r="H42" s="24" t="str">
        <f>cennik!$B$2</f>
        <v>EUR</v>
      </c>
      <c r="I42" s="469" t="str">
        <f>IFERROR(IF((VLOOKUP(B42,cennik!A:L,12,0))="O",texty!$A$250,""),"")</f>
        <v/>
      </c>
      <c r="J42" s="439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6" ht="12.75" customHeight="1" x14ac:dyDescent="0.2">
      <c r="A43" s="422" t="str">
        <f>+System10!$A$43</f>
        <v xml:space="preserve">pozicionér </v>
      </c>
      <c r="B43" s="16">
        <f>IF(F4="Gemini",387424,89063)</f>
        <v>89063</v>
      </c>
      <c r="C43" s="25" t="str">
        <f>+VLOOKUP(B43,cennik!$A:$G,2,FALSE)</f>
        <v>SEVROLL 20080 pozicionér spodného vozíka HI-TEC</v>
      </c>
      <c r="D43" s="373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24" t="str">
        <f>cennik!$B$2</f>
        <v>EUR</v>
      </c>
      <c r="I43" s="469" t="str">
        <f>IFERROR(IF((VLOOKUP(B43,cennik!A:L,12,0))="O",texty!$A$250,""),"")</f>
        <v/>
      </c>
      <c r="J43" s="439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6" ht="12.75" customHeight="1" x14ac:dyDescent="0.2">
      <c r="A44" s="422" t="str">
        <f>texty!$A$228</f>
        <v> Tlmič dorazu MINI do 25 kg (pár)</v>
      </c>
      <c r="B44" s="16">
        <v>318662</v>
      </c>
      <c r="C44" s="25" t="str">
        <f>+VLOOKUP(B44,cennik!$A:$G,2,FALSE)</f>
        <v>SEVROLL 20368-SV tlmič dorazu Mini SV25 (14-25kg)</v>
      </c>
      <c r="D44" s="373"/>
      <c r="E44" s="91">
        <f>+VLOOKUP(B44,cennik!$A:$G,3,FALSE)</f>
        <v>22.75825</v>
      </c>
      <c r="F44" s="96">
        <f t="shared" si="3"/>
        <v>0</v>
      </c>
      <c r="G44" s="92">
        <f t="shared" si="4"/>
        <v>0</v>
      </c>
      <c r="H44" s="24" t="str">
        <f>cennik!$B$2</f>
        <v>EUR</v>
      </c>
      <c r="I44" s="469" t="str">
        <f>IFERROR(IF((VLOOKUP(B44,cennik!A:L,12,0))="O",texty!$A$250,""),"")</f>
        <v/>
      </c>
      <c r="J44" s="439" t="str">
        <f>IF(D44&gt;0,IF(VLOOKUP(B44,cennik!A:L,12,FALSE)="O",1,""),"")</f>
        <v/>
      </c>
      <c r="K44" s="191" t="str">
        <f>IF(D44&gt;0,IF(VLOOKUP(B44,cennik!A:L,12,FALSE)="O",1,""),"")</f>
        <v/>
      </c>
      <c r="L44" s="24"/>
      <c r="N44" s="468"/>
      <c r="P44" s="468"/>
    </row>
    <row r="45" spans="1:16" ht="12.75" customHeight="1" x14ac:dyDescent="0.2">
      <c r="A45" s="422" t="str">
        <f>texty!$A$229</f>
        <v> Tlmič dorazu MINI do 40 kg (pár)</v>
      </c>
      <c r="B45" s="24">
        <v>283956</v>
      </c>
      <c r="C45" s="25" t="str">
        <f>+VLOOKUP(B45,cennik!$A:$G,2,FALSE)</f>
        <v>SEVROLL 20258-SV tlmič dorazu Mini SV40 (25 - 40kg)</v>
      </c>
      <c r="D45" s="373"/>
      <c r="E45" s="91">
        <f>+VLOOKUP(B45,cennik!$A:$G,3,FALSE)</f>
        <v>22.75825</v>
      </c>
      <c r="F45" s="96">
        <f t="shared" si="3"/>
        <v>0</v>
      </c>
      <c r="G45" s="92">
        <f t="shared" si="4"/>
        <v>0</v>
      </c>
      <c r="H45" s="24" t="str">
        <f>cennik!$B$2</f>
        <v>EUR</v>
      </c>
      <c r="I45" s="469" t="str">
        <f>IFERROR(IF((VLOOKUP(B45,cennik!A:L,12,0))="O",texty!$A$250,""),"")</f>
        <v/>
      </c>
      <c r="J45" s="439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6" ht="12.75" customHeight="1" x14ac:dyDescent="0.2">
      <c r="A46" s="422" t="str">
        <f>texty!$A$230</f>
        <v> Tlmič dorazu MINI do 60 kg (pár)</v>
      </c>
      <c r="B46" s="24">
        <v>351743</v>
      </c>
      <c r="C46" s="25" t="str">
        <f>+VLOOKUP(B46,cennik!$A:$G,2,FALSE)</f>
        <v>SEVROLL 20339-SV tlmič dorazu Mini SV60 (40 - 60kg)</v>
      </c>
      <c r="D46" s="373"/>
      <c r="E46" s="91">
        <f>+VLOOKUP(B46,cennik!$A:$G,3,FALSE)</f>
        <v>22.75825</v>
      </c>
      <c r="F46" s="96">
        <f t="shared" si="3"/>
        <v>0</v>
      </c>
      <c r="G46" s="92">
        <f t="shared" si="4"/>
        <v>0</v>
      </c>
      <c r="H46" s="24" t="str">
        <f>cennik!$B$2</f>
        <v>EUR</v>
      </c>
      <c r="I46" s="469" t="str">
        <f>IFERROR(IF((VLOOKUP(B46,cennik!A:L,12,0))="O",texty!$A$250,""),"")</f>
        <v/>
      </c>
      <c r="J46" s="439" t="str">
        <f>IF(D46&gt;0,IF(VLOOKUP(B46,cennik!A:L,12,FALSE)="O",1,""),"")</f>
        <v/>
      </c>
      <c r="K46" s="191" t="str">
        <f>IF(D46&gt;0,IF(VLOOKUP(B46,cennik!A:L,12,FALSE)="O",1,""),"")</f>
        <v/>
      </c>
    </row>
    <row r="47" spans="1:16" ht="12.75" customHeight="1" x14ac:dyDescent="0.2">
      <c r="A47" s="422" t="str">
        <f>texty!$A$231</f>
        <v> Tlmič pre stredné krídlo do 25 kg</v>
      </c>
      <c r="B47" s="24">
        <v>318663</v>
      </c>
      <c r="C47" s="25" t="str">
        <f>+VLOOKUP(B47,cennik!$A:$G,2,FALSE)</f>
        <v>SEVROLL 20363-SV tlmič Central 10/18mm obojstranný 25kg</v>
      </c>
      <c r="D47" s="373"/>
      <c r="E47" s="91">
        <f>+VLOOKUP(B47,cennik!$A:$G,3,FALSE)</f>
        <v>48.741869999999999</v>
      </c>
      <c r="F47" s="96">
        <f t="shared" si="3"/>
        <v>0</v>
      </c>
      <c r="G47" s="92">
        <f t="shared" si="4"/>
        <v>0</v>
      </c>
      <c r="H47" s="24" t="str">
        <f>cennik!$B$2</f>
        <v>EUR</v>
      </c>
      <c r="I47" s="469" t="str">
        <f>IFERROR(IF((VLOOKUP(B47,cennik!A:L,12,0))="O",texty!$A$250,""),"")</f>
        <v/>
      </c>
      <c r="J47" s="439" t="str">
        <f>IF(D47&gt;0,IF(VLOOKUP(B47,cennik!A:L,12,FALSE)="O",1,""),"")</f>
        <v/>
      </c>
      <c r="K47" s="191" t="str">
        <f>IF(D47&gt;0,IF(VLOOKUP(B47,cennik!A:L,12,FALSE)="O",1,""),"")</f>
        <v/>
      </c>
    </row>
    <row r="48" spans="1:16" ht="12.75" customHeight="1" x14ac:dyDescent="0.2">
      <c r="A48" s="422" t="str">
        <f>texty!$A$232</f>
        <v> Tlmič pre stredné krídlo do 40 kg</v>
      </c>
      <c r="B48" s="24">
        <v>283955</v>
      </c>
      <c r="C48" s="25" t="str">
        <f>+VLOOKUP(B48,cennik!$A:$G,2,FALSE)</f>
        <v>SEVROLL 20319-SV tlmič Central 10/18mm obojstranný 25-40kg</v>
      </c>
      <c r="D48" s="373"/>
      <c r="E48" s="91">
        <f>+VLOOKUP(B48,cennik!$A:$G,3,FALSE)</f>
        <v>48.741869999999999</v>
      </c>
      <c r="F48" s="96">
        <f t="shared" si="3"/>
        <v>0</v>
      </c>
      <c r="G48" s="92">
        <f t="shared" si="4"/>
        <v>0</v>
      </c>
      <c r="H48" s="24" t="str">
        <f>cennik!$B$2</f>
        <v>EUR</v>
      </c>
      <c r="I48" s="469" t="str">
        <f>IFERROR(IF((VLOOKUP(B48,cennik!A:L,12,0))="O",texty!$A$250,""),"")</f>
        <v/>
      </c>
      <c r="J48" s="439" t="str">
        <f>IF(D48&gt;0,IF(VLOOKUP(B48,cennik!A:L,12,FALSE)="O",1,""),"")</f>
        <v/>
      </c>
      <c r="K48" s="191" t="str">
        <f>IF(D48&gt;0,IF(VLOOKUP(B48,cennik!A:L,12,FALSE)="O",1,""),"")</f>
        <v/>
      </c>
    </row>
    <row r="49" spans="1:12" ht="12.75" customHeight="1" x14ac:dyDescent="0.2">
      <c r="A49" s="422" t="str">
        <f>texty!A97</f>
        <v>tlmič dorazu (pár) 25 kg</v>
      </c>
      <c r="B49" s="24">
        <v>227185</v>
      </c>
      <c r="C49" s="25" t="str">
        <f>+VLOOKUP(B49,cennik!$A:$G,2,FALSE)</f>
        <v>K-SEVROLL tlmič dorazu 10/18mm 14-25kg L+P</v>
      </c>
      <c r="D49" s="373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24" t="str">
        <f>cennik!$B$2</f>
        <v>EUR</v>
      </c>
      <c r="I49" s="469" t="str">
        <f>IFERROR(IF((VLOOKUP(B49,cennik!A:L,12,0))="O",texty!$A$250,""),"")</f>
        <v/>
      </c>
      <c r="J49" s="439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">
      <c r="A50" s="422" t="str">
        <f>texty!A98</f>
        <v>tlmič dorazu (pár) 50 kg</v>
      </c>
      <c r="B50" s="24">
        <v>227187</v>
      </c>
      <c r="C50" s="25" t="str">
        <f>+VLOOKUP(B50,cennik!$A:$G,2,FALSE)</f>
        <v>K-SEVROLL tlmič dorazu 10/18mm 25-50kg L+P</v>
      </c>
      <c r="D50" s="373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EUR</v>
      </c>
      <c r="I50" s="469" t="str">
        <f>IFERROR(IF((VLOOKUP(B50,cennik!A:L,12,0))="O",texty!$A$250,""),"")</f>
        <v/>
      </c>
      <c r="J50" s="439" t="str">
        <f>IF(D50&gt;0,IF(VLOOKUP(B50,cennik!A:L,12,FALSE)="O",1,""),"")</f>
        <v/>
      </c>
      <c r="K50" s="191" t="str">
        <f>IF(D50&gt;0,IF(VLOOKUP(B50,cennik!A:L,12,FALSE)="O",1,""),"")</f>
        <v/>
      </c>
      <c r="L50" s="24"/>
    </row>
    <row r="51" spans="1:12" ht="12.75" customHeight="1" x14ac:dyDescent="0.2">
      <c r="A51" s="422" t="str">
        <f>texty!A100</f>
        <v>spojovací profil H10-3metre</v>
      </c>
      <c r="B51" s="16" t="e">
        <f>+VLOOKUP(P7,data!C457:D459,2,0)</f>
        <v>#N/A</v>
      </c>
      <c r="C51" s="25" t="e">
        <f>+VLOOKUP(B51,cennik!$A:$G,2,FALSE)</f>
        <v>#N/A</v>
      </c>
      <c r="D51" s="459"/>
      <c r="E51" s="91" t="e">
        <f>+VLOOKUP(B51,cennik!$A:$G,3,FALSE)</f>
        <v>#N/A</v>
      </c>
      <c r="F51" s="91" t="e">
        <f>+E51*D51</f>
        <v>#N/A</v>
      </c>
      <c r="G51" s="92" t="e">
        <f t="shared" si="4"/>
        <v>#N/A</v>
      </c>
      <c r="H51" s="24" t="str">
        <f>cennik!$B$2</f>
        <v>EUR</v>
      </c>
      <c r="I51" s="469" t="str">
        <f>IFERROR(IF((VLOOKUP(B51,cennik!A:L,12,0))="O",texty!$A$250,""),"")</f>
        <v/>
      </c>
      <c r="J51" s="439" t="str">
        <f>IF(D51&gt;0,IF(VLOOKUP(B51,cennik!A:L,12,FALSE)="O",1,""),"")</f>
        <v/>
      </c>
      <c r="K51" s="191" t="str">
        <f>IF(D51&gt;0,IF(VLOOKUP(B51,cennik!A:L,12,FALSE)="O",1,""),"")</f>
        <v/>
      </c>
      <c r="L51" s="24"/>
    </row>
    <row r="52" spans="1:12" ht="12.75" customHeight="1" x14ac:dyDescent="0.2">
      <c r="A52" s="422" t="str">
        <f>texty!A101</f>
        <v>spojovací profil H30-3metre</v>
      </c>
      <c r="B52" s="17" t="e">
        <f>+VLOOKUP(P7,data!C468:D470,2,0)</f>
        <v>#N/A</v>
      </c>
      <c r="C52" s="25" t="e">
        <f>IF($B$52=data!$D$64,texty!$A$239,+VLOOKUP($B$52,cennik!$A$3:$G$907,2,FALSE))</f>
        <v>#N/A</v>
      </c>
      <c r="D52" s="459"/>
      <c r="E52" s="91" t="e">
        <f>IF(B52=data!$D$73,0,+VLOOKUP(B52,cennik!$A$3:$G$907,3,FALSE))</f>
        <v>#N/A</v>
      </c>
      <c r="F52" s="91" t="e">
        <f>+E52*D52</f>
        <v>#N/A</v>
      </c>
      <c r="G52" s="92" t="e">
        <f t="shared" si="4"/>
        <v>#N/A</v>
      </c>
      <c r="H52" s="24" t="str">
        <f>cennik!$B$2</f>
        <v>EUR</v>
      </c>
      <c r="I52" s="469" t="str">
        <f>IFERROR(IF((VLOOKUP(B52,cennik!A:L,12,0))="O",texty!$A$250,""),"")</f>
        <v/>
      </c>
      <c r="J52" s="439" t="str">
        <f>IF(D52&gt;0,IF(VLOOKUP(B52,cennik!A:L,12,FALSE)="O",1,""),"")</f>
        <v/>
      </c>
      <c r="K52" s="191" t="str">
        <f>IF(D52&gt;0,IF(VLOOKUP(B52,cennik!A:L,12,FALSE)="O",1,""),"")</f>
        <v/>
      </c>
      <c r="L52" s="24"/>
    </row>
    <row r="53" spans="1:12" ht="12.75" customHeight="1" x14ac:dyDescent="0.2">
      <c r="A53" s="422" t="str">
        <f>texty!$A$92</f>
        <v>spojovacia skrutka</v>
      </c>
      <c r="B53" s="16">
        <v>89244</v>
      </c>
      <c r="C53" s="25" t="str">
        <f>+VLOOKUP(B53,cennik!$A:$G,2,FALSE)</f>
        <v>SEVROLL 20001 skrutkovrut 6,3x32 SEVROLL a Simple</v>
      </c>
      <c r="D53" s="459"/>
      <c r="E53" s="91">
        <f>+VLOOKUP(B53,cennik!$A:$G,3,FALSE)</f>
        <v>0.15482000000000001</v>
      </c>
      <c r="F53" s="91">
        <f>+E53*D53</f>
        <v>0</v>
      </c>
      <c r="G53" s="92">
        <f t="shared" si="4"/>
        <v>0</v>
      </c>
      <c r="H53" s="24" t="str">
        <f>cennik!$B$2</f>
        <v>EUR</v>
      </c>
      <c r="I53" s="469" t="str">
        <f>IFERROR(IF((VLOOKUP(B53,cennik!A:L,12,0))="O",texty!$A$250,""),"")</f>
        <v/>
      </c>
      <c r="J53" s="439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">
      <c r="A54" s="422" t="str">
        <f>texty!A240</f>
        <v>zámok posuvných dverí</v>
      </c>
      <c r="B54" s="17">
        <v>216363</v>
      </c>
      <c r="C54" s="25" t="str">
        <f>+VLOOKUP(B54,cennik!$A:$G,2,FALSE)</f>
        <v>SEVROLL 20356 zámok na posuvné dvere 10/18mm</v>
      </c>
      <c r="D54" s="459"/>
      <c r="E54" s="91">
        <f>+VLOOKUP(B54,cennik!$A:$G,3,FALSE)</f>
        <v>15.72176</v>
      </c>
      <c r="F54" s="91">
        <f>+E54*D54</f>
        <v>0</v>
      </c>
      <c r="G54" s="92">
        <f t="shared" si="4"/>
        <v>0</v>
      </c>
      <c r="H54" s="24" t="str">
        <f>cennik!$B$2</f>
        <v>EUR</v>
      </c>
      <c r="I54" s="469" t="str">
        <f>IFERROR(IF((VLOOKUP(B54,cennik!A:L,12,0))="O",texty!$A$250,""),"")</f>
        <v/>
      </c>
      <c r="J54" s="439" t="str">
        <f>IF(D54&gt;0,IF(VLOOKUP(B54,cennik!A:L,12,FALSE)="O",1,""),"")</f>
        <v/>
      </c>
      <c r="K54" s="191" t="str">
        <f>IF(D54&gt;0,IF(VLOOKUP(B54,cennik!A:L,12,FALSE)="O",1,""),"")</f>
        <v/>
      </c>
    </row>
    <row r="55" spans="1:12" ht="12.75" customHeight="1" x14ac:dyDescent="0.2">
      <c r="I55" s="469" t="str">
        <f>IFERROR(IF((VLOOKUP(B55,cennik!A:L,12,0))="O",texty!$A$250,""),"")</f>
        <v/>
      </c>
      <c r="J55" s="439"/>
      <c r="K55" s="191"/>
    </row>
    <row r="56" spans="1:12" ht="12.75" customHeight="1" x14ac:dyDescent="0.2">
      <c r="A56" s="429" t="e">
        <f>CONCATENATE(texty!$A$6,ROUND((C13/1000),1),texty!$A$8)</f>
        <v>#DIV/0!</v>
      </c>
      <c r="B56" s="42"/>
      <c r="C56" s="43"/>
      <c r="D56" s="42"/>
      <c r="E56" s="97"/>
      <c r="F56" s="97"/>
      <c r="G56" s="98"/>
      <c r="H56" s="24"/>
      <c r="I56" s="469" t="str">
        <f>IFERROR(IF((VLOOKUP(B56,cennik!A:L,12,0))="O",texty!$A$250,""),"")</f>
        <v/>
      </c>
      <c r="J56" s="439" t="str">
        <f>IF(D56&gt;0,IF(VLOOKUP(B56,cennik!A:L,12,FALSE)="O",1,""),"")</f>
        <v/>
      </c>
      <c r="K56" s="191"/>
    </row>
    <row r="57" spans="1:12" ht="12.75" customHeight="1" x14ac:dyDescent="0.2">
      <c r="C57" s="449" t="str">
        <f>texty!$A$10</f>
        <v>Potrebná dĺžka tesnenia pri celkovom presklení (nutné objednať celé metre)</v>
      </c>
      <c r="D57" s="439" t="e">
        <f>CEILING(((B9+C9)*2/1000*D4),1)</f>
        <v>#DIV/0!</v>
      </c>
      <c r="E57" s="361"/>
      <c r="F57" s="361"/>
      <c r="G57" s="361"/>
      <c r="H57" s="24"/>
      <c r="I57" s="469" t="str">
        <f>IFERROR(IF((VLOOKUP(B57,cennik!A:L,12,0))="O",texty!$A$250,""),"")</f>
        <v/>
      </c>
      <c r="J57" s="439"/>
      <c r="K57" s="191"/>
      <c r="L57" s="24"/>
    </row>
    <row r="58" spans="1:12" ht="12.75" customHeight="1" x14ac:dyDescent="0.2">
      <c r="A58" s="450" t="str">
        <f>texty!$A$12</f>
        <v>(pri kombináciach s H profilmi je nutné pripočítať potrebnú dĺžku - tesnenie musí byť po celom odvode každého skla</v>
      </c>
      <c r="B58" s="451"/>
      <c r="C58" s="452"/>
      <c r="D58" s="451"/>
      <c r="E58" s="441"/>
      <c r="F58" s="441"/>
      <c r="G58" s="441"/>
      <c r="H58" s="24"/>
      <c r="I58" s="469" t="str">
        <f>IFERROR(IF((VLOOKUP(B58,cennik!A:L,12,0))="O",texty!$A$250,""),"")</f>
        <v/>
      </c>
      <c r="J58" s="439" t="str">
        <f>IF(D58&gt;0,IF(VLOOKUP(B58,cennik!A:L,12,FALSE)="O",1,""),"")</f>
        <v/>
      </c>
      <c r="K58" s="191"/>
      <c r="L58" s="24"/>
    </row>
    <row r="59" spans="1:12" ht="12.75" customHeight="1" x14ac:dyDescent="0.2">
      <c r="A59" s="422" t="str">
        <f>System10!A59</f>
        <v>tesnenie na sklo 4mm</v>
      </c>
      <c r="B59" s="17">
        <v>89238</v>
      </c>
      <c r="C59" s="25" t="str">
        <f>+VLOOKUP(B59,cennik!$A:$G,2,FALSE)</f>
        <v>SEVROLL 20031-SV tesnenie na sklo 10/4mm</v>
      </c>
      <c r="D59" s="460"/>
      <c r="E59" s="91">
        <f>+VLOOKUP(B59,cennik!$A:$G,3,FALSE)</f>
        <v>0.79988999999999999</v>
      </c>
      <c r="F59" s="96">
        <f>+CEILING(D59,1)*E59</f>
        <v>0</v>
      </c>
      <c r="G59" s="92">
        <f>+F59*(100-$G$26)/100</f>
        <v>0</v>
      </c>
      <c r="H59" s="24" t="str">
        <f>cennik!$B$2</f>
        <v>EUR</v>
      </c>
      <c r="I59" s="469" t="str">
        <f>IFERROR(IF((VLOOKUP(B59,cennik!A:L,12,0))="O",texty!$A$250,""),"")</f>
        <v/>
      </c>
      <c r="J59" s="439" t="str">
        <f>IF(D59&gt;0,IF(VLOOKUP(B59,cennik!A:L,12,FALSE)="O",1,""),"")</f>
        <v/>
      </c>
      <c r="K59" s="191" t="str">
        <f>IF(D59&gt;0,IF(VLOOKUP(B59,cennik!A:L,12,FALSE)="O",1,""),"")</f>
        <v/>
      </c>
      <c r="L59" s="24"/>
    </row>
    <row r="60" spans="1:12" ht="12.75" customHeight="1" x14ac:dyDescent="0.2">
      <c r="A60" s="422" t="str">
        <f>texty!A103</f>
        <v>tesnenie na sklo 4,5 mm</v>
      </c>
      <c r="B60" s="17">
        <v>135164</v>
      </c>
      <c r="C60" s="25" t="str">
        <f>+VLOOKUP(B60,cennik!$A:$G,2,FALSE)</f>
        <v>SEVROLL 20032-SV tesnenie na sklo 10/4,5mm</v>
      </c>
      <c r="D60" s="460"/>
      <c r="E60" s="91">
        <f>+VLOOKUP(B60,cennik!$A:$G,3,FALSE)</f>
        <v>0.79988999999999999</v>
      </c>
      <c r="F60" s="96">
        <f>+CEILING(D60,1)*E60</f>
        <v>0</v>
      </c>
      <c r="G60" s="92">
        <f>+F60*(100-$G$26)/100</f>
        <v>0</v>
      </c>
      <c r="H60" s="24" t="str">
        <f>cennik!$B$2</f>
        <v>EUR</v>
      </c>
      <c r="I60" s="469" t="str">
        <f>IFERROR(IF((VLOOKUP(B60,cennik!A:L,12,0))="O",texty!$A$250,""),"")</f>
        <v/>
      </c>
      <c r="J60" s="439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">
      <c r="A61" s="422" t="str">
        <f>System10!A61</f>
        <v>tesnenie na sklo 6mm</v>
      </c>
      <c r="B61" s="17">
        <v>89243</v>
      </c>
      <c r="C61" s="25" t="str">
        <f>+VLOOKUP(B61,cennik!$A:$G,2,FALSE)</f>
        <v>SEVROLL 20033-SV tesnenie na sklo 10/6mm</v>
      </c>
      <c r="D61" s="460"/>
      <c r="E61" s="91">
        <f>+VLOOKUP(B61,cennik!$A:$G,3,FALSE)</f>
        <v>0.79988999999999999</v>
      </c>
      <c r="F61" s="96">
        <f>+CEILING(D61,1)*E61</f>
        <v>0</v>
      </c>
      <c r="G61" s="92">
        <f>+F61*(100-$G$26)/100</f>
        <v>0</v>
      </c>
      <c r="H61" s="24" t="str">
        <f>cennik!$B$2</f>
        <v>EUR</v>
      </c>
      <c r="I61" s="469" t="str">
        <f>IFERROR(IF((VLOOKUP(B61,cennik!A:L,12,0))="O",texty!$A$250,""),"")</f>
        <v/>
      </c>
      <c r="J61" s="439" t="str">
        <f>IF(D61&gt;0,IF(VLOOKUP(B61,cennik!A:L,12,FALSE)="O",1,""),"")</f>
        <v/>
      </c>
      <c r="K61" s="191" t="str">
        <f>IF(D61&gt;0,IF(VLOOKUP(B61,cennik!A:L,12,FALSE)="O",1,""),"")</f>
        <v/>
      </c>
      <c r="L61" s="24"/>
    </row>
    <row r="62" spans="1:12" ht="12.75" customHeight="1" x14ac:dyDescent="0.2">
      <c r="A62" s="271" t="str">
        <f>texty!$A$190</f>
        <v>Ďalšie príslušenstvo</v>
      </c>
      <c r="E62" s="361"/>
      <c r="F62" s="361"/>
      <c r="G62" s="361"/>
      <c r="H62" s="24"/>
      <c r="I62" s="469" t="str">
        <f>IFERROR(IF((VLOOKUP(B62,cennik!A:L,12,0))="O",texty!$A$250,""),"")</f>
        <v/>
      </c>
      <c r="J62" s="439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2.75" customHeight="1" x14ac:dyDescent="0.2">
      <c r="A63" s="271" t="str">
        <f>texty!$A$244</f>
        <v>Technický nákres tohoto systému</v>
      </c>
      <c r="B63" s="453">
        <v>129677</v>
      </c>
      <c r="C63" s="453" t="str">
        <f>VLOOKUP(B63,cennik!A:C,2,0)</f>
        <v>SEVROLL 20173 montážny prípravok pre lamino 10mm malý</v>
      </c>
      <c r="D63" s="460"/>
      <c r="E63" s="91">
        <f>+VLOOKUP(B63,cennik!$A:$G,3,FALSE)</f>
        <v>5.0214600000000003</v>
      </c>
      <c r="F63" s="96">
        <f>+CEILING(D63,1)*E63</f>
        <v>0</v>
      </c>
      <c r="G63" s="92">
        <f>+F63</f>
        <v>0</v>
      </c>
      <c r="H63" s="24" t="str">
        <f>cennik!$B$2</f>
        <v>EUR</v>
      </c>
      <c r="I63" s="469" t="str">
        <f>IFERROR(IF((VLOOKUP(B63,cennik!A:L,12,0))="O",texty!$A$250,""),"")</f>
        <v/>
      </c>
      <c r="J63" s="439" t="str">
        <f>IF(D63&gt;0,IF(VLOOKUP(B63,cennik!A:L,12,FALSE)="O",1,""),"")</f>
        <v/>
      </c>
      <c r="K63" s="191" t="str">
        <f>IF(D63&gt;0,IF(VLOOKUP(B63,cennik!A:L,12,FALSE)="O",1,""),"")</f>
        <v/>
      </c>
      <c r="L63" s="24"/>
    </row>
    <row r="64" spans="1:12" ht="12.75" customHeight="1" x14ac:dyDescent="0.2">
      <c r="B64" s="453">
        <v>128842</v>
      </c>
      <c r="C64" s="453" t="str">
        <f>VLOOKUP(B64,cennik!A:C,2,0)</f>
        <v>SEVROLL 20144 vrták stupňovitý 6,5/9,5mm</v>
      </c>
      <c r="D64" s="460"/>
      <c r="E64" s="91">
        <f>+VLOOKUP(B64,cennik!$A:$G,3,FALSE)</f>
        <v>26.752659999999999</v>
      </c>
      <c r="F64" s="96">
        <f>+CEILING(D64,1)*E64</f>
        <v>0</v>
      </c>
      <c r="G64" s="92">
        <f>+F64</f>
        <v>0</v>
      </c>
      <c r="H64" s="24" t="str">
        <f>cennik!$B$2</f>
        <v>EUR</v>
      </c>
      <c r="I64" s="469" t="str">
        <f>IFERROR(IF((VLOOKUP(B64,cennik!A:L,12,0))="O",texty!$A$250,""),"")</f>
        <v/>
      </c>
      <c r="J64" s="439" t="str">
        <f>IF(D64&gt;0,IF(VLOOKUP(B64,cennik!A:L,12,FALSE)="O",1,""),"")</f>
        <v/>
      </c>
      <c r="K64" s="191" t="str">
        <f>IF(D64&gt;0,IF(VLOOKUP(B64,cennik!A:L,12,FALSE)="O",1,""),"")</f>
        <v/>
      </c>
      <c r="L64" s="23"/>
    </row>
    <row r="65" spans="1:14" ht="12.75" customHeight="1" x14ac:dyDescent="0.2">
      <c r="A65" s="469" t="str">
        <f>IF(SUM(D49:D50)&gt;0,IF(C7&lt;(B4/3),texty!$A$212,""),"")</f>
        <v/>
      </c>
      <c r="B65" s="469"/>
      <c r="C65" s="469"/>
      <c r="D65" s="469"/>
      <c r="E65" s="469"/>
      <c r="F65" s="469"/>
      <c r="G65" s="469"/>
      <c r="H65" s="469"/>
      <c r="I65" s="469"/>
      <c r="J65" s="469"/>
      <c r="K65" s="191"/>
      <c r="L65" s="24"/>
    </row>
    <row r="66" spans="1:14" x14ac:dyDescent="0.2">
      <c r="B66" s="17"/>
      <c r="C66" s="17"/>
      <c r="D66" s="455" t="str">
        <f>texty!$A$15</f>
        <v>CELKOM  (bez DPH)</v>
      </c>
      <c r="E66" s="441"/>
      <c r="F66" s="101" t="e">
        <f>SUM(F28:F64)</f>
        <v>#N/A</v>
      </c>
      <c r="G66" s="101" t="e">
        <f>SUM(G28:G64)</f>
        <v>#N/A</v>
      </c>
      <c r="H66" s="24" t="str">
        <f>cennik!$B$2</f>
        <v>EUR</v>
      </c>
      <c r="I66" s="21"/>
      <c r="L66" s="24"/>
    </row>
    <row r="67" spans="1:14" ht="12.75" customHeight="1" x14ac:dyDescent="0.2">
      <c r="A67" s="442" t="str">
        <f>System10!$A$67</f>
        <v>Vaša poznámka:</v>
      </c>
      <c r="B67" s="641"/>
      <c r="C67" s="642"/>
      <c r="D67" s="642"/>
      <c r="E67" s="642"/>
      <c r="F67" s="642"/>
      <c r="G67" s="643"/>
      <c r="H67" s="23"/>
      <c r="L67" s="24"/>
    </row>
    <row r="68" spans="1:14" ht="12.75" customHeight="1" x14ac:dyDescent="0.2">
      <c r="A68" s="630">
        <f>profil!$U$15</f>
        <v>0</v>
      </c>
      <c r="B68" s="631"/>
      <c r="C68" s="631"/>
      <c r="D68" s="631"/>
      <c r="E68" s="631"/>
      <c r="F68" s="631"/>
      <c r="G68" s="631"/>
      <c r="H68" s="631"/>
      <c r="L68" s="24"/>
    </row>
    <row r="69" spans="1:14" ht="12.75" customHeight="1" x14ac:dyDescent="0.2">
      <c r="A69" s="632">
        <f>IF(N73=1,texty!$A$215,IF(K73&gt;0,texty!$A$214,""))</f>
        <v>0</v>
      </c>
      <c r="B69" s="632"/>
      <c r="C69" s="632"/>
      <c r="D69" s="632"/>
      <c r="E69" s="632"/>
      <c r="F69" s="632"/>
      <c r="G69" s="632"/>
      <c r="H69" s="632"/>
      <c r="K69" s="469"/>
    </row>
    <row r="70" spans="1:14" ht="12.75" customHeight="1" x14ac:dyDescent="0.2">
      <c r="I70" s="21"/>
      <c r="J70" s="21"/>
      <c r="L70" s="21" t="str">
        <f>texty!A128</f>
        <v xml:space="preserve">strieborná </v>
      </c>
      <c r="M70" s="21" t="s">
        <v>987</v>
      </c>
    </row>
    <row r="71" spans="1:14" ht="12.75" customHeight="1" x14ac:dyDescent="0.2">
      <c r="I71" s="21"/>
      <c r="J71" s="21"/>
      <c r="L71" s="21" t="str">
        <f>texty!A130</f>
        <v>oliva</v>
      </c>
      <c r="M71" s="21" t="s">
        <v>43</v>
      </c>
    </row>
    <row r="72" spans="1:14" ht="12.75" customHeight="1" x14ac:dyDescent="0.2">
      <c r="I72" s="21"/>
      <c r="J72" s="21"/>
    </row>
    <row r="73" spans="1:14" ht="12.75" customHeight="1" x14ac:dyDescent="0.2">
      <c r="I73" s="21"/>
      <c r="J73" s="21"/>
      <c r="K73" s="24" t="e">
        <f>SUM(K27:K64)</f>
        <v>#N/A</v>
      </c>
      <c r="N73" s="21">
        <f>IF(ISERROR(K73),1,0)</f>
        <v>1</v>
      </c>
    </row>
  </sheetData>
  <sheetProtection algorithmName="SHA-512" hashValue="mYSMnp2k3cxrpBVs7QramELhMMx++nYZATFbWUH/pbnxverTyvuHYqzbNUgBaIMPfxmQ8NzhLZoe/M1cAxQVPQ==" saltValue="U2VSW6OKWk1TP4j+XHBWkg==" spinCount="100000" sheet="1" objects="1" scenarios="1" selectLockedCell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21" priority="3">
      <formula>SUM($D$47:$D$48)&gt;0</formula>
    </cfRule>
  </conditionalFormatting>
  <conditionalFormatting sqref="D6">
    <cfRule type="expression" dxfId="319" priority="6">
      <formula>$D$4=4</formula>
    </cfRule>
    <cfRule type="expression" dxfId="318" priority="7">
      <formula>$D$4&lt;&gt;4</formula>
    </cfRule>
  </conditionalFormatting>
  <conditionalFormatting sqref="G4">
    <cfRule type="expression" dxfId="317" priority="5">
      <formula>$D$4=4</formula>
    </cfRule>
  </conditionalFormatting>
  <conditionalFormatting sqref="I19:I20">
    <cfRule type="expression" dxfId="316" priority="4">
      <formula>$F$4=$M$71</formula>
    </cfRule>
  </conditionalFormatting>
  <conditionalFormatting sqref="I21:I22">
    <cfRule type="expression" dxfId="315" priority="8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imální výška je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E6: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75A68B-16E7-45E8-B9A0-D69DD6B18AE4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3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39.42578125" style="21" customWidth="1"/>
    <col min="2" max="2" width="15.7109375" style="21" customWidth="1"/>
    <col min="3" max="3" width="40.28515625" style="21" customWidth="1"/>
    <col min="4" max="7" width="14.7109375" style="21" customWidth="1"/>
    <col min="8" max="8" width="8.140625" style="21" bestFit="1" customWidth="1"/>
    <col min="9" max="9" width="24.7109375" style="24" customWidth="1"/>
    <col min="10" max="11" width="13.7109375" style="24" hidden="1" customWidth="1"/>
    <col min="12" max="12" width="9.140625" style="21" hidden="1" customWidth="1"/>
    <col min="13" max="13" width="22.42578125" style="21" hidden="1" customWidth="1"/>
    <col min="14" max="14" width="11.42578125" style="21" hidden="1" customWidth="1"/>
    <col min="15" max="15" width="7.140625" style="21" hidden="1" customWidth="1"/>
    <col min="16" max="16" width="8.7109375" style="21" hidden="1" customWidth="1"/>
    <col min="17" max="17" width="7.140625" style="21" hidden="1" customWidth="1"/>
    <col min="18" max="16384" width="9.140625" style="21" hidden="1"/>
  </cols>
  <sheetData>
    <row r="1" spans="1:22" ht="13.5" customHeight="1" thickBot="1" x14ac:dyDescent="0.25">
      <c r="A1" s="422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 x14ac:dyDescent="0.2">
      <c r="A2" s="523" t="s">
        <v>43</v>
      </c>
      <c r="B2" s="419" t="str">
        <f>profil!T7</f>
        <v>Zákazník:, , IČO: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 x14ac:dyDescent="0.25">
      <c r="A3" s="524" t="str">
        <f>CONCATENATE(texty!A243," ",5,".",49)</f>
        <v>katalóg kovania 2018 str. 5.49</v>
      </c>
      <c r="B3" s="420" t="str">
        <f>CONCATENATE(texty!A34," / max.          2 740 mm /")</f>
        <v>výška / max.          2 740 mm /</v>
      </c>
      <c r="C3" s="421" t="str">
        <f>CONCATENATE(texty!A35," / max 6 000 mm /")</f>
        <v>šírka / max 6 000 mm /</v>
      </c>
      <c r="D3" s="421" t="str">
        <f>+System10!D3</f>
        <v>počet dverí:</v>
      </c>
      <c r="E3" s="421" t="str">
        <f>+System10!E3</f>
        <v>farba</v>
      </c>
      <c r="F3" s="420" t="str">
        <f>texty!A38</f>
        <v>typ spodného vedenia</v>
      </c>
      <c r="G3" s="24"/>
      <c r="H3" s="24"/>
      <c r="L3" s="24"/>
    </row>
    <row r="4" spans="1:22" ht="18" customHeight="1" x14ac:dyDescent="0.2">
      <c r="A4" s="423" t="str">
        <f>+System10!A4</f>
        <v>VNÚTORNÝ ROZMER SKRINE:</v>
      </c>
      <c r="B4" s="456"/>
      <c r="C4" s="456"/>
      <c r="D4" s="457"/>
      <c r="E4" s="457"/>
      <c r="F4" s="458"/>
      <c r="G4" s="644"/>
      <c r="H4" s="644"/>
      <c r="I4" s="644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 x14ac:dyDescent="0.2">
      <c r="A5" s="423"/>
      <c r="B5" s="640" t="str">
        <f>+System10!$B$5</f>
        <v>vypíšte týchto 5 políčok !!! Údaje v mm</v>
      </c>
      <c r="C5" s="640"/>
      <c r="D5" s="640"/>
      <c r="E5" s="640"/>
      <c r="F5" s="640"/>
      <c r="G5" s="644"/>
      <c r="H5" s="644"/>
      <c r="I5" s="644"/>
      <c r="K5" s="23" t="str">
        <f>CONCATENATE(K4,"-",E4)</f>
        <v>1700-</v>
      </c>
      <c r="M5" s="23" t="str">
        <f>CONCATENATE(M4,"-",E4,", ",F4)</f>
        <v xml:space="preserve">1700-, </v>
      </c>
    </row>
    <row r="6" spans="1:22" ht="18" customHeight="1" x14ac:dyDescent="0.2">
      <c r="A6" s="423"/>
      <c r="B6" s="431" t="str">
        <f>IF(D4=4,texty!A227,"")</f>
        <v/>
      </c>
      <c r="D6" s="443">
        <v>3</v>
      </c>
      <c r="E6" s="17"/>
      <c r="F6" s="17"/>
      <c r="G6" s="644"/>
      <c r="H6" s="644"/>
      <c r="I6" s="644"/>
      <c r="K6" s="461"/>
      <c r="L6" s="24"/>
      <c r="R6" s="645" t="s">
        <v>557</v>
      </c>
      <c r="S6" s="645" t="s">
        <v>558</v>
      </c>
      <c r="T6" s="645" t="s">
        <v>559</v>
      </c>
      <c r="U6" s="645" t="s">
        <v>560</v>
      </c>
    </row>
    <row r="7" spans="1:22" ht="12.75" customHeight="1" x14ac:dyDescent="0.2">
      <c r="A7" s="423" t="str">
        <f>texty!A71</f>
        <v>krídlo dverí:</v>
      </c>
      <c r="B7" s="57">
        <f>+B4-40</f>
        <v>-40</v>
      </c>
      <c r="C7" s="59" t="e">
        <f>+((C4-3+(32*(D4-1)))/D4+IF(AND(D4=4,D6=2),M1,0))</f>
        <v>#DIV/0!</v>
      </c>
      <c r="D7" s="17"/>
      <c r="E7" s="17"/>
      <c r="F7" s="17"/>
      <c r="G7" s="434" t="str">
        <f>texty!$A$39</f>
        <v>V prípade použitia skla ako výplne</v>
      </c>
      <c r="H7" s="24"/>
      <c r="L7" s="24"/>
      <c r="O7" s="17" t="e">
        <f>IF(L11="jiné",M12,L11)</f>
        <v>#DIV/0!</v>
      </c>
      <c r="P7" s="21">
        <f>+E4</f>
        <v>0</v>
      </c>
      <c r="R7" s="645"/>
      <c r="S7" s="645"/>
      <c r="T7" s="645"/>
      <c r="U7" s="645"/>
    </row>
    <row r="8" spans="1:22" ht="12.75" customHeight="1" x14ac:dyDescent="0.2">
      <c r="A8" s="423" t="str">
        <f>texty!A72</f>
        <v>rozmer výplne 10 mm:</v>
      </c>
      <c r="B8" s="57">
        <f>+B7-64</f>
        <v>-104</v>
      </c>
      <c r="C8" s="59" t="e">
        <f>+C7-46</f>
        <v>#DIV/0!</v>
      </c>
      <c r="D8" s="17"/>
      <c r="E8" s="17"/>
      <c r="F8" s="17"/>
      <c r="G8" s="434" t="str">
        <f>texty!$A$40</f>
        <v>je treba použiť bezpečnostné sklo</v>
      </c>
      <c r="H8" s="24"/>
      <c r="L8" s="24" t="s">
        <v>60</v>
      </c>
      <c r="M8" s="21" t="s">
        <v>61</v>
      </c>
      <c r="O8" s="23" t="e">
        <f>CONCATENATE(O7,"-",E4)</f>
        <v>#DIV/0!</v>
      </c>
      <c r="Q8" s="21">
        <v>1</v>
      </c>
      <c r="R8" s="462" t="e">
        <f>$C$10+5</f>
        <v>#DIV/0!</v>
      </c>
      <c r="S8" s="21" t="e">
        <f>FLOOR(1700/R8,1)</f>
        <v>#DIV/0!</v>
      </c>
      <c r="T8" s="21" t="e">
        <f>FLOOR(2350/R8,1)</f>
        <v>#DIV/0!</v>
      </c>
      <c r="U8" s="21" t="e">
        <f>FLOOR(3000/R8,1)</f>
        <v>#DIV/0!</v>
      </c>
    </row>
    <row r="9" spans="1:22" ht="12.75" customHeight="1" x14ac:dyDescent="0.2">
      <c r="A9" s="423" t="str">
        <f>texty!A73</f>
        <v>rozmer zrkadla / skla</v>
      </c>
      <c r="B9" s="57">
        <f>+B8</f>
        <v>-104</v>
      </c>
      <c r="C9" s="59" t="e">
        <f>+C8-4</f>
        <v>#DIV/0!</v>
      </c>
      <c r="D9" s="17"/>
      <c r="E9" s="17"/>
      <c r="F9" s="17"/>
      <c r="G9" s="434" t="str">
        <f>texty!$A$41</f>
        <v>alebo sklo zabezpečiť ochrannou fóliou</v>
      </c>
      <c r="H9" s="24"/>
      <c r="L9" s="463" t="e">
        <f>C10*D4</f>
        <v>#DIV/0!</v>
      </c>
      <c r="M9" s="464">
        <f>(D4+1)*5</f>
        <v>5</v>
      </c>
      <c r="Q9" s="21">
        <v>2</v>
      </c>
      <c r="R9" s="462" t="e">
        <f t="shared" ref="R9:R14" si="0">R8+$C$10+5</f>
        <v>#DIV/0!</v>
      </c>
      <c r="S9" s="21" t="e">
        <f>(1700-C10)*S17</f>
        <v>#DIV/0!</v>
      </c>
      <c r="T9" s="21" t="e">
        <f>(2350-C10)*T17</f>
        <v>#DIV/0!</v>
      </c>
      <c r="U9" s="21" t="e">
        <f>(3000-C10)*U17</f>
        <v>#DIV/0!</v>
      </c>
      <c r="V9" s="21" t="s">
        <v>562</v>
      </c>
    </row>
    <row r="10" spans="1:22" ht="12.75" customHeight="1" x14ac:dyDescent="0.2">
      <c r="A10" s="423" t="str">
        <f>texty!A74</f>
        <v>dĺžka vodiacej a krycej lišty krídla</v>
      </c>
      <c r="B10" s="57"/>
      <c r="C10" s="60" t="e">
        <f>+C7-62</f>
        <v>#DIV/0!</v>
      </c>
      <c r="D10" s="17"/>
      <c r="E10" s="17"/>
      <c r="F10" s="17"/>
      <c r="G10" s="435"/>
      <c r="H10" s="24"/>
      <c r="L10" s="21" t="s">
        <v>59</v>
      </c>
      <c r="O10" s="17" t="e">
        <f>IF(L11="jiné",M13,"")</f>
        <v>#DIV/0!</v>
      </c>
      <c r="P10" s="21">
        <f>+E4</f>
        <v>0</v>
      </c>
      <c r="Q10" s="21">
        <v>3</v>
      </c>
      <c r="R10" s="462" t="e">
        <f t="shared" si="0"/>
        <v>#DIV/0!</v>
      </c>
    </row>
    <row r="11" spans="1:22" ht="12.75" customHeight="1" x14ac:dyDescent="0.2">
      <c r="A11" s="423" t="str">
        <f>texty!A75</f>
        <v>Horný/spodný profil</v>
      </c>
      <c r="B11" s="57"/>
      <c r="C11" s="189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L11" s="464" t="e">
        <f>IF((L9+M9)&lt;1700,1700,IF((L9+M9)&lt;2350,2350,IF((L9+M9)&lt;3000,3000,"jiné")))</f>
        <v>#DIV/0!</v>
      </c>
      <c r="N11" s="21" t="s">
        <v>62</v>
      </c>
      <c r="O11" s="23" t="e">
        <f>CONCATENATE(O10,"-",E4)</f>
        <v>#DIV/0!</v>
      </c>
      <c r="Q11" s="21">
        <v>4</v>
      </c>
      <c r="R11" s="462" t="e">
        <f t="shared" si="0"/>
        <v>#DIV/0!</v>
      </c>
    </row>
    <row r="12" spans="1:22" ht="12.75" customHeight="1" x14ac:dyDescent="0.2">
      <c r="A12" s="423" t="str">
        <f>texty!A76</f>
        <v>úchytková lišta</v>
      </c>
      <c r="B12" s="488">
        <f>+B7</f>
        <v>-40</v>
      </c>
      <c r="C12" s="489"/>
      <c r="D12" s="17"/>
      <c r="E12" s="17"/>
      <c r="F12" s="17"/>
      <c r="G12" s="24"/>
      <c r="H12" s="24"/>
      <c r="L12" s="24" t="e">
        <f>C10*(D4-1)+(D4*5)</f>
        <v>#DIV/0!</v>
      </c>
      <c r="M12" s="21" t="e">
        <f>IF(L12&lt;1700,1700,IF(L12&lt;2350,2350,IF(L12&lt;3000,3000,3000)))</f>
        <v>#DIV/0!</v>
      </c>
      <c r="N12" s="21" t="e">
        <f>M12-L12</f>
        <v>#DIV/0!</v>
      </c>
      <c r="Q12" s="21">
        <v>5</v>
      </c>
      <c r="R12" s="462" t="e">
        <f t="shared" si="0"/>
        <v>#DIV/0!</v>
      </c>
    </row>
    <row r="13" spans="1:22" ht="12.75" customHeight="1" x14ac:dyDescent="0.2">
      <c r="A13" s="423" t="str">
        <f>texty!A77</f>
        <v>dĺžka tesnenia na sklo na jednom krídle</v>
      </c>
      <c r="B13" s="64"/>
      <c r="C13" s="491" t="e">
        <f>ROUND(B9*2+C9*2,0)</f>
        <v>#DIV/0!</v>
      </c>
      <c r="D13" s="17"/>
      <c r="E13" s="17"/>
      <c r="F13" s="17"/>
      <c r="G13" s="24"/>
      <c r="H13" s="24"/>
      <c r="L13" s="465" t="e">
        <f>C10+10</f>
        <v>#DIV/0!</v>
      </c>
      <c r="M13" s="21" t="e">
        <f>IF(N12&gt;=0,IF(L13&lt;1700,1700,IF(L13&lt;2350,2350,IF(L13&lt;3000,3000,"jiné"))),IF((L13+C10)&lt;1700,1700,IF((L13+C10)&lt;2350,2350,IF((L13+C10)&lt;3000,3000,"jiné"))))</f>
        <v>#DIV/0!</v>
      </c>
      <c r="N13" s="21" t="e">
        <f>M13-L13</f>
        <v>#DIV/0!</v>
      </c>
      <c r="Q13" s="21">
        <v>6</v>
      </c>
      <c r="R13" s="462" t="e">
        <f t="shared" si="0"/>
        <v>#DIV/0!</v>
      </c>
    </row>
    <row r="14" spans="1:22" ht="24" x14ac:dyDescent="0.2">
      <c r="A14" s="635" t="str">
        <f>IF(SUM(D47:D48)&gt;0,texty!A245,"")</f>
        <v/>
      </c>
      <c r="B14" s="635"/>
      <c r="C14" s="490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L14" s="24"/>
      <c r="M14" s="21" t="e">
        <f>SUM(M12:M13)</f>
        <v>#DIV/0!</v>
      </c>
      <c r="N14" s="21" t="e">
        <f>SUM(N12:N13)</f>
        <v>#DIV/0!</v>
      </c>
      <c r="Q14" s="21">
        <v>7</v>
      </c>
      <c r="R14" s="462" t="e">
        <f t="shared" si="0"/>
        <v>#DIV/0!</v>
      </c>
    </row>
    <row r="15" spans="1:22" ht="18.75" customHeight="1" x14ac:dyDescent="0.2">
      <c r="A15" s="635"/>
      <c r="B15" s="635"/>
      <c r="C15" s="490"/>
      <c r="D15" s="17"/>
      <c r="E15" s="17"/>
      <c r="F15" s="17"/>
      <c r="G15" s="24"/>
      <c r="H15" s="24"/>
      <c r="L15" s="24"/>
      <c r="R15" s="462"/>
    </row>
    <row r="16" spans="1:22" x14ac:dyDescent="0.2">
      <c r="A16" s="422"/>
      <c r="B16" s="17"/>
      <c r="C16" s="490"/>
      <c r="D16" s="17"/>
      <c r="E16" s="17"/>
      <c r="F16" s="17"/>
      <c r="G16" s="24"/>
      <c r="H16" s="24"/>
      <c r="L16" s="24"/>
      <c r="R16" s="462"/>
    </row>
    <row r="17" spans="1:22" ht="12.75" customHeight="1" x14ac:dyDescent="0.2">
      <c r="A17" s="5"/>
      <c r="B17" s="17"/>
      <c r="C17" s="433"/>
      <c r="D17" s="17"/>
      <c r="E17" s="17"/>
      <c r="F17" s="17"/>
      <c r="G17" s="24"/>
      <c r="H17" s="24"/>
      <c r="L17" s="24"/>
      <c r="M17" s="21" t="e">
        <f>M14-C4</f>
        <v>#DIV/0!</v>
      </c>
      <c r="Q17" s="21" t="s">
        <v>561</v>
      </c>
      <c r="S17" s="21" t="e">
        <f>FLOOR($D$4/S8,1)</f>
        <v>#DIV/0!</v>
      </c>
      <c r="T17" s="21" t="e">
        <f>FLOOR($D$4/T8,1)</f>
        <v>#DIV/0!</v>
      </c>
      <c r="U17" s="21" t="e">
        <f>FLOOR($D$4/U8,1)</f>
        <v>#DIV/0!</v>
      </c>
    </row>
    <row r="18" spans="1:22" ht="22.5" customHeight="1" x14ac:dyDescent="0.2">
      <c r="A18" s="422"/>
      <c r="B18" s="17"/>
      <c r="C18" s="433"/>
      <c r="D18" s="17"/>
      <c r="E18" s="17"/>
      <c r="F18" s="17"/>
      <c r="G18" s="24"/>
      <c r="H18" s="24"/>
      <c r="L18" s="24"/>
    </row>
    <row r="19" spans="1:22" ht="14.25" customHeight="1" x14ac:dyDescent="0.2">
      <c r="A19" s="422"/>
      <c r="B19" s="484" t="str">
        <f>texty!A242</f>
        <v>dilatácia 4 mm</v>
      </c>
      <c r="C19" s="119"/>
      <c r="D19" s="17"/>
      <c r="E19" s="17"/>
      <c r="F19" s="17"/>
      <c r="G19" s="24"/>
      <c r="H19" s="24"/>
      <c r="I19" s="638" t="s">
        <v>993</v>
      </c>
      <c r="L19" s="24"/>
    </row>
    <row r="20" spans="1:22" ht="16.5" customHeight="1" x14ac:dyDescent="0.2">
      <c r="A20" s="422"/>
      <c r="B20" s="17"/>
      <c r="C20" s="17"/>
      <c r="E20" s="17"/>
      <c r="F20" s="17"/>
      <c r="G20" s="24"/>
      <c r="H20" s="24"/>
      <c r="I20" s="638"/>
      <c r="L20" s="24"/>
      <c r="M20" s="24"/>
      <c r="R20" s="21" t="s">
        <v>581</v>
      </c>
      <c r="S20" s="21" t="s">
        <v>580</v>
      </c>
      <c r="T20" s="21">
        <v>1700</v>
      </c>
      <c r="U20" s="21">
        <v>2350</v>
      </c>
      <c r="V20" s="21">
        <v>3000</v>
      </c>
    </row>
    <row r="21" spans="1:22" ht="16.5" customHeight="1" x14ac:dyDescent="0.2">
      <c r="A21" s="422"/>
      <c r="B21" s="17"/>
      <c r="C21" s="17"/>
      <c r="D21" s="382"/>
      <c r="E21" s="17"/>
      <c r="F21" s="17"/>
      <c r="G21" s="24"/>
      <c r="H21" s="24"/>
      <c r="I21" s="639" t="s">
        <v>994</v>
      </c>
      <c r="L21" s="24"/>
      <c r="Q21" s="21">
        <v>1</v>
      </c>
      <c r="R21" s="21" t="e">
        <f>S8</f>
        <v>#DIV/0!</v>
      </c>
      <c r="S21" s="21" t="e">
        <f>IF(R21&gt;=D4,1,"")</f>
        <v>#DIV/0!</v>
      </c>
      <c r="T21" s="466" t="e">
        <f>IF(S21=1,1,"")</f>
        <v>#DIV/0!</v>
      </c>
      <c r="U21" s="466"/>
      <c r="V21" s="466"/>
    </row>
    <row r="22" spans="1:22" x14ac:dyDescent="0.2">
      <c r="A22" s="422"/>
      <c r="B22" s="17"/>
      <c r="C22" s="17"/>
      <c r="D22" s="17"/>
      <c r="E22" s="17"/>
      <c r="F22" s="17"/>
      <c r="G22" s="24"/>
      <c r="H22" s="24"/>
      <c r="I22" s="639"/>
      <c r="L22" s="23"/>
      <c r="Q22" s="21">
        <v>2</v>
      </c>
      <c r="R22" s="21" t="e">
        <f>T8</f>
        <v>#DIV/0!</v>
      </c>
      <c r="S22" s="21" t="e">
        <f>IF(R22&gt;=D4,IF(S21=1,"",1),"")</f>
        <v>#DIV/0!</v>
      </c>
      <c r="T22" s="466"/>
      <c r="U22" s="466" t="e">
        <f>IF(S22=1,1,"")</f>
        <v>#DIV/0!</v>
      </c>
      <c r="V22" s="466"/>
    </row>
    <row r="23" spans="1:22" ht="12.75" customHeight="1" x14ac:dyDescent="0.2">
      <c r="A23" s="422"/>
      <c r="B23" s="17"/>
      <c r="C23" s="17"/>
      <c r="D23" s="17"/>
      <c r="E23" s="17"/>
      <c r="F23" s="17"/>
      <c r="G23" s="24"/>
      <c r="H23" s="24"/>
      <c r="Q23" s="21">
        <v>3</v>
      </c>
      <c r="R23" s="21" t="e">
        <f>U8</f>
        <v>#DIV/0!</v>
      </c>
      <c r="S23" s="21" t="e">
        <f>IF(R23&gt;=D4,IF(R22&gt;=D4,"",1),"")</f>
        <v>#DIV/0!</v>
      </c>
      <c r="V23" s="466" t="e">
        <f>IF(S23=1,1,"")</f>
        <v>#DIV/0!</v>
      </c>
    </row>
    <row r="24" spans="1:22" ht="12.75" customHeight="1" x14ac:dyDescent="0.2">
      <c r="A24" s="422"/>
      <c r="B24" s="17"/>
      <c r="C24" s="17"/>
      <c r="D24" s="17"/>
      <c r="E24" s="17"/>
      <c r="F24" s="17"/>
      <c r="G24" s="24"/>
      <c r="H24" s="24"/>
      <c r="L24" s="21" t="str">
        <f>CONCATENATE(N24,"-",$P$7)</f>
        <v>1700-0</v>
      </c>
      <c r="M24" s="24" t="e">
        <f>SUM(T21:T32)</f>
        <v>#DIV/0!</v>
      </c>
      <c r="N24" s="21">
        <v>1700</v>
      </c>
      <c r="P24" s="21" t="s">
        <v>563</v>
      </c>
      <c r="Q24" s="467" t="s">
        <v>564</v>
      </c>
      <c r="R24" s="21" t="e">
        <f>S8+T8</f>
        <v>#DIV/0!</v>
      </c>
      <c r="S24" s="21" t="e">
        <f>IF(R24&gt;=D4,IF(SUM(S21:S23)&gt;0,"",1),"")</f>
        <v>#DIV/0!</v>
      </c>
      <c r="T24" s="466" t="e">
        <f>IF(S24=1,1,"")</f>
        <v>#DIV/0!</v>
      </c>
      <c r="U24" s="466" t="e">
        <f>IF(S24=1,1,"")</f>
        <v>#DIV/0!</v>
      </c>
    </row>
    <row r="25" spans="1:22" ht="12.75" customHeight="1" x14ac:dyDescent="0.2">
      <c r="A25" s="422"/>
      <c r="B25" s="17"/>
      <c r="D25" s="17"/>
      <c r="E25" s="17"/>
      <c r="F25" s="17"/>
      <c r="G25" s="438" t="str">
        <f>+System10!G25</f>
        <v>partnerská zľava:</v>
      </c>
      <c r="H25" s="24"/>
      <c r="L25" s="21" t="str">
        <f>CONCATENATE(N25,"-",$P$7)</f>
        <v>2350-0</v>
      </c>
      <c r="M25" s="24" t="e">
        <f>SUM(U21:U32)</f>
        <v>#DIV/0!</v>
      </c>
      <c r="N25" s="21">
        <v>2350</v>
      </c>
      <c r="Q25" s="21" t="s">
        <v>576</v>
      </c>
      <c r="R25" s="21" t="e">
        <f>T8+T8</f>
        <v>#DIV/0!</v>
      </c>
      <c r="S25" s="21" t="e">
        <f>IF(R25&gt;=D4,IF(SUM(S21:S24)&gt;0,"",1),"")</f>
        <v>#DIV/0!</v>
      </c>
      <c r="U25" s="466" t="e">
        <f>IF(S25=1,2,"")</f>
        <v>#DIV/0!</v>
      </c>
    </row>
    <row r="26" spans="1:22" ht="12.75" customHeight="1" x14ac:dyDescent="0.2">
      <c r="A26" s="427" t="str">
        <f>+System10!$A$26</f>
        <v>Objednávacie kódy, ceny:</v>
      </c>
      <c r="B26" s="17"/>
      <c r="D26" s="17"/>
      <c r="E26" s="17"/>
      <c r="F26" s="17"/>
      <c r="G26" s="374">
        <f>profil!C15</f>
        <v>0</v>
      </c>
      <c r="H26" s="440" t="s">
        <v>57</v>
      </c>
      <c r="L26" s="21" t="str">
        <f>CONCATENATE(N26,"-",$P$7)</f>
        <v>3000-0</v>
      </c>
      <c r="M26" s="24" t="e">
        <f>SUM(V21:V32)</f>
        <v>#DIV/0!</v>
      </c>
      <c r="N26" s="21">
        <v>3000</v>
      </c>
      <c r="O26" s="468"/>
      <c r="Q26" s="21" t="s">
        <v>565</v>
      </c>
      <c r="R26" s="21" t="e">
        <f>S8+U8</f>
        <v>#DIV/0!</v>
      </c>
      <c r="S26" s="21" t="e">
        <f>IF(R26&gt;=D4,IF(SUM(S21:S25)&gt;0,"",1),"")</f>
        <v>#DIV/0!</v>
      </c>
      <c r="T26" s="466" t="e">
        <f>IF(S26=1,1,"")</f>
        <v>#DIV/0!</v>
      </c>
      <c r="V26" s="466" t="e">
        <f>IF(S26=1,1,"")</f>
        <v>#DIV/0!</v>
      </c>
    </row>
    <row r="27" spans="1:22" ht="12.75" customHeight="1" x14ac:dyDescent="0.2">
      <c r="A27" s="422"/>
      <c r="B27" s="19" t="str">
        <f>+System10!B27</f>
        <v>kód</v>
      </c>
      <c r="C27" s="20" t="str">
        <f>+System10!C27</f>
        <v>názov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celkom</v>
      </c>
      <c r="G27" s="20" t="str">
        <f>+System10!G27</f>
        <v>celkom netto:</v>
      </c>
      <c r="H27" s="24"/>
      <c r="I27" s="20" t="str">
        <f>texty!A29</f>
        <v>Poznámka:</v>
      </c>
      <c r="J27" s="18"/>
      <c r="L27" s="24"/>
      <c r="M27" s="21">
        <f>COUNT(M24,M25,M26)</f>
        <v>0</v>
      </c>
      <c r="N27" s="468"/>
      <c r="O27" s="468"/>
      <c r="Q27" s="21" t="s">
        <v>566</v>
      </c>
      <c r="R27" s="21" t="e">
        <f>T8+U8</f>
        <v>#DIV/0!</v>
      </c>
      <c r="S27" s="21" t="e">
        <f>IF(R27&gt;=D4,IF(SUM(S21:S26)&gt;0,"",1),"")</f>
        <v>#DIV/0!</v>
      </c>
      <c r="U27" s="466" t="e">
        <f>IF(S27=1,1,"")</f>
        <v>#DIV/0!</v>
      </c>
      <c r="V27" s="466" t="e">
        <f>IF(S27=1,1,"")</f>
        <v>#DIV/0!</v>
      </c>
    </row>
    <row r="28" spans="1:22" ht="12.75" customHeight="1" x14ac:dyDescent="0.2">
      <c r="A28" s="422" t="str">
        <f>texty!$A$81</f>
        <v>Horný profil:</v>
      </c>
      <c r="B28" s="16" t="e">
        <f>+VLOOKUP(K5,data!$C$196:$D$215,2,0)</f>
        <v>#N/A</v>
      </c>
      <c r="C28" s="25" t="e">
        <f>+VLOOKUP(B28,cennik!$A:$G,2,FALSE)</f>
        <v>#N/A</v>
      </c>
      <c r="D28" s="17">
        <v>1</v>
      </c>
      <c r="E28" s="91" t="e">
        <f>+VLOOKUP(B28,cennik!$A:$G,3,FALSE)</f>
        <v>#N/A</v>
      </c>
      <c r="F28" s="91" t="e">
        <f>+E28*D28</f>
        <v>#N/A</v>
      </c>
      <c r="G28" s="92" t="e">
        <f t="shared" ref="G28:G39" si="1">+F28*(100-$G$26)/100</f>
        <v>#N/A</v>
      </c>
      <c r="H28" s="24" t="str">
        <f>cennik!$B$2</f>
        <v>EUR</v>
      </c>
      <c r="I28" s="469" t="str">
        <f>IFERROR(IF((VLOOKUP(B28,cennik!A:L,12,0))="O",texty!$A$250,""),"")</f>
        <v/>
      </c>
      <c r="J28" s="439" t="e">
        <f>IF(D28&gt;0,IF(VLOOKUP(B28,cennik!A:L,12,FALSE)="O",1,""),"")</f>
        <v>#N/A</v>
      </c>
      <c r="K28" s="191" t="e">
        <f>IF(D28&gt;0,IF(VLOOKUP(B28,cennik!A:L,12,FALSE)="O",1,""),"")</f>
        <v>#N/A</v>
      </c>
      <c r="L28" s="24"/>
      <c r="M28" s="468"/>
      <c r="N28" s="468"/>
      <c r="O28" s="468"/>
      <c r="Q28" s="21" t="s">
        <v>577</v>
      </c>
      <c r="R28" s="21" t="e">
        <f>U8+U8</f>
        <v>#DIV/0!</v>
      </c>
      <c r="S28" s="21" t="e">
        <f>IF(R28&gt;=D4,IF(SUM(S21:S27)&gt;0,"",1),"")</f>
        <v>#DIV/0!</v>
      </c>
      <c r="V28" s="466" t="e">
        <f>IF(S28=1,2,"")</f>
        <v>#DIV/0!</v>
      </c>
    </row>
    <row r="29" spans="1:22" ht="12.75" customHeight="1" x14ac:dyDescent="0.2">
      <c r="A29" s="422" t="str">
        <f>texty!$A$82</f>
        <v>spodný profil:</v>
      </c>
      <c r="B29" s="16" t="e">
        <f>+VLOOKUP(M5,data!$C$4:$D$83,2,0)</f>
        <v>#N/A</v>
      </c>
      <c r="C29" s="25" t="e">
        <f>IF($B$29=data!$D$64,texty!$A$239,+VLOOKUP($B$29,cennik!$A$3:$G$9999,2,FALSE))</f>
        <v>#N/A</v>
      </c>
      <c r="D29" s="17">
        <v>1</v>
      </c>
      <c r="E29" s="91" t="e">
        <f>IF(B29=data!$D$73,0,+VLOOKUP(B29,cennik!$A$3:$G$9999,3,FALSE))</f>
        <v>#N/A</v>
      </c>
      <c r="F29" s="91" t="e">
        <f>+E29*D29</f>
        <v>#N/A</v>
      </c>
      <c r="G29" s="92" t="e">
        <f t="shared" si="1"/>
        <v>#N/A</v>
      </c>
      <c r="H29" s="24" t="str">
        <f>cennik!$B$2</f>
        <v>EUR</v>
      </c>
      <c r="I29" s="469" t="str">
        <f>IFERROR(IF((VLOOKUP(B29,cennik!A:L,12,0))="O",texty!$A$250,""),"")</f>
        <v/>
      </c>
      <c r="J29" s="439" t="e">
        <f>IF(D29&gt;0,IF(VLOOKUP(B29,cennik!A:L,12,FALSE)="O",1,""),"")</f>
        <v>#N/A</v>
      </c>
      <c r="K29" s="191" t="e">
        <f>IF(D29&gt;0,IF(VLOOKUP(B29,cennik!A:L,12,FALSE)="O",1,""),"")</f>
        <v>#N/A</v>
      </c>
      <c r="L29" s="24" t="s">
        <v>567</v>
      </c>
      <c r="M29" s="21" t="e">
        <f>IF(M24=0,IF(M25=0,L26,L25),L24)</f>
        <v>#DIV/0!</v>
      </c>
      <c r="N29" s="468" t="e">
        <f>IF(M29=L24,M24,IF(M29=L25,M25,IF(M29=L26,M26,"chyba")))</f>
        <v>#DIV/0!</v>
      </c>
      <c r="O29" s="468"/>
      <c r="P29" s="468"/>
      <c r="Q29" s="21" t="s">
        <v>578</v>
      </c>
      <c r="R29" s="21" t="e">
        <f>S8+S8+S8</f>
        <v>#DIV/0!</v>
      </c>
      <c r="S29" s="21" t="e">
        <f>IF(R29&gt;=D4,IF(SUM(S21:S28)&gt;0,"",1),"")</f>
        <v>#DIV/0!</v>
      </c>
      <c r="T29" s="466" t="e">
        <f>IF(S29=1,3,"")</f>
        <v>#DIV/0!</v>
      </c>
    </row>
    <row r="30" spans="1:22" ht="12.75" customHeight="1" x14ac:dyDescent="0.2">
      <c r="A30" s="422" t="str">
        <f>texty!$A$83</f>
        <v>krycí profil (maska):</v>
      </c>
      <c r="B30" s="16" t="e">
        <f>+VLOOKUP(M5,data!$C$105:$D$195,2,0)</f>
        <v>#N/A</v>
      </c>
      <c r="C30" s="25" t="e">
        <f>IF($B$30=data!$D$64,texty!$A$239,+VLOOKUP($B$30,cennik!$A$3:$G$9999,2,FALSE))</f>
        <v>#N/A</v>
      </c>
      <c r="D30" s="17">
        <v>1</v>
      </c>
      <c r="E30" s="91" t="e">
        <f>IF(B30=data!$D$73,0,+VLOOKUP(B30,cennik!$A$3:$G$9999,3,FALSE))</f>
        <v>#N/A</v>
      </c>
      <c r="F30" s="91" t="e">
        <f>+E30*D30</f>
        <v>#N/A</v>
      </c>
      <c r="G30" s="92" t="e">
        <f t="shared" si="1"/>
        <v>#N/A</v>
      </c>
      <c r="H30" s="24" t="str">
        <f>cennik!$B$2</f>
        <v>EUR</v>
      </c>
      <c r="I30" s="469" t="str">
        <f>IFERROR(IF((VLOOKUP(B30,cennik!A:L,12,0))="O",texty!$A$250,""),"")</f>
        <v/>
      </c>
      <c r="J30" s="439" t="e">
        <f>IF(D30&gt;0,IF(VLOOKUP(B30,cennik!A:L,12,FALSE)="O",1,""),"")</f>
        <v>#N/A</v>
      </c>
      <c r="K30" s="191" t="e">
        <f>IF(D30&gt;0,IF(VLOOKUP(B30,cennik!A:L,12,FALSE)="O",1,""),"")</f>
        <v>#N/A</v>
      </c>
      <c r="L30" s="24" t="s">
        <v>568</v>
      </c>
      <c r="M30" s="21" t="e">
        <f>IF(M29=L26,"jiné",IF(M29=L24,IF(M25&lt;&gt;0,L25,IF(M26&lt;&gt;0,L26,"jiné")),IF(M26&lt;&gt;0,L26,"jiné")))</f>
        <v>#DIV/0!</v>
      </c>
      <c r="N30" s="468" t="e">
        <f>IF(M30=L25,M25,IF(M30=L26,M26,IF(M30=L27,M27,0)))</f>
        <v>#DIV/0!</v>
      </c>
      <c r="O30" s="468"/>
      <c r="P30" s="468"/>
      <c r="Q30" s="21" t="s">
        <v>569</v>
      </c>
      <c r="R30" s="21" t="e">
        <f>S8+2*T8</f>
        <v>#DIV/0!</v>
      </c>
      <c r="S30" s="21" t="e">
        <f>IF(R30&gt;=D4,IF(SUM(S21:S29)&gt;0,"",1),"")</f>
        <v>#DIV/0!</v>
      </c>
      <c r="T30" s="466" t="e">
        <f>IF(S30=1,1,"")</f>
        <v>#DIV/0!</v>
      </c>
      <c r="U30" s="466" t="e">
        <f>IF(S30=1,2,"")</f>
        <v>#DIV/0!</v>
      </c>
    </row>
    <row r="31" spans="1:22" ht="12.75" customHeight="1" x14ac:dyDescent="0.2">
      <c r="A31" s="422" t="str">
        <f>texty!$A$84</f>
        <v>horné vozíky (sady)</v>
      </c>
      <c r="B31" s="16">
        <v>228009</v>
      </c>
      <c r="C31" s="25" t="str">
        <f>+VLOOKUP(B31,cennik!$A:$G,2,FALSE)</f>
        <v>SEVROLL 10204 horný vozík Gemini symetrický 10mm - 2ks</v>
      </c>
      <c r="D31" s="17">
        <f>IF((D49+D50)&gt;D4,0,D4-(D49+D50))</f>
        <v>0</v>
      </c>
      <c r="E31" s="91">
        <f>+VLOOKUP(B31,cennik!$A:$G,3,FALSE)</f>
        <v>5.1322099999999997</v>
      </c>
      <c r="F31" s="91">
        <f t="shared" ref="F31:F39" si="2">+E31*D31</f>
        <v>0</v>
      </c>
      <c r="G31" s="92">
        <f t="shared" si="1"/>
        <v>0</v>
      </c>
      <c r="H31" s="24" t="str">
        <f>cennik!$B$2</f>
        <v>EUR</v>
      </c>
      <c r="I31" s="469" t="str">
        <f>IFERROR(IF((VLOOKUP(B31,cennik!A:L,12,0))="O",texty!$A$250,""),"")</f>
        <v/>
      </c>
      <c r="J31" s="439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68"/>
      <c r="N31" s="468"/>
      <c r="O31" s="468"/>
      <c r="P31" s="468"/>
      <c r="Q31" s="21" t="s">
        <v>579</v>
      </c>
      <c r="R31" s="21" t="e">
        <f>T8+T8+T8</f>
        <v>#DIV/0!</v>
      </c>
      <c r="S31" s="21" t="e">
        <f>IF(R31&gt;=D4,IF(SUM(S21:S30)&gt;0,"",1),"")</f>
        <v>#DIV/0!</v>
      </c>
      <c r="U31" s="466" t="e">
        <f>IF(S31=1,3,"")</f>
        <v>#DIV/0!</v>
      </c>
    </row>
    <row r="32" spans="1:22" ht="12.75" customHeight="1" x14ac:dyDescent="0.2">
      <c r="A32" s="422" t="str">
        <f>texty!$A$85</f>
        <v>spodné vozíky (sada)</v>
      </c>
      <c r="B32" s="16">
        <f>IF(F4=M70,328321,229441)</f>
        <v>229441</v>
      </c>
      <c r="C32" s="25" t="str">
        <f>+VLOOKUP(B32,cennik!$A:$G,2,FALSE)</f>
        <v>SEVROLL 10200 spodný vozík WD 10C HI-TEC - 2ks</v>
      </c>
      <c r="D32" s="17">
        <f>+D4</f>
        <v>0</v>
      </c>
      <c r="E32" s="91">
        <f>+VLOOKUP(B32,cennik!$A:$G,3,FALSE)</f>
        <v>6.5952500000000001</v>
      </c>
      <c r="F32" s="91">
        <f t="shared" si="2"/>
        <v>0</v>
      </c>
      <c r="G32" s="92">
        <f t="shared" si="1"/>
        <v>0</v>
      </c>
      <c r="H32" s="24" t="str">
        <f>cennik!$B$2</f>
        <v>EUR</v>
      </c>
      <c r="I32" s="469" t="str">
        <f>IFERROR(IF((VLOOKUP(B32,cennik!A:L,12,0))="O",texty!$A$250,""),"")</f>
        <v/>
      </c>
      <c r="J32" s="439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68"/>
      <c r="N32" s="468"/>
      <c r="O32" s="468"/>
      <c r="P32" s="468"/>
      <c r="Q32" s="21" t="s">
        <v>570</v>
      </c>
      <c r="R32" s="21" t="e">
        <f>S8+2*U8</f>
        <v>#DIV/0!</v>
      </c>
      <c r="S32" s="21" t="e">
        <f>IF(R32&gt;=D4,IF(SUM(S21:S31)&gt;0,"",1),"")</f>
        <v>#DIV/0!</v>
      </c>
      <c r="T32" s="466" t="e">
        <f>IF(S32=1,1,"")</f>
        <v>#DIV/0!</v>
      </c>
      <c r="V32" s="466" t="e">
        <f>IF(S32=1,2,"")</f>
        <v>#DIV/0!</v>
      </c>
    </row>
    <row r="33" spans="1:16" ht="12.75" customHeight="1" x14ac:dyDescent="0.2">
      <c r="A33" s="422" t="str">
        <f>+System10!$A$33</f>
        <v>dorazový kartáč</v>
      </c>
      <c r="B33" s="16">
        <v>98067</v>
      </c>
      <c r="C33" s="25" t="str">
        <f>+VLOOKUP(B33,cennik!$A:$G,2,FALSE)</f>
        <v>SEVROLL dorazová kefa zásuvná 14x4mm sivá</v>
      </c>
      <c r="D33" s="17">
        <f>CEILING((B4*D4*2/1000),1)</f>
        <v>0</v>
      </c>
      <c r="E33" s="91">
        <f>+VLOOKUP(B33,cennik!$A:$G,3,FALSE)</f>
        <v>0.19361999999999999</v>
      </c>
      <c r="F33" s="91">
        <f t="shared" si="2"/>
        <v>0</v>
      </c>
      <c r="G33" s="92">
        <f t="shared" si="1"/>
        <v>0</v>
      </c>
      <c r="H33" s="24" t="str">
        <f>cennik!$B$2</f>
        <v>EUR</v>
      </c>
      <c r="I33" s="469" t="str">
        <f>IFERROR(IF((VLOOKUP(B33,cennik!A:L,12,0))="O",texty!$A$250,""),"")</f>
        <v/>
      </c>
      <c r="J33" s="439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6" ht="12.75" customHeight="1" x14ac:dyDescent="0.2">
      <c r="A34" s="422" t="str">
        <f>+System10!$A$34</f>
        <v>úchytková lišta</v>
      </c>
      <c r="B34" s="16" t="e">
        <f>+VLOOKUP(P7,data!$C$485:$D$490,2,0)</f>
        <v>#N/A</v>
      </c>
      <c r="C34" s="25" t="e">
        <f>+VLOOKUP(B34,cennik!$A:$G,2,FALSE)</f>
        <v>#N/A</v>
      </c>
      <c r="D34" s="17">
        <f>IF(B12&lt;=1347,D4*2/2,D4*2)</f>
        <v>0</v>
      </c>
      <c r="E34" s="91" t="e">
        <f>+VLOOKUP(B34,cennik!$A:$G,3,FALSE)</f>
        <v>#N/A</v>
      </c>
      <c r="F34" s="91" t="e">
        <f t="shared" si="2"/>
        <v>#N/A</v>
      </c>
      <c r="G34" s="92" t="e">
        <f t="shared" si="1"/>
        <v>#N/A</v>
      </c>
      <c r="H34" s="24" t="str">
        <f>cennik!$B$2</f>
        <v>EUR</v>
      </c>
      <c r="I34" s="469" t="str">
        <f>IFERROR(IF((VLOOKUP(B34,cennik!A:L,12,0))="O",texty!$A$250,""),"")</f>
        <v/>
      </c>
      <c r="J34" s="439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6" ht="12.75" customHeight="1" x14ac:dyDescent="0.2">
      <c r="A35" s="422" t="str">
        <f>+System10!$A$35</f>
        <v>spojovacia skrutka</v>
      </c>
      <c r="B35" s="24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 t="shared" si="2"/>
        <v>0</v>
      </c>
      <c r="G35" s="92">
        <f t="shared" si="1"/>
        <v>0</v>
      </c>
      <c r="H35" s="24" t="str">
        <f>cennik!$B$2</f>
        <v>EUR</v>
      </c>
      <c r="I35" s="469" t="str">
        <f>IFERROR(IF((VLOOKUP(B35,cennik!A:L,12,0))="O",texty!$A$250,""),"")</f>
        <v/>
      </c>
      <c r="J35" s="439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6" ht="12.75" customHeight="1" x14ac:dyDescent="0.2">
      <c r="A36" s="422" t="str">
        <f>+System10!$A$36</f>
        <v>horný profil rámu (vodiaca lišta)</v>
      </c>
      <c r="B36" s="16" t="e">
        <f>+VLOOKUP(M29,data!C305:D322,2,0)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24" t="str">
        <f>cennik!$B$2</f>
        <v>EUR</v>
      </c>
      <c r="I36" s="469" t="str">
        <f>IFERROR(IF((VLOOKUP(B36,cennik!A:L,12,0))="O",texty!$A$250,""),"")</f>
        <v/>
      </c>
      <c r="J36" s="439" t="e">
        <f>IF(D36&gt;0,IF(VLOOKUP(B36,cennik!A:L,12,FALSE)="O",1,""),"")</f>
        <v>#DIV/0!</v>
      </c>
      <c r="K36" s="191" t="e">
        <f>IF(D36&gt;0,IF(VLOOKUP(B36,cennik!A:L,12,FALSE)="O",1,""),"")</f>
        <v>#DIV/0!</v>
      </c>
      <c r="L36" s="23">
        <f>+System10!L22</f>
        <v>0</v>
      </c>
    </row>
    <row r="37" spans="1:16" ht="12.75" customHeight="1" x14ac:dyDescent="0.2">
      <c r="A37" s="422" t="str">
        <f>+System10!$A$36</f>
        <v>horný profil rámu (vodiaca lišta)</v>
      </c>
      <c r="B37" s="16" t="e">
        <f>IF(M30="jiné","",+VLOOKUP(M30,data!C304:D321,2,0))</f>
        <v>#DIV/0!</v>
      </c>
      <c r="C37" s="446" t="e">
        <f>IF(M30&lt;&gt;"jiné",+VLOOKUP(B37,cennik!$A:$G,2,FALSE),texty!$A$2)</f>
        <v>#DIV/0!</v>
      </c>
      <c r="D37" s="64" t="e">
        <f>N30</f>
        <v>#DIV/0!</v>
      </c>
      <c r="E37" s="447" t="e">
        <f>IF(M30&lt;&gt;"jiné",+VLOOKUP(B37,cennik!$A:$G,3,FALSE),0)</f>
        <v>#DIV/0!</v>
      </c>
      <c r="F37" s="91" t="e">
        <f t="shared" si="2"/>
        <v>#DIV/0!</v>
      </c>
      <c r="G37" s="92" t="e">
        <f t="shared" si="1"/>
        <v>#DIV/0!</v>
      </c>
      <c r="H37" s="24" t="str">
        <f>cennik!$B$2</f>
        <v>EUR</v>
      </c>
      <c r="I37" s="469" t="str">
        <f>IFERROR(IF((VLOOKUP(B37,cennik!A:L,12,0))="O",texty!$A$250,""),"")</f>
        <v/>
      </c>
      <c r="J37" s="439" t="e">
        <f>IF(D37&gt;0,IF(VLOOKUP(B37,cennik!A:L,12,FALSE)="O",1,""),"")</f>
        <v>#DIV/0!</v>
      </c>
      <c r="K37" s="191" t="e">
        <f>IF(D37&gt;0,IF(VLOOKUP(B37,cennik!A:L,12,FALSE)="O",1,""),"")</f>
        <v>#DIV/0!</v>
      </c>
      <c r="L37" s="23"/>
    </row>
    <row r="38" spans="1:16" ht="12.75" customHeight="1" x14ac:dyDescent="0.2">
      <c r="A38" s="422" t="str">
        <f>+System10!A38</f>
        <v>horizontálny spodný profil rámu</v>
      </c>
      <c r="B38" s="24" t="e">
        <f>+VLOOKUP(M29,data!$C$370:$D$384,2,0)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24" t="str">
        <f>cennik!$B$2</f>
        <v>EUR</v>
      </c>
      <c r="I38" s="469" t="str">
        <f>IFERROR(IF((VLOOKUP(B38,cennik!A:L,12,0))="O",texty!$A$250,""),"")</f>
        <v/>
      </c>
      <c r="J38" s="439" t="e">
        <f>IF(D38&gt;0,IF(VLOOKUP(B38,cennik!A:L,12,FALSE)="O",1,""),"")</f>
        <v>#DIV/0!</v>
      </c>
      <c r="K38" s="191" t="e">
        <f>IF(D38&gt;0,IF(VLOOKUP(B38,cennik!A:L,12,FALSE)="O",1,""),"")</f>
        <v>#DIV/0!</v>
      </c>
      <c r="L38" s="23" t="str">
        <f>+System10!L24</f>
        <v>1700-0</v>
      </c>
    </row>
    <row r="39" spans="1:16" ht="12.75" customHeight="1" x14ac:dyDescent="0.2">
      <c r="A39" s="422" t="str">
        <f>+System10!A39</f>
        <v>horizontálny spodný profil rámu</v>
      </c>
      <c r="B39" s="16" t="e">
        <f>IF(M30&lt;&gt;"jiné",+VLOOKUP(M30,data!$C$370:$D$384,2,0),"")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47" t="e">
        <f>IF(M30&lt;&gt;"jiné",+VLOOKUP(B39,cennik!$A:$G,3,FALSE),0)</f>
        <v>#DIV/0!</v>
      </c>
      <c r="F39" s="91" t="e">
        <f t="shared" si="2"/>
        <v>#DIV/0!</v>
      </c>
      <c r="G39" s="92" t="e">
        <f t="shared" si="1"/>
        <v>#DIV/0!</v>
      </c>
      <c r="H39" s="24" t="str">
        <f>cennik!$B$2</f>
        <v>EUR</v>
      </c>
      <c r="I39" s="469" t="str">
        <f>IFERROR(IF((VLOOKUP(B39,cennik!A:L,12,0))="O",texty!$A$250,""),"")</f>
        <v/>
      </c>
      <c r="J39" s="439" t="e">
        <f>IF(D39&gt;0,IF(VLOOKUP(B39,cennik!A:L,12,FALSE)="O",1,""),"")</f>
        <v>#DIV/0!</v>
      </c>
      <c r="K39" s="191" t="e">
        <f>IF(D39&gt;0,IF(VLOOKUP(B39,cennik!A:L,12,FALSE)="O",1,""),"")</f>
        <v>#DIV/0!</v>
      </c>
      <c r="L39" s="23"/>
    </row>
    <row r="40" spans="1:16" ht="12.75" customHeight="1" x14ac:dyDescent="0.2">
      <c r="E40" s="361"/>
      <c r="F40" s="361"/>
      <c r="G40" s="361"/>
      <c r="H40" s="24"/>
      <c r="I40" s="469" t="str">
        <f>IFERROR(IF((VLOOKUP(B40,cennik!A:L,12,0))="O",texty!$A$250,""),"")</f>
        <v/>
      </c>
      <c r="J40" s="439" t="str">
        <f>IF(D40&gt;0,IF(VLOOKUP(B40,cennik!A:L,12,FALSE)="O",1,""),"")</f>
        <v/>
      </c>
      <c r="K40" s="191"/>
      <c r="L40" s="23"/>
    </row>
    <row r="41" spans="1:16" ht="12.75" customHeight="1" x14ac:dyDescent="0.2">
      <c r="A41" s="427" t="str">
        <f>texty!$A$66</f>
        <v>Voliteľné príslušenstvo:</v>
      </c>
      <c r="B41" s="16"/>
      <c r="D41" s="448" t="str">
        <f>+System10!D41</f>
        <v>zadajte počet:</v>
      </c>
      <c r="E41" s="91"/>
      <c r="F41" s="91"/>
      <c r="G41" s="361"/>
      <c r="H41" s="24"/>
      <c r="I41" s="469" t="str">
        <f>IFERROR(IF((VLOOKUP(B41,cennik!A:L,12,0))="O",texty!$A$250,""),"")</f>
        <v/>
      </c>
      <c r="J41" s="439"/>
      <c r="K41" s="191"/>
      <c r="L41" s="23"/>
    </row>
    <row r="42" spans="1:16" ht="12.75" customHeight="1" x14ac:dyDescent="0.2">
      <c r="A42" s="422" t="str">
        <f>texty!A88</f>
        <v>pozicionér do horného vedenia</v>
      </c>
      <c r="B42" s="16">
        <v>298035</v>
      </c>
      <c r="C42" s="25" t="str">
        <f>+VLOOKUP(B42,cennik!$A:$G,2,FALSE)</f>
        <v>SEVROLL 20326 Fix pozicionér pre horný vozík transparentný</v>
      </c>
      <c r="D42" s="373"/>
      <c r="E42" s="91">
        <f>+VLOOKUP(B42,cennik!$A:$G,3,FALSE)</f>
        <v>1.0837300000000001</v>
      </c>
      <c r="F42" s="96">
        <f t="shared" ref="F42:F50" si="3">+CEILING(D42,1)*E42</f>
        <v>0</v>
      </c>
      <c r="G42" s="92">
        <f t="shared" ref="G42:G54" si="4">+F42*(100-$G$26)/100</f>
        <v>0</v>
      </c>
      <c r="H42" s="24" t="str">
        <f>cennik!$B$2</f>
        <v>EUR</v>
      </c>
      <c r="I42" s="469" t="str">
        <f>IFERROR(IF((VLOOKUP(B42,cennik!A:L,12,0))="O",texty!$A$250,""),"")</f>
        <v/>
      </c>
      <c r="J42" s="439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6" ht="12.75" customHeight="1" x14ac:dyDescent="0.2">
      <c r="A43" s="422" t="str">
        <f>+System10!$A$43</f>
        <v xml:space="preserve">pozicionér </v>
      </c>
      <c r="B43" s="16">
        <f>IF(F4="Gemini",387424,89063)</f>
        <v>89063</v>
      </c>
      <c r="C43" s="25" t="str">
        <f>+VLOOKUP(B43,cennik!$A:$G,2,FALSE)</f>
        <v>SEVROLL 20080 pozicionér spodného vozíka HI-TEC</v>
      </c>
      <c r="D43" s="373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24" t="str">
        <f>cennik!$B$2</f>
        <v>EUR</v>
      </c>
      <c r="I43" s="469" t="str">
        <f>IFERROR(IF((VLOOKUP(B43,cennik!A:L,12,0))="O",texty!$A$250,""),"")</f>
        <v/>
      </c>
      <c r="J43" s="439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6" ht="12.75" customHeight="1" x14ac:dyDescent="0.2">
      <c r="A44" s="422" t="str">
        <f>texty!$A$228</f>
        <v> Tlmič dorazu MINI do 25 kg (pár)</v>
      </c>
      <c r="B44" s="16">
        <v>318662</v>
      </c>
      <c r="C44" s="25" t="str">
        <f>+VLOOKUP(B44,cennik!$A:$G,2,FALSE)</f>
        <v>SEVROLL 20368-SV tlmič dorazu Mini SV25 (14-25kg)</v>
      </c>
      <c r="D44" s="373"/>
      <c r="E44" s="91">
        <f>+VLOOKUP(B44,cennik!$A:$G,3,FALSE)</f>
        <v>22.75825</v>
      </c>
      <c r="F44" s="96">
        <f t="shared" si="3"/>
        <v>0</v>
      </c>
      <c r="G44" s="92">
        <f t="shared" si="4"/>
        <v>0</v>
      </c>
      <c r="H44" s="24" t="str">
        <f>cennik!$B$2</f>
        <v>EUR</v>
      </c>
      <c r="I44" s="469" t="str">
        <f>IFERROR(IF((VLOOKUP(B44,cennik!A:L,12,0))="O",texty!$A$250,""),"")</f>
        <v/>
      </c>
      <c r="J44" s="439" t="str">
        <f>IF(D44&gt;0,IF(VLOOKUP(B44,cennik!A:L,12,FALSE)="O",1,""),"")</f>
        <v/>
      </c>
      <c r="K44" s="191" t="str">
        <f>IF(D44&gt;0,IF(VLOOKUP(B44,cennik!A:L,12,FALSE)="O",1,""),"")</f>
        <v/>
      </c>
      <c r="L44" s="24"/>
      <c r="N44" s="468"/>
      <c r="P44" s="468"/>
    </row>
    <row r="45" spans="1:16" ht="12.75" customHeight="1" x14ac:dyDescent="0.2">
      <c r="A45" s="422" t="str">
        <f>texty!$A$229</f>
        <v> Tlmič dorazu MINI do 40 kg (pár)</v>
      </c>
      <c r="B45" s="24">
        <v>283956</v>
      </c>
      <c r="C45" s="25" t="str">
        <f>+VLOOKUP(B45,cennik!$A:$G,2,FALSE)</f>
        <v>SEVROLL 20258-SV tlmič dorazu Mini SV40 (25 - 40kg)</v>
      </c>
      <c r="D45" s="373"/>
      <c r="E45" s="91">
        <f>+VLOOKUP(B45,cennik!$A:$G,3,FALSE)</f>
        <v>22.75825</v>
      </c>
      <c r="F45" s="96">
        <f t="shared" si="3"/>
        <v>0</v>
      </c>
      <c r="G45" s="92">
        <f t="shared" si="4"/>
        <v>0</v>
      </c>
      <c r="H45" s="24" t="str">
        <f>cennik!$B$2</f>
        <v>EUR</v>
      </c>
      <c r="I45" s="469" t="str">
        <f>IFERROR(IF((VLOOKUP(B45,cennik!A:L,12,0))="O",texty!$A$250,""),"")</f>
        <v/>
      </c>
      <c r="J45" s="439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6" ht="12.75" customHeight="1" x14ac:dyDescent="0.2">
      <c r="A46" s="422" t="str">
        <f>texty!$A$230</f>
        <v> Tlmič dorazu MINI do 60 kg (pár)</v>
      </c>
      <c r="B46" s="24">
        <v>351743</v>
      </c>
      <c r="C46" s="25" t="str">
        <f>+VLOOKUP(B46,cennik!$A:$G,2,FALSE)</f>
        <v>SEVROLL 20339-SV tlmič dorazu Mini SV60 (40 - 60kg)</v>
      </c>
      <c r="D46" s="373"/>
      <c r="E46" s="91">
        <f>+VLOOKUP(B46,cennik!$A:$G,3,FALSE)</f>
        <v>22.75825</v>
      </c>
      <c r="F46" s="96">
        <f t="shared" si="3"/>
        <v>0</v>
      </c>
      <c r="G46" s="92">
        <f t="shared" si="4"/>
        <v>0</v>
      </c>
      <c r="H46" s="24" t="str">
        <f>cennik!$B$2</f>
        <v>EUR</v>
      </c>
      <c r="I46" s="469" t="str">
        <f>IFERROR(IF((VLOOKUP(B46,cennik!A:L,12,0))="O",texty!$A$250,""),"")</f>
        <v/>
      </c>
      <c r="J46" s="439" t="str">
        <f>IF(D46&gt;0,IF(VLOOKUP(B46,cennik!A:L,12,FALSE)="O",1,""),"")</f>
        <v/>
      </c>
      <c r="K46" s="191" t="str">
        <f>IF(D46&gt;0,IF(VLOOKUP(B46,cennik!A:L,12,FALSE)="O",1,""),"")</f>
        <v/>
      </c>
    </row>
    <row r="47" spans="1:16" ht="12.75" customHeight="1" x14ac:dyDescent="0.2">
      <c r="A47" s="422" t="str">
        <f>texty!$A$231</f>
        <v> Tlmič pre stredné krídlo do 25 kg</v>
      </c>
      <c r="B47" s="24">
        <v>318663</v>
      </c>
      <c r="C47" s="25" t="str">
        <f>+VLOOKUP(B47,cennik!$A:$G,2,FALSE)</f>
        <v>SEVROLL 20363-SV tlmič Central 10/18mm obojstranný 25kg</v>
      </c>
      <c r="D47" s="373"/>
      <c r="E47" s="91">
        <f>+VLOOKUP(B47,cennik!$A:$G,3,FALSE)</f>
        <v>48.741869999999999</v>
      </c>
      <c r="F47" s="96">
        <f t="shared" si="3"/>
        <v>0</v>
      </c>
      <c r="G47" s="92">
        <f t="shared" si="4"/>
        <v>0</v>
      </c>
      <c r="H47" s="24" t="str">
        <f>cennik!$B$2</f>
        <v>EUR</v>
      </c>
      <c r="I47" s="469" t="str">
        <f>IFERROR(IF((VLOOKUP(B47,cennik!A:L,12,0))="O",texty!$A$250,""),"")</f>
        <v/>
      </c>
      <c r="J47" s="439" t="str">
        <f>IF(D47&gt;0,IF(VLOOKUP(B47,cennik!A:L,12,FALSE)="O",1,""),"")</f>
        <v/>
      </c>
      <c r="K47" s="191" t="str">
        <f>IF(D47&gt;0,IF(VLOOKUP(B47,cennik!A:L,12,FALSE)="O",1,""),"")</f>
        <v/>
      </c>
    </row>
    <row r="48" spans="1:16" ht="12.75" customHeight="1" x14ac:dyDescent="0.2">
      <c r="A48" s="422" t="str">
        <f>texty!$A$232</f>
        <v> Tlmič pre stredné krídlo do 40 kg</v>
      </c>
      <c r="B48" s="24">
        <v>283955</v>
      </c>
      <c r="C48" s="25" t="str">
        <f>+VLOOKUP(B48,cennik!$A:$G,2,FALSE)</f>
        <v>SEVROLL 20319-SV tlmič Central 10/18mm obojstranný 25-40kg</v>
      </c>
      <c r="D48" s="373"/>
      <c r="E48" s="91">
        <f>+VLOOKUP(B48,cennik!$A:$G,3,FALSE)</f>
        <v>48.741869999999999</v>
      </c>
      <c r="F48" s="96">
        <f t="shared" si="3"/>
        <v>0</v>
      </c>
      <c r="G48" s="92">
        <f t="shared" si="4"/>
        <v>0</v>
      </c>
      <c r="H48" s="24" t="str">
        <f>cennik!$B$2</f>
        <v>EUR</v>
      </c>
      <c r="I48" s="469" t="str">
        <f>IFERROR(IF((VLOOKUP(B48,cennik!A:L,12,0))="O",texty!$A$250,""),"")</f>
        <v/>
      </c>
      <c r="J48" s="439" t="str">
        <f>IF(D48&gt;0,IF(VLOOKUP(B48,cennik!A:L,12,FALSE)="O",1,""),"")</f>
        <v/>
      </c>
      <c r="K48" s="191" t="str">
        <f>IF(D48&gt;0,IF(VLOOKUP(B48,cennik!A:L,12,FALSE)="O",1,""),"")</f>
        <v/>
      </c>
    </row>
    <row r="49" spans="1:12" ht="12.75" customHeight="1" x14ac:dyDescent="0.2">
      <c r="A49" s="422" t="str">
        <f>texty!A97</f>
        <v>tlmič dorazu (pár) 25 kg</v>
      </c>
      <c r="B49" s="24">
        <v>227185</v>
      </c>
      <c r="C49" s="25" t="str">
        <f>+VLOOKUP(B49,cennik!$A:$G,2,FALSE)</f>
        <v>K-SEVROLL tlmič dorazu 10/18mm 14-25kg L+P</v>
      </c>
      <c r="D49" s="373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24" t="str">
        <f>cennik!$B$2</f>
        <v>EUR</v>
      </c>
      <c r="I49" s="469" t="str">
        <f>IFERROR(IF((VLOOKUP(B49,cennik!A:L,12,0))="O",texty!$A$250,""),"")</f>
        <v/>
      </c>
      <c r="J49" s="439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">
      <c r="A50" s="422" t="str">
        <f>texty!A98</f>
        <v>tlmič dorazu (pár) 50 kg</v>
      </c>
      <c r="B50" s="24">
        <v>227187</v>
      </c>
      <c r="C50" s="25" t="str">
        <f>+VLOOKUP(B50,cennik!$A:$G,2,FALSE)</f>
        <v>K-SEVROLL tlmič dorazu 10/18mm 25-50kg L+P</v>
      </c>
      <c r="D50" s="373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EUR</v>
      </c>
      <c r="I50" s="469" t="str">
        <f>IFERROR(IF((VLOOKUP(B50,cennik!A:L,12,0))="O",texty!$A$250,""),"")</f>
        <v/>
      </c>
      <c r="J50" s="439" t="str">
        <f>IF(D50&gt;0,IF(VLOOKUP(B50,cennik!A:L,12,FALSE)="O",1,""),"")</f>
        <v/>
      </c>
      <c r="K50" s="191" t="str">
        <f>IF(D50&gt;0,IF(VLOOKUP(B50,cennik!A:L,12,FALSE)="O",1,""),"")</f>
        <v/>
      </c>
      <c r="L50" s="24"/>
    </row>
    <row r="51" spans="1:12" ht="12.75" customHeight="1" x14ac:dyDescent="0.2">
      <c r="A51" s="422" t="str">
        <f>texty!A100</f>
        <v>spojovací profil H10-3metre</v>
      </c>
      <c r="B51" s="16" t="e">
        <f>+VLOOKUP(P7,data!C457:D467,2,0)</f>
        <v>#N/A</v>
      </c>
      <c r="C51" s="25" t="e">
        <f>+VLOOKUP(B51,cennik!$A:$G,2,FALSE)</f>
        <v>#N/A</v>
      </c>
      <c r="D51" s="459"/>
      <c r="E51" s="91" t="e">
        <f>+VLOOKUP(B51,cennik!$A:$G,3,FALSE)</f>
        <v>#N/A</v>
      </c>
      <c r="F51" s="91" t="e">
        <f>+E51*D51</f>
        <v>#N/A</v>
      </c>
      <c r="G51" s="92" t="e">
        <f t="shared" si="4"/>
        <v>#N/A</v>
      </c>
      <c r="H51" s="24" t="str">
        <f>cennik!$B$2</f>
        <v>EUR</v>
      </c>
      <c r="I51" s="469" t="str">
        <f>IFERROR(IF((VLOOKUP(B51,cennik!A:L,12,0))="O",texty!$A$250,""),"")</f>
        <v/>
      </c>
      <c r="J51" s="439" t="str">
        <f>IF(D51&gt;0,IF(VLOOKUP(B51,cennik!A:L,12,FALSE)="O",1,""),"")</f>
        <v/>
      </c>
      <c r="K51" s="191" t="str">
        <f>IF(D51&gt;0,IF(VLOOKUP(B51,cennik!A:L,12,FALSE)="O",1,""),"")</f>
        <v/>
      </c>
      <c r="L51" s="24"/>
    </row>
    <row r="52" spans="1:12" ht="12.75" customHeight="1" x14ac:dyDescent="0.2">
      <c r="A52" s="422" t="str">
        <f>texty!A101</f>
        <v>spojovací profil H30-3metre</v>
      </c>
      <c r="B52" s="17" t="e">
        <f>+VLOOKUP(P7,data!C468:D475,2,0)</f>
        <v>#N/A</v>
      </c>
      <c r="C52" s="25" t="e">
        <f>IF($B$52=data!$D$64,texty!$A$239,+VLOOKUP($B$52,cennik!$A$3:$G$9999,2,FALSE))</f>
        <v>#N/A</v>
      </c>
      <c r="D52" s="459"/>
      <c r="E52" s="91" t="e">
        <f>IF(B52=data!$D$73,0,+VLOOKUP(B52,cennik!$A$3:$G$9999,3,FALSE))</f>
        <v>#N/A</v>
      </c>
      <c r="F52" s="91" t="e">
        <f>+E52*D52</f>
        <v>#N/A</v>
      </c>
      <c r="G52" s="92" t="e">
        <f t="shared" si="4"/>
        <v>#N/A</v>
      </c>
      <c r="H52" s="24" t="str">
        <f>cennik!$B$2</f>
        <v>EUR</v>
      </c>
      <c r="I52" s="469" t="str">
        <f>IFERROR(IF((VLOOKUP(B52,cennik!A:L,12,0))="O",texty!$A$250,""),"")</f>
        <v/>
      </c>
      <c r="J52" s="439" t="str">
        <f>IF(D52&gt;0,IF(VLOOKUP(B52,cennik!A:L,12,FALSE)="O",1,""),"")</f>
        <v/>
      </c>
      <c r="K52" s="191" t="str">
        <f>IF(D52&gt;0,IF(VLOOKUP(B52,cennik!A:L,12,FALSE)="O",1,""),"")</f>
        <v/>
      </c>
      <c r="L52" s="24"/>
    </row>
    <row r="53" spans="1:12" ht="12.75" customHeight="1" x14ac:dyDescent="0.2">
      <c r="A53" s="422" t="str">
        <f>texty!$A$92</f>
        <v>spojovacia skrutka</v>
      </c>
      <c r="B53" s="16">
        <v>89244</v>
      </c>
      <c r="C53" s="25" t="str">
        <f>+VLOOKUP(B53,cennik!$A:$G,2,FALSE)</f>
        <v>SEVROLL 20001 skrutkovrut 6,3x32 SEVROLL a Simple</v>
      </c>
      <c r="D53" s="459"/>
      <c r="E53" s="91">
        <f>+VLOOKUP(B53,cennik!$A:$G,3,FALSE)</f>
        <v>0.15482000000000001</v>
      </c>
      <c r="F53" s="91">
        <f>+E53*D53</f>
        <v>0</v>
      </c>
      <c r="G53" s="92">
        <f t="shared" si="4"/>
        <v>0</v>
      </c>
      <c r="H53" s="24" t="str">
        <f>cennik!$B$2</f>
        <v>EUR</v>
      </c>
      <c r="I53" s="469" t="str">
        <f>IFERROR(IF((VLOOKUP(B53,cennik!A:L,12,0))="O",texty!$A$250,""),"")</f>
        <v/>
      </c>
      <c r="J53" s="439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">
      <c r="A54" s="422" t="str">
        <f>texty!A240</f>
        <v>zámok posuvných dverí</v>
      </c>
      <c r="B54" s="17">
        <v>216363</v>
      </c>
      <c r="C54" s="25" t="str">
        <f>+VLOOKUP(B54,cennik!$A:$G,2,FALSE)</f>
        <v>SEVROLL 20356 zámok na posuvné dvere 10/18mm</v>
      </c>
      <c r="D54" s="459"/>
      <c r="E54" s="91">
        <f>+VLOOKUP(B54,cennik!$A:$G,3,FALSE)</f>
        <v>15.72176</v>
      </c>
      <c r="F54" s="91">
        <f>+E54*D54</f>
        <v>0</v>
      </c>
      <c r="G54" s="92">
        <f t="shared" si="4"/>
        <v>0</v>
      </c>
      <c r="H54" s="24" t="str">
        <f>cennik!$B$2</f>
        <v>EUR</v>
      </c>
      <c r="I54" s="469" t="str">
        <f>IFERROR(IF((VLOOKUP(B54,cennik!A:L,12,0))="O",texty!$A$250,""),"")</f>
        <v/>
      </c>
      <c r="J54" s="439" t="str">
        <f>IF(D54&gt;0,IF(VLOOKUP(B54,cennik!A:L,12,FALSE)="O",1,""),"")</f>
        <v/>
      </c>
      <c r="K54" s="191" t="str">
        <f>IF(D54&gt;0,IF(VLOOKUP(B54,cennik!A:L,12,FALSE)="O",1,""),"")</f>
        <v/>
      </c>
    </row>
    <row r="55" spans="1:12" ht="12.75" customHeight="1" x14ac:dyDescent="0.2">
      <c r="I55" s="469" t="str">
        <f>IFERROR(IF((VLOOKUP(B55,cennik!A:L,12,0))="O",texty!$A$250,""),"")</f>
        <v/>
      </c>
      <c r="J55" s="439"/>
      <c r="K55" s="191"/>
    </row>
    <row r="56" spans="1:12" ht="12.75" customHeight="1" x14ac:dyDescent="0.2">
      <c r="A56" s="429" t="e">
        <f>CONCATENATE(texty!$A$6,ROUND((C13/1000),1),texty!$A$8)</f>
        <v>#DIV/0!</v>
      </c>
      <c r="B56" s="42"/>
      <c r="C56" s="43"/>
      <c r="D56" s="42"/>
      <c r="E56" s="97"/>
      <c r="F56" s="97"/>
      <c r="G56" s="98"/>
      <c r="H56" s="24"/>
      <c r="I56" s="469" t="str">
        <f>IFERROR(IF((VLOOKUP(B56,cennik!A:L,12,0))="O",texty!$A$250,""),"")</f>
        <v/>
      </c>
      <c r="J56" s="439" t="str">
        <f>IF(D56&gt;0,IF(VLOOKUP(B56,cennik!A:L,12,FALSE)="O",1,""),"")</f>
        <v/>
      </c>
      <c r="K56" s="191"/>
    </row>
    <row r="57" spans="1:12" ht="12.75" customHeight="1" x14ac:dyDescent="0.2">
      <c r="C57" s="449" t="str">
        <f>texty!$A$10</f>
        <v>Potrebná dĺžka tesnenia pri celkovom presklení (nutné objednať celé metre)</v>
      </c>
      <c r="D57" s="439" t="e">
        <f>CEILING(((B9+C9)*2/1000*D4),1)</f>
        <v>#DIV/0!</v>
      </c>
      <c r="E57" s="361"/>
      <c r="F57" s="361"/>
      <c r="G57" s="361"/>
      <c r="H57" s="24"/>
      <c r="I57" s="469" t="str">
        <f>IFERROR(IF((VLOOKUP(B57,cennik!A:L,12,0))="O",texty!$A$250,""),"")</f>
        <v/>
      </c>
      <c r="J57" s="439"/>
      <c r="K57" s="191"/>
      <c r="L57" s="24"/>
    </row>
    <row r="58" spans="1:12" ht="12.75" customHeight="1" x14ac:dyDescent="0.2">
      <c r="A58" s="450" t="str">
        <f>texty!$A$12</f>
        <v>(pri kombináciach s H profilmi je nutné pripočítať potrebnú dĺžku - tesnenie musí byť po celom odvode každého skla</v>
      </c>
      <c r="B58" s="451"/>
      <c r="C58" s="452"/>
      <c r="D58" s="451"/>
      <c r="E58" s="441"/>
      <c r="F58" s="441"/>
      <c r="G58" s="441"/>
      <c r="H58" s="24"/>
      <c r="I58" s="469" t="str">
        <f>IFERROR(IF((VLOOKUP(B58,cennik!A:L,12,0))="O",texty!$A$250,""),"")</f>
        <v/>
      </c>
      <c r="J58" s="439" t="str">
        <f>IF(D58&gt;0,IF(VLOOKUP(B58,cennik!A:L,12,FALSE)="O",1,""),"")</f>
        <v/>
      </c>
      <c r="K58" s="191"/>
      <c r="L58" s="24"/>
    </row>
    <row r="59" spans="1:12" ht="12.75" customHeight="1" x14ac:dyDescent="0.2">
      <c r="A59" s="422" t="str">
        <f>System10!A59</f>
        <v>tesnenie na sklo 4mm</v>
      </c>
      <c r="B59" s="17">
        <v>89238</v>
      </c>
      <c r="C59" s="25" t="str">
        <f>+VLOOKUP(B59,cennik!$A:$G,2,FALSE)</f>
        <v>SEVROLL 20031-SV tesnenie na sklo 10/4mm</v>
      </c>
      <c r="D59" s="460"/>
      <c r="E59" s="91">
        <f>+VLOOKUP(B59,cennik!$A:$G,3,FALSE)</f>
        <v>0.79988999999999999</v>
      </c>
      <c r="F59" s="96">
        <f>+CEILING(D59,1)*E59</f>
        <v>0</v>
      </c>
      <c r="G59" s="92">
        <f>+F59*(100-$G$26)/100</f>
        <v>0</v>
      </c>
      <c r="H59" s="24" t="str">
        <f>cennik!$B$2</f>
        <v>EUR</v>
      </c>
      <c r="I59" s="469" t="str">
        <f>IFERROR(IF((VLOOKUP(B59,cennik!A:L,12,0))="O",texty!$A$250,""),"")</f>
        <v/>
      </c>
      <c r="J59" s="439" t="str">
        <f>IF(D59&gt;0,IF(VLOOKUP(B59,cennik!A:L,12,FALSE)="O",1,""),"")</f>
        <v/>
      </c>
      <c r="K59" s="191" t="str">
        <f>IF(D59&gt;0,IF(VLOOKUP(B59,cennik!A:L,12,FALSE)="O",1,""),"")</f>
        <v/>
      </c>
      <c r="L59" s="24"/>
    </row>
    <row r="60" spans="1:12" ht="12.75" customHeight="1" x14ac:dyDescent="0.2">
      <c r="A60" s="422" t="str">
        <f>texty!A103</f>
        <v>tesnenie na sklo 4,5 mm</v>
      </c>
      <c r="B60" s="17">
        <v>135164</v>
      </c>
      <c r="C60" s="25" t="str">
        <f>+VLOOKUP(B60,cennik!$A:$G,2,FALSE)</f>
        <v>SEVROLL 20032-SV tesnenie na sklo 10/4,5mm</v>
      </c>
      <c r="D60" s="460"/>
      <c r="E60" s="91">
        <f>+VLOOKUP(B60,cennik!$A:$G,3,FALSE)</f>
        <v>0.79988999999999999</v>
      </c>
      <c r="F60" s="96">
        <f>+CEILING(D60,1)*E60</f>
        <v>0</v>
      </c>
      <c r="G60" s="92">
        <f>+F60*(100-$G$26)/100</f>
        <v>0</v>
      </c>
      <c r="H60" s="24" t="str">
        <f>cennik!$B$2</f>
        <v>EUR</v>
      </c>
      <c r="I60" s="469" t="str">
        <f>IFERROR(IF((VLOOKUP(B60,cennik!A:L,12,0))="O",texty!$A$250,""),"")</f>
        <v/>
      </c>
      <c r="J60" s="439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">
      <c r="A61" s="422" t="str">
        <f>System10!A61</f>
        <v>tesnenie na sklo 6mm</v>
      </c>
      <c r="B61" s="17">
        <v>89243</v>
      </c>
      <c r="C61" s="25" t="str">
        <f>+VLOOKUP(B61,cennik!$A:$G,2,FALSE)</f>
        <v>SEVROLL 20033-SV tesnenie na sklo 10/6mm</v>
      </c>
      <c r="D61" s="460"/>
      <c r="E61" s="91">
        <f>+VLOOKUP(B61,cennik!$A:$G,3,FALSE)</f>
        <v>0.79988999999999999</v>
      </c>
      <c r="F61" s="96">
        <f>+CEILING(D61,1)*E61</f>
        <v>0</v>
      </c>
      <c r="G61" s="92">
        <f>+F61*(100-$G$26)/100</f>
        <v>0</v>
      </c>
      <c r="H61" s="24" t="str">
        <f>cennik!$B$2</f>
        <v>EUR</v>
      </c>
      <c r="I61" s="469" t="str">
        <f>IFERROR(IF((VLOOKUP(B61,cennik!A:L,12,0))="O",texty!$A$250,""),"")</f>
        <v/>
      </c>
      <c r="J61" s="439" t="str">
        <f>IF(D61&gt;0,IF(VLOOKUP(B61,cennik!A:L,12,FALSE)="O",1,""),"")</f>
        <v/>
      </c>
      <c r="K61" s="191" t="str">
        <f>IF(D61&gt;0,IF(VLOOKUP(B61,cennik!A:L,12,FALSE)="O",1,""),"")</f>
        <v/>
      </c>
      <c r="L61" s="24"/>
    </row>
    <row r="62" spans="1:12" ht="12.75" customHeight="1" x14ac:dyDescent="0.2">
      <c r="A62" s="271" t="str">
        <f>texty!$A$190</f>
        <v>Ďalšie príslušenstvo</v>
      </c>
      <c r="E62" s="361"/>
      <c r="F62" s="361"/>
      <c r="G62" s="361"/>
      <c r="H62" s="24"/>
      <c r="I62" s="469" t="str">
        <f>IFERROR(IF((VLOOKUP(B62,cennik!A:L,12,0))="O",texty!$A$250,""),"")</f>
        <v/>
      </c>
      <c r="J62" s="439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2.75" customHeight="1" x14ac:dyDescent="0.2">
      <c r="A63" s="271" t="str">
        <f>texty!$A$244</f>
        <v>Technický nákres tohoto systému</v>
      </c>
      <c r="B63" s="453">
        <v>129677</v>
      </c>
      <c r="C63" s="453" t="str">
        <f>VLOOKUP(B63,cennik!A:C,2,0)</f>
        <v>SEVROLL 20173 montážny prípravok pre lamino 10mm malý</v>
      </c>
      <c r="D63" s="460"/>
      <c r="E63" s="91">
        <f>+VLOOKUP(B63,cennik!$A:$G,3,FALSE)</f>
        <v>5.0214600000000003</v>
      </c>
      <c r="F63" s="96">
        <f>+CEILING(D63,1)*E63</f>
        <v>0</v>
      </c>
      <c r="G63" s="92">
        <f>+F63</f>
        <v>0</v>
      </c>
      <c r="H63" s="24" t="str">
        <f>cennik!$B$2</f>
        <v>EUR</v>
      </c>
      <c r="I63" s="469" t="str">
        <f>IFERROR(IF((VLOOKUP(B63,cennik!A:L,12,0))="O",texty!$A$250,""),"")</f>
        <v/>
      </c>
      <c r="J63" s="439" t="str">
        <f>IF(D63&gt;0,IF(VLOOKUP(B63,cennik!A:L,12,FALSE)="O",1,""),"")</f>
        <v/>
      </c>
      <c r="K63" s="191" t="str">
        <f>IF(D63&gt;0,IF(VLOOKUP(B63,cennik!A:L,12,FALSE)="O",1,""),"")</f>
        <v/>
      </c>
      <c r="L63" s="24"/>
    </row>
    <row r="64" spans="1:12" ht="12.75" customHeight="1" x14ac:dyDescent="0.2">
      <c r="B64" s="453">
        <v>128842</v>
      </c>
      <c r="C64" s="453" t="str">
        <f>VLOOKUP(B64,cennik!A:C,2,0)</f>
        <v>SEVROLL 20144 vrták stupňovitý 6,5/9,5mm</v>
      </c>
      <c r="D64" s="460"/>
      <c r="E64" s="91">
        <f>+VLOOKUP(B64,cennik!$A:$G,3,FALSE)</f>
        <v>26.752659999999999</v>
      </c>
      <c r="F64" s="96">
        <f>+CEILING(D64,1)*E64</f>
        <v>0</v>
      </c>
      <c r="G64" s="92">
        <f>+F64</f>
        <v>0</v>
      </c>
      <c r="H64" s="24" t="str">
        <f>cennik!$B$2</f>
        <v>EUR</v>
      </c>
      <c r="I64" s="469" t="str">
        <f>IFERROR(IF((VLOOKUP(B64,cennik!A:L,12,0))="O",texty!$A$250,""),"")</f>
        <v/>
      </c>
      <c r="J64" s="439" t="str">
        <f>IF(D64&gt;0,IF(VLOOKUP(B64,cennik!A:L,12,FALSE)="O",1,""),"")</f>
        <v/>
      </c>
      <c r="K64" s="191" t="str">
        <f>IF(D64&gt;0,IF(VLOOKUP(B64,cennik!A:L,12,FALSE)="O",1,""),"")</f>
        <v/>
      </c>
      <c r="L64" s="23"/>
    </row>
    <row r="65" spans="1:14" ht="12.75" customHeight="1" x14ac:dyDescent="0.2">
      <c r="A65" s="469" t="str">
        <f>IF(SUM(D49:D50)&gt;0,IF(C7&lt;(B4/3),texty!$A$212,""),"")</f>
        <v/>
      </c>
      <c r="B65" s="469"/>
      <c r="C65" s="469"/>
      <c r="D65" s="469"/>
      <c r="E65" s="469"/>
      <c r="F65" s="469"/>
      <c r="G65" s="469"/>
      <c r="H65" s="469"/>
      <c r="I65" s="469"/>
      <c r="J65" s="469"/>
      <c r="K65" s="191"/>
      <c r="L65" s="24"/>
    </row>
    <row r="66" spans="1:14" x14ac:dyDescent="0.2">
      <c r="B66" s="17"/>
      <c r="C66" s="17"/>
      <c r="D66" s="455" t="str">
        <f>texty!$A$15</f>
        <v>CELKOM  (bez DPH)</v>
      </c>
      <c r="E66" s="441"/>
      <c r="F66" s="101" t="e">
        <f>SUM(F28:F64)</f>
        <v>#N/A</v>
      </c>
      <c r="G66" s="101" t="e">
        <f>SUM(G28:G64)</f>
        <v>#N/A</v>
      </c>
      <c r="H66" s="24" t="str">
        <f>cennik!$B$2</f>
        <v>EUR</v>
      </c>
      <c r="I66" s="21"/>
      <c r="L66" s="24"/>
    </row>
    <row r="67" spans="1:14" ht="12.75" customHeight="1" x14ac:dyDescent="0.2">
      <c r="A67" s="442" t="str">
        <f>System10!$A$67</f>
        <v>Vaša poznámka:</v>
      </c>
      <c r="B67" s="641"/>
      <c r="C67" s="642"/>
      <c r="D67" s="642"/>
      <c r="E67" s="642"/>
      <c r="F67" s="642"/>
      <c r="G67" s="643"/>
      <c r="H67" s="23"/>
      <c r="L67" s="24"/>
    </row>
    <row r="68" spans="1:14" ht="12.75" customHeight="1" x14ac:dyDescent="0.2">
      <c r="A68" s="630">
        <f>profil!$U$15</f>
        <v>0</v>
      </c>
      <c r="B68" s="631"/>
      <c r="C68" s="631"/>
      <c r="D68" s="631"/>
      <c r="E68" s="631"/>
      <c r="F68" s="631"/>
      <c r="G68" s="631"/>
      <c r="H68" s="631"/>
      <c r="L68" s="24"/>
    </row>
    <row r="69" spans="1:14" ht="12.75" customHeight="1" x14ac:dyDescent="0.2">
      <c r="A69" s="632">
        <f>IF(N73=1,texty!$A$215,IF(K73&gt;0,texty!$A$214,""))</f>
        <v>0</v>
      </c>
      <c r="B69" s="632"/>
      <c r="C69" s="632"/>
      <c r="D69" s="632"/>
      <c r="E69" s="632"/>
      <c r="F69" s="632"/>
      <c r="G69" s="632"/>
      <c r="H69" s="632"/>
      <c r="K69" s="469"/>
    </row>
    <row r="70" spans="1:14" ht="12.75" customHeight="1" x14ac:dyDescent="0.2">
      <c r="I70" s="21"/>
      <c r="J70" s="21"/>
      <c r="L70" s="21" t="str">
        <f>texty!A128</f>
        <v xml:space="preserve">strieborná </v>
      </c>
      <c r="M70" s="21" t="s">
        <v>987</v>
      </c>
    </row>
    <row r="71" spans="1:14" ht="12.75" hidden="1" customHeight="1" x14ac:dyDescent="0.2">
      <c r="I71" s="21"/>
      <c r="J71" s="21"/>
      <c r="L71" s="21" t="str">
        <f>texty!A129</f>
        <v>zlatá</v>
      </c>
      <c r="M71" s="21" t="s">
        <v>43</v>
      </c>
    </row>
    <row r="72" spans="1:14" ht="12.75" hidden="1" customHeight="1" x14ac:dyDescent="0.2">
      <c r="I72" s="21"/>
      <c r="J72" s="21"/>
      <c r="L72" s="21" t="str">
        <f>texty!A130</f>
        <v>oliva</v>
      </c>
    </row>
    <row r="73" spans="1:14" ht="12.75" hidden="1" customHeight="1" x14ac:dyDescent="0.2">
      <c r="I73" s="21"/>
      <c r="J73" s="21"/>
      <c r="K73" s="24" t="e">
        <f>SUM(K27:K64)</f>
        <v>#N/A</v>
      </c>
      <c r="L73" s="21" t="str">
        <f>data!$J$17</f>
        <v>čierna mat</v>
      </c>
      <c r="N73" s="21">
        <f>IF(ISERROR(K73),1,0)</f>
        <v>1</v>
      </c>
    </row>
  </sheetData>
  <sheetProtection algorithmName="SHA-512" hashValue="GFskF0x6CL5rf0NgjnFtdkVkUN78ufzbHXaUtkKsJzGmvZYox5A7yrI8zaZk+CExZ9mar1kYRr2ywjiwnvlGbQ==" saltValue="iHVi2JQR2ldM8HOGH6Xhmw==" spinCount="100000" sheet="1" objects="1" scenarios="1" selectLockedCell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14" priority="3">
      <formula>SUM($D$47:$D$48)&gt;0</formula>
    </cfRule>
  </conditionalFormatting>
  <conditionalFormatting sqref="D6">
    <cfRule type="expression" dxfId="312" priority="13">
      <formula>$D$4=4</formula>
    </cfRule>
    <cfRule type="expression" dxfId="311" priority="14">
      <formula>$D$4&lt;&gt;4</formula>
    </cfRule>
  </conditionalFormatting>
  <conditionalFormatting sqref="G4">
    <cfRule type="expression" dxfId="310" priority="12">
      <formula>$D$4=4</formula>
    </cfRule>
  </conditionalFormatting>
  <conditionalFormatting sqref="I19:I20">
    <cfRule type="expression" dxfId="309" priority="6">
      <formula>$F$4=$M$71</formula>
    </cfRule>
  </conditionalFormatting>
  <conditionalFormatting sqref="I21:I22">
    <cfRule type="expression" dxfId="308" priority="21">
      <formula>$F$4=$M$70</formula>
    </cfRule>
  </conditionalFormatting>
  <dataValidations count="7">
    <dataValidation type="list" allowBlank="1" showInputMessage="1" showErrorMessage="1" sqref="E6:F6" xr:uid="{00000000-0002-0000-0700-000000000000}">
      <formula1>"stříbrná,zlatá,oliva"</formula1>
      <formula2>0</formula2>
    </dataValidation>
    <dataValidation type="list" allowBlank="1" showInputMessage="1" showErrorMessage="1" sqref="E4" xr:uid="{00000000-0002-0000-0700-000001000000}">
      <formula1>$L$70:$L$73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$M$70:$M$71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="85" zoomScaleNormal="85" workbookViewId="0">
      <selection activeCell="B4" sqref="B4"/>
    </sheetView>
  </sheetViews>
  <sheetFormatPr defaultColWidth="0" defaultRowHeight="12.75" customHeight="1" zeroHeight="1" x14ac:dyDescent="0.2"/>
  <cols>
    <col min="1" max="1" width="40.140625" style="21" customWidth="1"/>
    <col min="2" max="2" width="15.7109375" style="21" customWidth="1"/>
    <col min="3" max="3" width="37.42578125" style="21" customWidth="1"/>
    <col min="4" max="7" width="14.7109375" style="21" customWidth="1"/>
    <col min="8" max="8" width="4.7109375" style="21" customWidth="1"/>
    <col min="9" max="9" width="24.7109375" style="24" customWidth="1"/>
    <col min="10" max="10" width="11.42578125" style="24" hidden="1" customWidth="1"/>
    <col min="11" max="11" width="11.28515625" style="24" hidden="1" customWidth="1"/>
    <col min="12" max="12" width="9.140625" style="21" hidden="1" customWidth="1"/>
    <col min="13" max="13" width="8.140625" style="21" hidden="1" customWidth="1"/>
    <col min="14" max="14" width="11.42578125" style="21" hidden="1" customWidth="1"/>
    <col min="15" max="15" width="7.140625" style="21" hidden="1" customWidth="1"/>
    <col min="16" max="16" width="8.7109375" style="21" hidden="1" customWidth="1"/>
    <col min="17" max="17" width="7.140625" style="21" hidden="1" customWidth="1"/>
    <col min="18" max="256" width="9.140625" style="21" hidden="1" customWidth="1"/>
    <col min="257" max="16384" width="5.7109375" style="21" hidden="1"/>
  </cols>
  <sheetData>
    <row r="1" spans="1:22" ht="13.5" customHeight="1" thickBot="1" x14ac:dyDescent="0.25">
      <c r="A1" s="422"/>
      <c r="B1" s="17"/>
      <c r="C1" s="17"/>
      <c r="D1" s="17"/>
      <c r="E1" s="17"/>
      <c r="F1" s="17"/>
      <c r="G1" s="24"/>
      <c r="H1" s="24"/>
      <c r="L1" s="24">
        <v>2</v>
      </c>
      <c r="M1" s="21">
        <v>-8.25</v>
      </c>
    </row>
    <row r="2" spans="1:22" ht="18.75" customHeight="1" x14ac:dyDescent="0.2">
      <c r="A2" s="523" t="s">
        <v>734</v>
      </c>
      <c r="B2" s="419" t="str">
        <f>profil!T7</f>
        <v>Zákazník:, , IČO:</v>
      </c>
      <c r="C2" s="17"/>
      <c r="D2" s="17"/>
      <c r="E2" s="17"/>
      <c r="F2" s="17"/>
      <c r="G2" s="24"/>
      <c r="H2" s="24"/>
      <c r="L2" s="24">
        <v>3</v>
      </c>
    </row>
    <row r="3" spans="1:22" ht="26.25" thickBot="1" x14ac:dyDescent="0.25">
      <c r="A3" s="524" t="str">
        <f>CONCATENATE(texty!A243," ",5,".",50)</f>
        <v>katalóg kovania 2018 str. 5.50</v>
      </c>
      <c r="B3" s="420" t="str">
        <f>CONCATENATE(texty!A34," / max.         2 740 mm /")</f>
        <v>výška / max.         2 740 mm /</v>
      </c>
      <c r="C3" s="421" t="str">
        <f>CONCATENATE(texty!A35," / max 6 000 mm /")</f>
        <v>šírka / max 6 000 mm /</v>
      </c>
      <c r="D3" s="421" t="str">
        <f>+System10!D3</f>
        <v>počet dverí:</v>
      </c>
      <c r="E3" s="421" t="str">
        <f>+System10!E3</f>
        <v>farba</v>
      </c>
      <c r="F3" s="420" t="str">
        <f>texty!A38</f>
        <v>typ spodného vedenia</v>
      </c>
      <c r="G3" s="24"/>
      <c r="H3" s="24"/>
      <c r="L3" s="24"/>
    </row>
    <row r="4" spans="1:22" ht="18" customHeight="1" x14ac:dyDescent="0.2">
      <c r="A4" s="423" t="str">
        <f>+System10!$A$4</f>
        <v>VNÚTORNÝ ROZMER SKRINE:</v>
      </c>
      <c r="B4" s="456"/>
      <c r="C4" s="456"/>
      <c r="D4" s="457"/>
      <c r="E4" s="457"/>
      <c r="F4" s="458"/>
      <c r="G4" s="644"/>
      <c r="H4" s="644"/>
      <c r="I4" s="644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  <c r="N4" s="17"/>
    </row>
    <row r="5" spans="1:22" ht="18" customHeight="1" x14ac:dyDescent="0.2">
      <c r="A5" s="423"/>
      <c r="B5" s="640" t="str">
        <f>+System10!$B$5</f>
        <v>vypíšte týchto 5 políčok !!! Údaje v mm</v>
      </c>
      <c r="C5" s="640"/>
      <c r="D5" s="640"/>
      <c r="E5" s="640"/>
      <c r="F5" s="640"/>
      <c r="G5" s="644"/>
      <c r="H5" s="644"/>
      <c r="I5" s="644"/>
      <c r="K5" s="23" t="str">
        <f>CONCATENATE(K4,"-",E4)</f>
        <v>1700-</v>
      </c>
      <c r="M5" s="23" t="str">
        <f>CONCATENATE(M4,"-",E4,", ",F4)</f>
        <v xml:space="preserve">1700-, </v>
      </c>
      <c r="N5" s="23"/>
    </row>
    <row r="6" spans="1:22" ht="18" customHeight="1" x14ac:dyDescent="0.2">
      <c r="A6" s="423"/>
      <c r="B6" s="431" t="str">
        <f>IF(D4=4,texty!A227,"")</f>
        <v/>
      </c>
      <c r="D6" s="443">
        <v>2</v>
      </c>
      <c r="E6" s="17"/>
      <c r="F6" s="17"/>
      <c r="G6" s="644"/>
      <c r="H6" s="644"/>
      <c r="I6" s="644"/>
      <c r="K6" s="461"/>
      <c r="L6" s="24"/>
      <c r="R6" s="645" t="s">
        <v>557</v>
      </c>
      <c r="S6" s="645" t="s">
        <v>558</v>
      </c>
      <c r="T6" s="645" t="s">
        <v>559</v>
      </c>
      <c r="U6" s="645" t="s">
        <v>560</v>
      </c>
    </row>
    <row r="7" spans="1:22" ht="12.75" customHeight="1" x14ac:dyDescent="0.2">
      <c r="A7" s="423" t="str">
        <f>texty!A71</f>
        <v>krídlo dverí:</v>
      </c>
      <c r="B7" s="57">
        <f>+B4-40</f>
        <v>-40</v>
      </c>
      <c r="C7" s="59" t="e">
        <f>+((C4+(40*(D4-1)))/D4+IF(AND(D4=4,D6=2),M1,0))</f>
        <v>#DIV/0!</v>
      </c>
      <c r="D7" s="17"/>
      <c r="E7" s="17"/>
      <c r="F7" s="17"/>
      <c r="G7" s="434" t="str">
        <f>texty!$A$39</f>
        <v>V prípade použitia skla ako výplne</v>
      </c>
      <c r="H7" s="24"/>
      <c r="L7" s="24"/>
      <c r="O7" s="17" t="e">
        <f>IF(L11="jiné",M12,L11)</f>
        <v>#DIV/0!</v>
      </c>
      <c r="P7" s="21">
        <f>+E4</f>
        <v>0</v>
      </c>
      <c r="R7" s="645"/>
      <c r="S7" s="645"/>
      <c r="T7" s="645"/>
      <c r="U7" s="645"/>
    </row>
    <row r="8" spans="1:22" ht="12.75" customHeight="1" x14ac:dyDescent="0.2">
      <c r="A8" s="423" t="str">
        <f>texty!A72</f>
        <v>rozmer výplne 10 mm:</v>
      </c>
      <c r="B8" s="57">
        <f>+B7-64</f>
        <v>-104</v>
      </c>
      <c r="C8" s="59" t="e">
        <f>+C7-25</f>
        <v>#DIV/0!</v>
      </c>
      <c r="D8" s="17"/>
      <c r="E8" s="17"/>
      <c r="F8" s="17"/>
      <c r="G8" s="434" t="str">
        <f>texty!$A$40</f>
        <v>je treba použiť bezpečnostné sklo</v>
      </c>
      <c r="H8" s="24"/>
      <c r="L8" s="24" t="s">
        <v>60</v>
      </c>
      <c r="M8" s="21" t="s">
        <v>61</v>
      </c>
      <c r="O8" s="23" t="e">
        <f>CONCATENATE(O7,"-",E4)</f>
        <v>#DIV/0!</v>
      </c>
      <c r="Q8" s="21">
        <v>1</v>
      </c>
      <c r="R8" s="462" t="e">
        <f>$C$10+5</f>
        <v>#DIV/0!</v>
      </c>
      <c r="S8" s="21" t="e">
        <f>FLOOR(1700/R8,1)</f>
        <v>#DIV/0!</v>
      </c>
      <c r="T8" s="21" t="e">
        <f>FLOOR(2350/R8,1)</f>
        <v>#DIV/0!</v>
      </c>
      <c r="U8" s="21" t="e">
        <f>FLOOR(3000/R8,1)</f>
        <v>#DIV/0!</v>
      </c>
    </row>
    <row r="9" spans="1:22" ht="12.75" customHeight="1" x14ac:dyDescent="0.2">
      <c r="A9" s="423" t="str">
        <f>texty!A73</f>
        <v>rozmer zrkadla / skla</v>
      </c>
      <c r="B9" s="57">
        <f>+B8</f>
        <v>-104</v>
      </c>
      <c r="C9" s="59" t="e">
        <f>+C8-4</f>
        <v>#DIV/0!</v>
      </c>
      <c r="D9" s="17"/>
      <c r="E9" s="17"/>
      <c r="F9" s="17"/>
      <c r="G9" s="434" t="str">
        <f>texty!$A$41</f>
        <v>alebo sklo zabezpečiť ochrannou fóliou</v>
      </c>
      <c r="H9" s="24"/>
      <c r="L9" s="463" t="e">
        <f>C10*D4</f>
        <v>#DIV/0!</v>
      </c>
      <c r="M9" s="464">
        <f>(D4+1)*5</f>
        <v>5</v>
      </c>
      <c r="Q9" s="21">
        <v>2</v>
      </c>
      <c r="R9" s="462" t="e">
        <f t="shared" ref="R9:R14" si="0">R8+$C$10+5</f>
        <v>#DIV/0!</v>
      </c>
      <c r="S9" s="21" t="e">
        <f>(1700-C10)*S17</f>
        <v>#DIV/0!</v>
      </c>
      <c r="T9" s="21" t="e">
        <f>(2350-C10)*T17</f>
        <v>#DIV/0!</v>
      </c>
      <c r="U9" s="21" t="e">
        <f>(3000-C10)*U17</f>
        <v>#DIV/0!</v>
      </c>
      <c r="V9" s="21" t="s">
        <v>562</v>
      </c>
    </row>
    <row r="10" spans="1:22" ht="12.75" customHeight="1" x14ac:dyDescent="0.2">
      <c r="A10" s="423" t="str">
        <f>texty!A74</f>
        <v>dĺžka vodiacej a krycej lišty krídla</v>
      </c>
      <c r="B10" s="57"/>
      <c r="C10" s="60" t="e">
        <f>+C7-42</f>
        <v>#DIV/0!</v>
      </c>
      <c r="D10" s="17"/>
      <c r="E10" s="17"/>
      <c r="F10" s="17"/>
      <c r="G10" s="435"/>
      <c r="H10" s="24"/>
      <c r="L10" s="21" t="s">
        <v>59</v>
      </c>
      <c r="O10" s="17" t="e">
        <f>IF(L11="jiné",M13,"")</f>
        <v>#DIV/0!</v>
      </c>
      <c r="P10" s="21">
        <f>+E4</f>
        <v>0</v>
      </c>
      <c r="Q10" s="21">
        <v>3</v>
      </c>
      <c r="R10" s="462" t="e">
        <f t="shared" si="0"/>
        <v>#DIV/0!</v>
      </c>
    </row>
    <row r="11" spans="1:22" ht="12.75" customHeight="1" x14ac:dyDescent="0.2">
      <c r="A11" s="423" t="str">
        <f>texty!A75</f>
        <v>Horný/spodný profil</v>
      </c>
      <c r="B11" s="57"/>
      <c r="C11" s="189">
        <f>+C4</f>
        <v>0</v>
      </c>
      <c r="D11" s="17"/>
      <c r="E11" s="17"/>
      <c r="F11" s="17"/>
      <c r="G11" s="23" t="str">
        <f>texty!$A$43</f>
        <v>Maximálna hmotnosť krídla je 50 kg</v>
      </c>
      <c r="H11" s="24"/>
      <c r="L11" s="464" t="e">
        <f>IF((L9+M9)&lt;1700,1700,IF((L9+M9)&lt;2350,2350,IF((L9+M9)&lt;3000,3000,"jiné")))</f>
        <v>#DIV/0!</v>
      </c>
      <c r="N11" s="21" t="s">
        <v>62</v>
      </c>
      <c r="O11" s="23" t="e">
        <f>CONCATENATE(O10,"-",E4)</f>
        <v>#DIV/0!</v>
      </c>
      <c r="Q11" s="21">
        <v>4</v>
      </c>
      <c r="R11" s="462" t="e">
        <f t="shared" si="0"/>
        <v>#DIV/0!</v>
      </c>
    </row>
    <row r="12" spans="1:22" ht="12.75" customHeight="1" x14ac:dyDescent="0.2">
      <c r="A12" s="423" t="str">
        <f>texty!A76</f>
        <v>úchytková lišta</v>
      </c>
      <c r="B12" s="488">
        <f>+B7</f>
        <v>-40</v>
      </c>
      <c r="C12" s="489"/>
      <c r="D12" s="17"/>
      <c r="E12" s="17"/>
      <c r="F12" s="17"/>
      <c r="G12" s="24"/>
      <c r="H12" s="24"/>
      <c r="L12" s="24" t="e">
        <f>C10*(D4-1)+(D4*5)</f>
        <v>#DIV/0!</v>
      </c>
      <c r="M12" s="21" t="e">
        <f>IF(L12&lt;1700,1700,IF(L12&lt;2350,2350,IF(L12&lt;3000,3000,3000)))</f>
        <v>#DIV/0!</v>
      </c>
      <c r="N12" s="21" t="e">
        <f>M12-L12</f>
        <v>#DIV/0!</v>
      </c>
      <c r="Q12" s="21">
        <v>5</v>
      </c>
      <c r="R12" s="462" t="e">
        <f t="shared" si="0"/>
        <v>#DIV/0!</v>
      </c>
    </row>
    <row r="13" spans="1:22" ht="12.75" customHeight="1" x14ac:dyDescent="0.2">
      <c r="A13" s="423" t="str">
        <f>texty!A77</f>
        <v>dĺžka tesnenia na sklo na jednom krídle</v>
      </c>
      <c r="B13" s="64"/>
      <c r="C13" s="491" t="e">
        <f>ROUND(B9*2+C9*2,0)</f>
        <v>#DIV/0!</v>
      </c>
      <c r="D13" s="17"/>
      <c r="E13" s="17"/>
      <c r="F13" s="17"/>
      <c r="G13" s="24"/>
      <c r="H13" s="24"/>
      <c r="L13" s="465" t="e">
        <f>C10+10</f>
        <v>#DIV/0!</v>
      </c>
      <c r="M13" s="21" t="e">
        <f>IF(N12&gt;=0,IF(L13&lt;1700,1700,IF(L13&lt;2350,2350,IF(L13&lt;3000,3000,"jiné"))),IF((L13+C10)&lt;1700,1700,IF((L13+C10)&lt;2350,2350,IF((L13+C10)&lt;3000,3000,"jiné"))))</f>
        <v>#DIV/0!</v>
      </c>
      <c r="N13" s="21" t="e">
        <f>M13-L13</f>
        <v>#DIV/0!</v>
      </c>
      <c r="Q13" s="21">
        <v>6</v>
      </c>
      <c r="R13" s="462" t="e">
        <f t="shared" si="0"/>
        <v>#DIV/0!</v>
      </c>
    </row>
    <row r="14" spans="1:22" ht="24" x14ac:dyDescent="0.2">
      <c r="A14" s="635" t="str">
        <f>IF(SUM(D47:D48)&gt;0,texty!A245,"")</f>
        <v/>
      </c>
      <c r="B14" s="635"/>
      <c r="C14" s="490" t="str">
        <f>texty!A78</f>
        <v>dodatočné odpočty výšky vypočítaných výplní pri použití deliacich profilov výplne:</v>
      </c>
      <c r="D14" s="17"/>
      <c r="E14" s="17"/>
      <c r="F14" s="17"/>
      <c r="G14" s="24"/>
      <c r="H14" s="24"/>
      <c r="L14" s="24"/>
      <c r="M14" s="21" t="e">
        <f>SUM(M12:M13)</f>
        <v>#DIV/0!</v>
      </c>
      <c r="N14" s="21" t="e">
        <f>SUM(N12:N13)</f>
        <v>#DIV/0!</v>
      </c>
      <c r="Q14" s="21">
        <v>7</v>
      </c>
      <c r="R14" s="462" t="e">
        <f t="shared" si="0"/>
        <v>#DIV/0!</v>
      </c>
    </row>
    <row r="15" spans="1:22" ht="17.25" customHeight="1" x14ac:dyDescent="0.2">
      <c r="A15" s="635"/>
      <c r="B15" s="635"/>
      <c r="C15" s="490"/>
      <c r="D15" s="17"/>
      <c r="E15" s="17"/>
      <c r="F15" s="17"/>
      <c r="G15" s="24"/>
      <c r="H15" s="24"/>
      <c r="L15" s="24"/>
      <c r="R15" s="462"/>
    </row>
    <row r="16" spans="1:22" x14ac:dyDescent="0.2">
      <c r="A16" s="422"/>
      <c r="B16" s="17"/>
      <c r="C16" s="490"/>
      <c r="D16" s="17"/>
      <c r="E16" s="17"/>
      <c r="F16" s="17"/>
      <c r="G16" s="24"/>
      <c r="H16" s="24"/>
      <c r="L16" s="24"/>
      <c r="R16" s="462"/>
    </row>
    <row r="17" spans="1:22" ht="12.75" customHeight="1" x14ac:dyDescent="0.2">
      <c r="A17" s="5"/>
      <c r="B17" s="17"/>
      <c r="C17" s="433"/>
      <c r="D17" s="17"/>
      <c r="E17" s="17"/>
      <c r="F17" s="17"/>
      <c r="G17" s="24"/>
      <c r="H17" s="24"/>
      <c r="L17" s="24"/>
      <c r="M17" s="21" t="e">
        <f>M14-C4</f>
        <v>#DIV/0!</v>
      </c>
      <c r="Q17" s="21" t="s">
        <v>561</v>
      </c>
      <c r="S17" s="21" t="e">
        <f>FLOOR($D$4/S8,1)</f>
        <v>#DIV/0!</v>
      </c>
      <c r="T17" s="21" t="e">
        <f>FLOOR($D$4/T8,1)</f>
        <v>#DIV/0!</v>
      </c>
      <c r="U17" s="21" t="e">
        <f>FLOOR($D$4/U8,1)</f>
        <v>#DIV/0!</v>
      </c>
    </row>
    <row r="18" spans="1:22" ht="12.75" customHeight="1" x14ac:dyDescent="0.2">
      <c r="A18" s="422"/>
      <c r="B18" s="17"/>
      <c r="C18" s="433"/>
      <c r="D18" s="17"/>
      <c r="E18" s="17"/>
      <c r="F18" s="17"/>
      <c r="G18" s="24"/>
      <c r="H18" s="24"/>
      <c r="L18" s="24"/>
    </row>
    <row r="19" spans="1:22" ht="14.25" customHeight="1" x14ac:dyDescent="0.2">
      <c r="A19" s="422"/>
      <c r="B19" s="484" t="str">
        <f>texty!A242</f>
        <v>dilatácia 4 mm</v>
      </c>
      <c r="C19" s="119"/>
      <c r="D19" s="17"/>
      <c r="E19" s="17"/>
      <c r="F19" s="17"/>
      <c r="G19" s="24"/>
      <c r="H19" s="24"/>
      <c r="I19" s="638" t="s">
        <v>993</v>
      </c>
      <c r="L19" s="24"/>
    </row>
    <row r="20" spans="1:22" ht="16.5" customHeight="1" x14ac:dyDescent="0.2">
      <c r="A20" s="422"/>
      <c r="B20" s="17"/>
      <c r="C20" s="17"/>
      <c r="E20" s="17"/>
      <c r="F20" s="17"/>
      <c r="G20" s="24"/>
      <c r="H20" s="24"/>
      <c r="I20" s="638"/>
      <c r="L20" s="24"/>
      <c r="M20" s="24"/>
      <c r="R20" s="21" t="s">
        <v>581</v>
      </c>
      <c r="S20" s="21" t="s">
        <v>580</v>
      </c>
      <c r="T20" s="21">
        <v>1700</v>
      </c>
      <c r="U20" s="21">
        <v>2350</v>
      </c>
      <c r="V20" s="21">
        <v>3000</v>
      </c>
    </row>
    <row r="21" spans="1:22" ht="16.5" customHeight="1" x14ac:dyDescent="0.2">
      <c r="A21" s="422"/>
      <c r="B21" s="17"/>
      <c r="C21" s="17"/>
      <c r="D21" s="382"/>
      <c r="E21" s="17"/>
      <c r="F21" s="17"/>
      <c r="G21" s="24"/>
      <c r="H21" s="24"/>
      <c r="I21" s="639" t="s">
        <v>994</v>
      </c>
      <c r="L21" s="24"/>
      <c r="Q21" s="21">
        <v>1</v>
      </c>
      <c r="R21" s="21" t="e">
        <f>S8</f>
        <v>#DIV/0!</v>
      </c>
      <c r="S21" s="21" t="e">
        <f>IF(R21&gt;=D4,1,"")</f>
        <v>#DIV/0!</v>
      </c>
      <c r="T21" s="466" t="e">
        <f>IF(S21=1,1,"")</f>
        <v>#DIV/0!</v>
      </c>
      <c r="U21" s="466"/>
      <c r="V21" s="466"/>
    </row>
    <row r="22" spans="1:22" ht="12.75" customHeight="1" x14ac:dyDescent="0.2">
      <c r="A22" s="422"/>
      <c r="B22" s="17"/>
      <c r="C22" s="17"/>
      <c r="D22" s="17"/>
      <c r="E22" s="17"/>
      <c r="F22" s="17"/>
      <c r="G22" s="24"/>
      <c r="H22" s="24"/>
      <c r="I22" s="639"/>
      <c r="L22" s="23"/>
      <c r="Q22" s="21">
        <v>2</v>
      </c>
      <c r="R22" s="21" t="e">
        <f>T8</f>
        <v>#DIV/0!</v>
      </c>
      <c r="S22" s="21" t="e">
        <f>IF(R22&gt;=D4,IF(S21=1,"",1),"")</f>
        <v>#DIV/0!</v>
      </c>
      <c r="T22" s="466"/>
      <c r="U22" s="466" t="e">
        <f>IF(S22=1,1,"")</f>
        <v>#DIV/0!</v>
      </c>
      <c r="V22" s="466"/>
    </row>
    <row r="23" spans="1:22" ht="12.75" customHeight="1" x14ac:dyDescent="0.2">
      <c r="A23" s="422"/>
      <c r="B23" s="17"/>
      <c r="C23" s="17"/>
      <c r="D23" s="17"/>
      <c r="E23" s="17"/>
      <c r="F23" s="17"/>
      <c r="G23" s="24"/>
      <c r="H23" s="24"/>
      <c r="Q23" s="21">
        <v>3</v>
      </c>
      <c r="R23" s="21" t="e">
        <f>U8</f>
        <v>#DIV/0!</v>
      </c>
      <c r="S23" s="21" t="e">
        <f>IF(R23&gt;=D4,IF(R22&gt;=D4,"",1),"")</f>
        <v>#DIV/0!</v>
      </c>
      <c r="V23" s="466" t="e">
        <f>IF(S23=1,1,"")</f>
        <v>#DIV/0!</v>
      </c>
    </row>
    <row r="24" spans="1:22" ht="12.75" customHeight="1" x14ac:dyDescent="0.2">
      <c r="A24" s="422"/>
      <c r="B24" s="17"/>
      <c r="C24" s="17"/>
      <c r="D24" s="17"/>
      <c r="E24" s="17"/>
      <c r="F24" s="17"/>
      <c r="G24" s="24"/>
      <c r="H24" s="24"/>
      <c r="L24" s="21" t="str">
        <f>CONCATENATE(N24,"-",$P$7)</f>
        <v>1700-0</v>
      </c>
      <c r="M24" s="24" t="e">
        <f>SUM(T21:T32)</f>
        <v>#DIV/0!</v>
      </c>
      <c r="N24" s="21">
        <v>1700</v>
      </c>
      <c r="P24" s="21" t="s">
        <v>563</v>
      </c>
      <c r="Q24" s="467" t="s">
        <v>564</v>
      </c>
      <c r="R24" s="21" t="e">
        <f>S8+T8</f>
        <v>#DIV/0!</v>
      </c>
      <c r="S24" s="21" t="e">
        <f>IF(R24&gt;=D4,IF(SUM(S21:S23)&gt;0,"",1),"")</f>
        <v>#DIV/0!</v>
      </c>
      <c r="T24" s="466" t="e">
        <f>IF(S24=1,1,"")</f>
        <v>#DIV/0!</v>
      </c>
      <c r="U24" s="466" t="e">
        <f>IF(S24=1,1,"")</f>
        <v>#DIV/0!</v>
      </c>
    </row>
    <row r="25" spans="1:22" ht="12.75" customHeight="1" x14ac:dyDescent="0.2">
      <c r="A25" s="422"/>
      <c r="B25" s="17"/>
      <c r="D25" s="17"/>
      <c r="E25" s="17"/>
      <c r="F25" s="17"/>
      <c r="G25" s="438" t="str">
        <f>texty!$A$21</f>
        <v>partnerská zľava:</v>
      </c>
      <c r="H25" s="24"/>
      <c r="L25" s="21" t="str">
        <f>CONCATENATE(N25,"-",$P$7)</f>
        <v>2350-0</v>
      </c>
      <c r="M25" s="24" t="e">
        <f>SUM(U21:U32)</f>
        <v>#DIV/0!</v>
      </c>
      <c r="N25" s="21">
        <v>2350</v>
      </c>
      <c r="Q25" s="21" t="s">
        <v>576</v>
      </c>
      <c r="R25" s="21" t="e">
        <f>T8+T8</f>
        <v>#DIV/0!</v>
      </c>
      <c r="S25" s="21" t="e">
        <f>IF(R25&gt;=D4,IF(SUM(S21:S24)&gt;0,"",1),"")</f>
        <v>#DIV/0!</v>
      </c>
      <c r="U25" s="466" t="e">
        <f>IF(S25=1,2,"")</f>
        <v>#DIV/0!</v>
      </c>
    </row>
    <row r="26" spans="1:22" ht="12.75" customHeight="1" x14ac:dyDescent="0.2">
      <c r="A26" s="427" t="str">
        <f>+System10!$A$26</f>
        <v>Objednávacie kódy, ceny:</v>
      </c>
      <c r="B26" s="17"/>
      <c r="D26" s="17"/>
      <c r="E26" s="17"/>
      <c r="F26" s="17"/>
      <c r="G26" s="374">
        <f>profil!C15</f>
        <v>0</v>
      </c>
      <c r="H26" s="440" t="s">
        <v>57</v>
      </c>
      <c r="L26" s="21" t="str">
        <f>CONCATENATE(N26,"-",$P$7)</f>
        <v>3000-0</v>
      </c>
      <c r="M26" s="24" t="e">
        <f>SUM(V21:V32)</f>
        <v>#DIV/0!</v>
      </c>
      <c r="N26" s="21">
        <v>3000</v>
      </c>
      <c r="O26" s="468"/>
      <c r="Q26" s="21" t="s">
        <v>565</v>
      </c>
      <c r="R26" s="21" t="e">
        <f>S8+U8</f>
        <v>#DIV/0!</v>
      </c>
      <c r="S26" s="21" t="e">
        <f>IF(R26&gt;=D4,IF(SUM(S21:S25)&gt;0,"",1),"")</f>
        <v>#DIV/0!</v>
      </c>
      <c r="T26" s="466" t="e">
        <f>IF(S26=1,1,"")</f>
        <v>#DIV/0!</v>
      </c>
      <c r="V26" s="466" t="e">
        <f>IF(S26=1,1,"")</f>
        <v>#DIV/0!</v>
      </c>
    </row>
    <row r="27" spans="1:22" ht="12.75" customHeight="1" x14ac:dyDescent="0.2">
      <c r="A27" s="422"/>
      <c r="B27" s="19" t="s">
        <v>3</v>
      </c>
      <c r="C27" s="20" t="str">
        <f>texty!$A$16</f>
        <v>názov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celkom</v>
      </c>
      <c r="G27" s="20" t="str">
        <f>texty!$A$20</f>
        <v>celkom netto:</v>
      </c>
      <c r="H27" s="24"/>
      <c r="I27" s="20" t="str">
        <f>texty!A29</f>
        <v>Poznámka:</v>
      </c>
      <c r="J27" s="20"/>
      <c r="L27" s="24"/>
      <c r="M27" s="21">
        <f>COUNT(M24,M25,M26)</f>
        <v>0</v>
      </c>
      <c r="N27" s="468"/>
      <c r="O27" s="468"/>
      <c r="Q27" s="21" t="s">
        <v>566</v>
      </c>
      <c r="R27" s="21" t="e">
        <f>T8+U8</f>
        <v>#DIV/0!</v>
      </c>
      <c r="S27" s="21" t="e">
        <f>IF(R27&gt;=D4,IF(SUM(S21:S26)&gt;0,"",1),"")</f>
        <v>#DIV/0!</v>
      </c>
      <c r="U27" s="466" t="e">
        <f>IF(S27=1,1,"")</f>
        <v>#DIV/0!</v>
      </c>
      <c r="V27" s="466" t="e">
        <f>IF(S27=1,1,"")</f>
        <v>#DIV/0!</v>
      </c>
    </row>
    <row r="28" spans="1:22" ht="12.75" customHeight="1" x14ac:dyDescent="0.2">
      <c r="A28" s="422" t="str">
        <f>+System10!$A$28</f>
        <v>Horný profil:</v>
      </c>
      <c r="B28" s="16" t="e">
        <f>+VLOOKUP(K5,data!$C$196:$D$215,2,0)</f>
        <v>#N/A</v>
      </c>
      <c r="C28" s="25" t="e">
        <f>+VLOOKUP(B28,cennik!$A:$G,2,FALSE)</f>
        <v>#N/A</v>
      </c>
      <c r="D28" s="17">
        <v>1</v>
      </c>
      <c r="E28" s="91" t="e">
        <f>+VLOOKUP(B28,cennik!$A:$G,3,FALSE)</f>
        <v>#N/A</v>
      </c>
      <c r="F28" s="91" t="e">
        <f>+E28*D28</f>
        <v>#N/A</v>
      </c>
      <c r="G28" s="92" t="e">
        <f t="shared" ref="G28:G39" si="1">+F28*(100-$G$26)/100</f>
        <v>#N/A</v>
      </c>
      <c r="H28" s="24" t="str">
        <f>cennik!$B$2</f>
        <v>EUR</v>
      </c>
      <c r="I28" s="469" t="str">
        <f>IFERROR(IF((VLOOKUP(B28,cennik!A:L,12,0))="O",texty!$A$250,""),"")</f>
        <v/>
      </c>
      <c r="J28" s="191"/>
      <c r="K28" s="191" t="e">
        <f>IF(D28&gt;0,IF(VLOOKUP(B28,cennik!A:L,12,FALSE)="O",1,""),"")</f>
        <v>#N/A</v>
      </c>
      <c r="L28" s="24"/>
      <c r="M28" s="468"/>
      <c r="N28" s="468"/>
      <c r="O28" s="468"/>
      <c r="Q28" s="21" t="s">
        <v>577</v>
      </c>
      <c r="R28" s="21" t="e">
        <f>U8+U8</f>
        <v>#DIV/0!</v>
      </c>
      <c r="S28" s="21" t="e">
        <f>IF(R28&gt;=D4,IF(SUM(S21:S27)&gt;0,"",1),"")</f>
        <v>#DIV/0!</v>
      </c>
      <c r="V28" s="466" t="e">
        <f>IF(S28=1,2,"")</f>
        <v>#DIV/0!</v>
      </c>
    </row>
    <row r="29" spans="1:22" ht="12.75" customHeight="1" x14ac:dyDescent="0.2">
      <c r="A29" s="422" t="str">
        <f>+System10!$A$29</f>
        <v>spodný profil:</v>
      </c>
      <c r="B29" s="16" t="e">
        <f>+VLOOKUP(M5,data!$C$4:$D$83,2,0)</f>
        <v>#N/A</v>
      </c>
      <c r="C29" s="25" t="e">
        <f>IF($B$29=data!$D$64,texty!$A$239,+VLOOKUP($B$29,cennik!$A$3:$G$907,2,FALSE))</f>
        <v>#N/A</v>
      </c>
      <c r="D29" s="17">
        <v>1</v>
      </c>
      <c r="E29" s="91" t="e">
        <f>IF(B29=data!$D$73,0,+VLOOKUP(B29,cennik!$A$3:$G$907,3,FALSE))</f>
        <v>#N/A</v>
      </c>
      <c r="F29" s="91" t="e">
        <f>+E29*D29</f>
        <v>#N/A</v>
      </c>
      <c r="G29" s="92" t="e">
        <f t="shared" si="1"/>
        <v>#N/A</v>
      </c>
      <c r="H29" s="24" t="str">
        <f>cennik!$B$2</f>
        <v>EUR</v>
      </c>
      <c r="I29" s="469" t="str">
        <f>IFERROR(IF((VLOOKUP(B29,cennik!A:L,12,0))="O",texty!$A$250,""),"")</f>
        <v/>
      </c>
      <c r="J29" s="439" t="e">
        <f>IF(D29&gt;0,IF(VLOOKUP(B29,cennik!A:L,12,FALSE)="O",1,""),"")</f>
        <v>#N/A</v>
      </c>
      <c r="K29" s="191" t="e">
        <f>IF(D29&gt;0,IF(VLOOKUP(B29,cennik!A:L,12,FALSE)="O",1,""),"")</f>
        <v>#N/A</v>
      </c>
      <c r="L29" s="24" t="s">
        <v>567</v>
      </c>
      <c r="M29" s="21" t="e">
        <f>IF(M24=0,IF(M25=0,L26,L25),L24)</f>
        <v>#DIV/0!</v>
      </c>
      <c r="N29" s="468" t="e">
        <f>IF(M29=L24,M24,IF(M29=L25,M25,IF(M29=L26,M26,"chyba")))</f>
        <v>#DIV/0!</v>
      </c>
      <c r="O29" s="468"/>
      <c r="P29" s="468"/>
      <c r="Q29" s="21" t="s">
        <v>578</v>
      </c>
      <c r="R29" s="21" t="e">
        <f>S8+S8+S8</f>
        <v>#DIV/0!</v>
      </c>
      <c r="S29" s="21" t="e">
        <f>IF(R29&gt;=D4,IF(SUM(S21:S28)&gt;0,"",1),"")</f>
        <v>#DIV/0!</v>
      </c>
      <c r="T29" s="466" t="e">
        <f>IF(S29=1,3,"")</f>
        <v>#DIV/0!</v>
      </c>
    </row>
    <row r="30" spans="1:22" ht="12.75" customHeight="1" x14ac:dyDescent="0.2">
      <c r="A30" s="422" t="str">
        <f>+System10!$A$30</f>
        <v>krycí profil (maska):</v>
      </c>
      <c r="B30" s="16" t="e">
        <f>+VLOOKUP(M5,data!$C$105:$D$195,2,0)</f>
        <v>#N/A</v>
      </c>
      <c r="C30" s="25" t="e">
        <f>IF($B$30=data!$D$64,texty!$A$239,+VLOOKUP($B$30,cennik!$A$3:$G$907,2,FALSE))</f>
        <v>#N/A</v>
      </c>
      <c r="D30" s="17">
        <v>1</v>
      </c>
      <c r="E30" s="91" t="e">
        <f>IF(B30=data!$D$73,0,+VLOOKUP(B30,cennik!$A$3:$G$907,3,FALSE))</f>
        <v>#N/A</v>
      </c>
      <c r="F30" s="91" t="e">
        <f>+E30*D30</f>
        <v>#N/A</v>
      </c>
      <c r="G30" s="92" t="e">
        <f t="shared" si="1"/>
        <v>#N/A</v>
      </c>
      <c r="H30" s="24" t="str">
        <f>cennik!$B$2</f>
        <v>EUR</v>
      </c>
      <c r="I30" s="469" t="str">
        <f>IFERROR(IF((VLOOKUP(B30,cennik!A:L,12,0))="O",texty!$A$250,""),"")</f>
        <v/>
      </c>
      <c r="J30" s="439" t="e">
        <f>IF(D30&gt;0,IF(VLOOKUP(B30,cennik!A:L,12,FALSE)="O",1,""),"")</f>
        <v>#N/A</v>
      </c>
      <c r="K30" s="191" t="e">
        <f>IF(D30&gt;0,IF(VLOOKUP(B30,cennik!A:L,12,FALSE)="O",1,""),"")</f>
        <v>#N/A</v>
      </c>
      <c r="L30" s="24" t="s">
        <v>568</v>
      </c>
      <c r="M30" s="21" t="e">
        <f>IF(M29=L26,"jiné",IF(M29=L24,IF(M25&lt;&gt;0,L25,IF(M26&lt;&gt;0,L26,"jiné")),IF(M26&lt;&gt;0,L26,"jiné")))</f>
        <v>#DIV/0!</v>
      </c>
      <c r="N30" s="468" t="e">
        <f>IF(M30=L25,M25,IF(M30=L26,M26,IF(M30=L27,M27,0)))</f>
        <v>#DIV/0!</v>
      </c>
      <c r="O30" s="468"/>
      <c r="P30" s="468"/>
      <c r="Q30" s="21" t="s">
        <v>569</v>
      </c>
      <c r="R30" s="21" t="e">
        <f>S8+2*T8</f>
        <v>#DIV/0!</v>
      </c>
      <c r="S30" s="21" t="e">
        <f>IF(R30&gt;=D4,IF(SUM(S21:S29)&gt;0,"",1),"")</f>
        <v>#DIV/0!</v>
      </c>
      <c r="T30" s="466" t="e">
        <f>IF(S30=1,1,"")</f>
        <v>#DIV/0!</v>
      </c>
      <c r="U30" s="466" t="e">
        <f>IF(S30=1,2,"")</f>
        <v>#DIV/0!</v>
      </c>
    </row>
    <row r="31" spans="1:22" ht="12.75" customHeight="1" x14ac:dyDescent="0.2">
      <c r="A31" s="422" t="str">
        <f>+System10!$A$31</f>
        <v>horné vozíky (sady)</v>
      </c>
      <c r="B31" s="16">
        <v>89265</v>
      </c>
      <c r="C31" s="25" t="str">
        <f>+VLOOKUP(B31,cennik!$A:$G,2,FALSE)</f>
        <v>SEVROLL 10202 horný vozík 10mm asymetrický L+P</v>
      </c>
      <c r="D31" s="17">
        <f>IF((D49+D50)&gt;D4,0,D4-(D49+D50))</f>
        <v>0</v>
      </c>
      <c r="E31" s="91">
        <f>+VLOOKUP(B31,cennik!$A:$G,3,FALSE)</f>
        <v>5.55023</v>
      </c>
      <c r="F31" s="91">
        <f t="shared" ref="F31:F39" si="2">+E31*D31</f>
        <v>0</v>
      </c>
      <c r="G31" s="92">
        <f t="shared" si="1"/>
        <v>0</v>
      </c>
      <c r="H31" s="24" t="str">
        <f>cennik!$B$2</f>
        <v>EUR</v>
      </c>
      <c r="I31" s="469" t="str">
        <f>IFERROR(IF((VLOOKUP(B31,cennik!A:L,12,0))="O",texty!$A$250,""),"")</f>
        <v/>
      </c>
      <c r="J31" s="439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68"/>
      <c r="N31" s="468"/>
      <c r="O31" s="468"/>
      <c r="P31" s="468"/>
      <c r="Q31" s="21" t="s">
        <v>579</v>
      </c>
      <c r="R31" s="21" t="e">
        <f>T8+T8+T8</f>
        <v>#DIV/0!</v>
      </c>
      <c r="S31" s="21" t="e">
        <f>IF(R31&gt;=D4,IF(SUM(S21:S30)&gt;0,"",1),"")</f>
        <v>#DIV/0!</v>
      </c>
      <c r="U31" s="466" t="e">
        <f>IF(S31=1,3,"")</f>
        <v>#DIV/0!</v>
      </c>
    </row>
    <row r="32" spans="1:22" ht="12.75" customHeight="1" x14ac:dyDescent="0.2">
      <c r="A32" s="422" t="str">
        <f>+System10!$A$32</f>
        <v>spodné vozíky (sada)</v>
      </c>
      <c r="B32" s="16">
        <f>IF(F4=M66,328321,229441)</f>
        <v>229441</v>
      </c>
      <c r="C32" s="25" t="str">
        <f>+VLOOKUP(B32,cennik!$A:$G,2,FALSE)</f>
        <v>SEVROLL 10200 spodný vozík WD 10C HI-TEC - 2ks</v>
      </c>
      <c r="D32" s="17">
        <f>+D4</f>
        <v>0</v>
      </c>
      <c r="E32" s="91">
        <f>+VLOOKUP(B32,cennik!$A:$G,3,FALSE)</f>
        <v>6.5952500000000001</v>
      </c>
      <c r="F32" s="91">
        <f t="shared" si="2"/>
        <v>0</v>
      </c>
      <c r="G32" s="92">
        <f t="shared" si="1"/>
        <v>0</v>
      </c>
      <c r="H32" s="24" t="str">
        <f>cennik!$B$2</f>
        <v>EUR</v>
      </c>
      <c r="I32" s="469" t="str">
        <f>IFERROR(IF((VLOOKUP(B32,cennik!A:L,12,0))="O",texty!$A$250,""),"")</f>
        <v/>
      </c>
      <c r="J32" s="439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68"/>
      <c r="N32" s="468"/>
      <c r="O32" s="468"/>
      <c r="P32" s="468"/>
      <c r="Q32" s="21" t="s">
        <v>570</v>
      </c>
      <c r="R32" s="21" t="e">
        <f>S8+2*U8</f>
        <v>#DIV/0!</v>
      </c>
      <c r="S32" s="21" t="e">
        <f>IF(R32&gt;=D4,IF(SUM(S21:S31)&gt;0,"",1),"")</f>
        <v>#DIV/0!</v>
      </c>
      <c r="T32" s="466" t="e">
        <f>IF(S32=1,1,"")</f>
        <v>#DIV/0!</v>
      </c>
      <c r="V32" s="466" t="e">
        <f>IF(S32=1,2,"")</f>
        <v>#DIV/0!</v>
      </c>
    </row>
    <row r="33" spans="1:12" ht="12.75" customHeight="1" x14ac:dyDescent="0.2">
      <c r="A33" s="422" t="str">
        <f>+System10!$A$33</f>
        <v>dorazový kartáč</v>
      </c>
      <c r="B33" s="16">
        <v>98067</v>
      </c>
      <c r="C33" s="25" t="str">
        <f>+VLOOKUP(B33,cennik!$A:$G,2,FALSE)</f>
        <v>SEVROLL dorazová kefa zásuvná 14x4mm sivá</v>
      </c>
      <c r="D33" s="17">
        <f>CEILING((B4*D4*2/1000),1)</f>
        <v>0</v>
      </c>
      <c r="E33" s="91">
        <f>+VLOOKUP(B33,cennik!$A:$G,3,FALSE)</f>
        <v>0.19361999999999999</v>
      </c>
      <c r="F33" s="91">
        <f t="shared" si="2"/>
        <v>0</v>
      </c>
      <c r="G33" s="92">
        <f t="shared" si="1"/>
        <v>0</v>
      </c>
      <c r="H33" s="24" t="str">
        <f>cennik!$B$2</f>
        <v>EUR</v>
      </c>
      <c r="I33" s="469" t="str">
        <f>IFERROR(IF((VLOOKUP(B33,cennik!A:L,12,0))="O",texty!$A$250,""),"")</f>
        <v/>
      </c>
      <c r="J33" s="439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2" ht="12.75" customHeight="1" x14ac:dyDescent="0.2">
      <c r="A34" s="422" t="str">
        <f>+System10!$A$34</f>
        <v>úchytková lišta</v>
      </c>
      <c r="B34" s="16" t="e">
        <f>+VLOOKUP(P7,data!$C$665:$D$666,2,0)</f>
        <v>#N/A</v>
      </c>
      <c r="C34" s="25" t="e">
        <f>+VLOOKUP(B34,cennik!$A:$G,2,FALSE)</f>
        <v>#N/A</v>
      </c>
      <c r="D34" s="17">
        <f>IF(B12&lt;=1347,D4*2/2,D4*2)</f>
        <v>0</v>
      </c>
      <c r="E34" s="91" t="e">
        <f>+VLOOKUP(B34,cennik!$A:$G,3,FALSE)</f>
        <v>#N/A</v>
      </c>
      <c r="F34" s="91" t="e">
        <f t="shared" si="2"/>
        <v>#N/A</v>
      </c>
      <c r="G34" s="92" t="e">
        <f t="shared" si="1"/>
        <v>#N/A</v>
      </c>
      <c r="H34" s="24" t="str">
        <f>cennik!$B$2</f>
        <v>EUR</v>
      </c>
      <c r="I34" s="469" t="str">
        <f>IFERROR(IF((VLOOKUP(B34,cennik!A:L,12,0))="O",texty!$A$250,""),"")</f>
        <v/>
      </c>
      <c r="J34" s="439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2" ht="12.75" customHeight="1" x14ac:dyDescent="0.2">
      <c r="A35" s="422" t="str">
        <f>+System10!$A$35</f>
        <v>spojovacia skrutka</v>
      </c>
      <c r="B35" s="16">
        <v>89244</v>
      </c>
      <c r="C35" s="25" t="str">
        <f>+VLOOKUP(B35,cennik!$A:$G,2,FALSE)</f>
        <v>SEVROLL 20001 skrutkovrut 6,3x32 SEVROLL a Simple</v>
      </c>
      <c r="D35" s="17">
        <f>+D4*4</f>
        <v>0</v>
      </c>
      <c r="E35" s="91">
        <f>+VLOOKUP(B35,cennik!$A:$G,3,FALSE)</f>
        <v>0.15482000000000001</v>
      </c>
      <c r="F35" s="91">
        <f t="shared" si="2"/>
        <v>0</v>
      </c>
      <c r="G35" s="92">
        <f t="shared" si="1"/>
        <v>0</v>
      </c>
      <c r="H35" s="24" t="str">
        <f>cennik!$B$2</f>
        <v>EUR</v>
      </c>
      <c r="I35" s="469" t="str">
        <f>IFERROR(IF((VLOOKUP(B35,cennik!A:L,12,0))="O",texty!$A$250,""),"")</f>
        <v/>
      </c>
      <c r="J35" s="439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2" ht="12.75" customHeight="1" x14ac:dyDescent="0.2">
      <c r="A36" s="422" t="str">
        <f>+System10!$A$36</f>
        <v>horný profil rámu (vodiaca lišta)</v>
      </c>
      <c r="B36" s="16" t="e">
        <f>+VLOOKUP(M29,data!C305:D322,2,0)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24" t="str">
        <f>cennik!$B$2</f>
        <v>EUR</v>
      </c>
      <c r="I36" s="469" t="str">
        <f>IFERROR(IF((VLOOKUP(B36,cennik!A:L,12,0))="O",texty!$A$250,""),"")</f>
        <v/>
      </c>
      <c r="J36" s="439" t="e">
        <f>IF(D36&gt;0,IF(VLOOKUP(B36,cennik!A:L,12,FALSE)="O",1,""),"")</f>
        <v>#DIV/0!</v>
      </c>
      <c r="K36" s="191" t="e">
        <f>IF(D36&gt;0,IF(VLOOKUP(B36,cennik!A:L,12,FALSE)="O",1,""),"")</f>
        <v>#DIV/0!</v>
      </c>
      <c r="L36" s="23" t="s">
        <v>13</v>
      </c>
    </row>
    <row r="37" spans="1:12" ht="12.75" customHeight="1" x14ac:dyDescent="0.2">
      <c r="A37" s="422" t="str">
        <f>+System10!$A$36</f>
        <v>horný profil rámu (vodiaca lišta)</v>
      </c>
      <c r="B37" s="24" t="e">
        <f>IF(M30&lt;&gt;"jiné",+VLOOKUP(M30,data!C305:D322,2,0),"")</f>
        <v>#DIV/0!</v>
      </c>
      <c r="C37" s="446" t="e">
        <f>IF(M30&lt;&gt;"jiné",+VLOOKUP(B37,cennik!$A:$G,2,FALSE),texty!$A$2)</f>
        <v>#DIV/0!</v>
      </c>
      <c r="D37" s="64" t="e">
        <f>N30</f>
        <v>#DIV/0!</v>
      </c>
      <c r="E37" s="447" t="e">
        <f>IF(M30&lt;&gt;"jiné",+VLOOKUP(B37,cennik!$A:$G,3,FALSE),0)</f>
        <v>#DIV/0!</v>
      </c>
      <c r="F37" s="91" t="e">
        <f t="shared" si="2"/>
        <v>#DIV/0!</v>
      </c>
      <c r="G37" s="92" t="e">
        <f t="shared" si="1"/>
        <v>#DIV/0!</v>
      </c>
      <c r="H37" s="24" t="str">
        <f>cennik!$B$2</f>
        <v>EUR</v>
      </c>
      <c r="I37" s="469" t="str">
        <f>IFERROR(IF((VLOOKUP(B37,cennik!A:L,12,0))="O",texty!$A$250,""),"")</f>
        <v/>
      </c>
      <c r="J37" s="439" t="e">
        <f>IF(D37&gt;0,IF(VLOOKUP(B37,cennik!A:L,12,FALSE)="O",1,""),"")</f>
        <v>#DIV/0!</v>
      </c>
      <c r="K37" s="191" t="e">
        <f>IF(D37&gt;0,IF(VLOOKUP(B37,cennik!A:L,12,FALSE)="O",1,""),"")</f>
        <v>#DIV/0!</v>
      </c>
      <c r="L37" s="23" t="s">
        <v>13</v>
      </c>
    </row>
    <row r="38" spans="1:12" ht="12.75" customHeight="1" x14ac:dyDescent="0.2">
      <c r="A38" s="422" t="str">
        <f>+System10!A38</f>
        <v>horizontálny spodný profil rámu</v>
      </c>
      <c r="B38" s="16" t="e">
        <f>+VLOOKUP(M29,data!$C$370:$D$384,2,0)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24" t="str">
        <f>cennik!$B$2</f>
        <v>EUR</v>
      </c>
      <c r="I38" s="469" t="str">
        <f>IFERROR(IF((VLOOKUP(B38,cennik!A:L,12,0))="O",texty!$A$250,""),"")</f>
        <v/>
      </c>
      <c r="J38" s="439" t="e">
        <f>IF(D38&gt;0,IF(VLOOKUP(B38,cennik!A:L,12,FALSE)="O",1,""),"")</f>
        <v>#DIV/0!</v>
      </c>
      <c r="K38" s="191" t="e">
        <f>IF(D38&gt;0,IF(VLOOKUP(B38,cennik!A:L,12,FALSE)="O",1,""),"")</f>
        <v>#DIV/0!</v>
      </c>
      <c r="L38" s="23" t="s">
        <v>13</v>
      </c>
    </row>
    <row r="39" spans="1:12" ht="12.75" customHeight="1" x14ac:dyDescent="0.2">
      <c r="A39" s="422" t="str">
        <f>+System10!A39</f>
        <v>horizontálny spodný profil rámu</v>
      </c>
      <c r="B39" s="24" t="e">
        <f>IF(M30&lt;&gt;"jiné",+VLOOKUP(M30,data!$C$370:$D$384,2,0),"")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47" t="e">
        <f>IF(M30&lt;&gt;"jiné",+VLOOKUP(B39,cennik!$A:$G,3,FALSE),0)</f>
        <v>#DIV/0!</v>
      </c>
      <c r="F39" s="91" t="e">
        <f t="shared" si="2"/>
        <v>#DIV/0!</v>
      </c>
      <c r="G39" s="92" t="e">
        <f t="shared" si="1"/>
        <v>#DIV/0!</v>
      </c>
      <c r="H39" s="24" t="str">
        <f>cennik!$B$2</f>
        <v>EUR</v>
      </c>
      <c r="I39" s="469" t="str">
        <f>IFERROR(IF((VLOOKUP(B39,cennik!A:L,12,0))="O",texty!$A$250,""),"")</f>
        <v/>
      </c>
      <c r="J39" s="439" t="e">
        <f>IF(D39&gt;0,IF(VLOOKUP(B39,cennik!A:L,12,FALSE)="O",1,""),"")</f>
        <v>#DIV/0!</v>
      </c>
      <c r="K39" s="191" t="e">
        <f>IF(D39&gt;0,IF(VLOOKUP(B39,cennik!A:L,12,FALSE)="O",1,""),"")</f>
        <v>#DIV/0!</v>
      </c>
      <c r="L39" s="23" t="s">
        <v>13</v>
      </c>
    </row>
    <row r="40" spans="1:12" ht="12.75" customHeight="1" x14ac:dyDescent="0.2">
      <c r="E40" s="361"/>
      <c r="F40" s="361"/>
      <c r="G40" s="361"/>
      <c r="H40" s="24"/>
      <c r="I40" s="469" t="str">
        <f>IFERROR(IF((VLOOKUP(B40,cennik!A:L,12,0))="O",texty!$A$250,""),"")</f>
        <v/>
      </c>
      <c r="J40" s="439"/>
      <c r="K40" s="191"/>
      <c r="L40" s="23" t="s">
        <v>14</v>
      </c>
    </row>
    <row r="41" spans="1:12" ht="12.75" customHeight="1" x14ac:dyDescent="0.2">
      <c r="A41" s="427" t="str">
        <f>texty!$A$66</f>
        <v>Voliteľné príslušenstvo:</v>
      </c>
      <c r="B41" s="16"/>
      <c r="D41" s="448" t="str">
        <f>System10!$D$41</f>
        <v>zadajte počet:</v>
      </c>
      <c r="E41" s="91"/>
      <c r="F41" s="91"/>
      <c r="G41" s="361"/>
      <c r="H41" s="24"/>
      <c r="I41" s="469" t="str">
        <f>IFERROR(IF((VLOOKUP(B41,cennik!A:L,12,0))="O",texty!$A$250,""),"")</f>
        <v/>
      </c>
      <c r="J41" s="439"/>
      <c r="K41" s="191"/>
      <c r="L41" s="23" t="s">
        <v>14</v>
      </c>
    </row>
    <row r="42" spans="1:12" ht="12.75" customHeight="1" x14ac:dyDescent="0.2">
      <c r="A42" s="422" t="str">
        <f>texty!$A$88</f>
        <v>pozicionér do horného vedenia</v>
      </c>
      <c r="B42" s="16">
        <v>298035</v>
      </c>
      <c r="C42" s="25" t="str">
        <f>+VLOOKUP(B42,cennik!$A:$G,2,FALSE)</f>
        <v>SEVROLL 20326 Fix pozicionér pre horný vozík transparentný</v>
      </c>
      <c r="D42" s="373"/>
      <c r="E42" s="91">
        <f>+VLOOKUP(B42,cennik!$A:$G,3,FALSE)</f>
        <v>1.0837300000000001</v>
      </c>
      <c r="F42" s="96">
        <f t="shared" ref="F42:F50" si="3">+CEILING(D42,1)*E42</f>
        <v>0</v>
      </c>
      <c r="G42" s="92">
        <f t="shared" ref="G42:G48" si="4">+F42*(100-$G$26)/100</f>
        <v>0</v>
      </c>
      <c r="H42" s="24" t="str">
        <f>cennik!$B$2</f>
        <v>EUR</v>
      </c>
      <c r="I42" s="469" t="str">
        <f>IFERROR(IF((VLOOKUP(B42,cennik!A:L,12,0))="O",texty!$A$250,""),"")</f>
        <v/>
      </c>
      <c r="J42" s="439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2" ht="12.75" customHeight="1" x14ac:dyDescent="0.2">
      <c r="A43" s="422" t="str">
        <f>+System10!$A$43</f>
        <v xml:space="preserve">pozicionér </v>
      </c>
      <c r="B43" s="16">
        <f>IF(F4="Gemini",387424,89063)</f>
        <v>89063</v>
      </c>
      <c r="C43" s="25" t="str">
        <f>+VLOOKUP(B43,cennik!$A:$G,2,FALSE)</f>
        <v>SEVROLL 20080 pozicionér spodného vozíka HI-TEC</v>
      </c>
      <c r="D43" s="373"/>
      <c r="E43" s="91">
        <f>+VLOOKUP(B43,cennik!$A:$G,3,FALSE)</f>
        <v>0.30964000000000003</v>
      </c>
      <c r="F43" s="96">
        <f t="shared" si="3"/>
        <v>0</v>
      </c>
      <c r="G43" s="92">
        <f t="shared" si="4"/>
        <v>0</v>
      </c>
      <c r="H43" s="24" t="str">
        <f>cennik!$B$2</f>
        <v>EUR</v>
      </c>
      <c r="I43" s="469" t="str">
        <f>IFERROR(IF((VLOOKUP(B43,cennik!A:L,12,0))="O",texty!$A$250,""),"")</f>
        <v/>
      </c>
      <c r="J43" s="439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2" ht="12.75" customHeight="1" x14ac:dyDescent="0.2">
      <c r="A44" s="422" t="str">
        <f>texty!$A$228</f>
        <v> Tlmič dorazu MINI do 25 kg (pár)</v>
      </c>
      <c r="B44" s="16">
        <v>318662</v>
      </c>
      <c r="C44" s="25" t="str">
        <f>+VLOOKUP(B44,cennik!$A:$G,2,FALSE)</f>
        <v>SEVROLL 20368-SV tlmič dorazu Mini SV25 (14-25kg)</v>
      </c>
      <c r="D44" s="373"/>
      <c r="E44" s="91">
        <f>+VLOOKUP(B44,cennik!$A:$G,3,FALSE)</f>
        <v>22.75825</v>
      </c>
      <c r="F44" s="96">
        <f t="shared" si="3"/>
        <v>0</v>
      </c>
      <c r="G44" s="92">
        <f t="shared" si="4"/>
        <v>0</v>
      </c>
      <c r="H44" s="24" t="str">
        <f>cennik!$B$2</f>
        <v>EUR</v>
      </c>
      <c r="I44" s="469" t="str">
        <f>IFERROR(IF((VLOOKUP(B44,cennik!A:L,12,0))="O",texty!$A$250,""),"")</f>
        <v/>
      </c>
      <c r="J44" s="439" t="str">
        <f>IF(D44&gt;0,IF(VLOOKUP(B44,cennik!A:L,12,FALSE)="O",1,""),"")</f>
        <v/>
      </c>
      <c r="K44" s="191" t="str">
        <f>IF(D44&gt;0,IF(VLOOKUP(B44,cennik!A:L,12,FALSE)="O",1,""),"")</f>
        <v/>
      </c>
      <c r="L44" s="24"/>
    </row>
    <row r="45" spans="1:12" ht="12.75" customHeight="1" x14ac:dyDescent="0.2">
      <c r="A45" s="422" t="str">
        <f>texty!$A$229</f>
        <v> Tlmič dorazu MINI do 40 kg (pár)</v>
      </c>
      <c r="B45" s="24">
        <v>283956</v>
      </c>
      <c r="C45" s="25" t="str">
        <f>+VLOOKUP(B45,cennik!$A:$G,2,FALSE)</f>
        <v>SEVROLL 20258-SV tlmič dorazu Mini SV40 (25 - 40kg)</v>
      </c>
      <c r="D45" s="373"/>
      <c r="E45" s="91">
        <f>+VLOOKUP(B45,cennik!$A:$G,3,FALSE)</f>
        <v>22.75825</v>
      </c>
      <c r="F45" s="96">
        <f t="shared" si="3"/>
        <v>0</v>
      </c>
      <c r="G45" s="92">
        <f t="shared" si="4"/>
        <v>0</v>
      </c>
      <c r="H45" s="24" t="str">
        <f>cennik!$B$2</f>
        <v>EUR</v>
      </c>
      <c r="I45" s="469" t="str">
        <f>IFERROR(IF((VLOOKUP(B45,cennik!A:L,12,0))="O",texty!$A$250,""),"")</f>
        <v/>
      </c>
      <c r="J45" s="439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2" ht="12.75" customHeight="1" x14ac:dyDescent="0.2">
      <c r="A46" s="422" t="str">
        <f>texty!$A$230</f>
        <v> Tlmič dorazu MINI do 60 kg (pár)</v>
      </c>
      <c r="B46" s="24">
        <v>351743</v>
      </c>
      <c r="C46" s="25" t="str">
        <f>+VLOOKUP(B46,cennik!$A:$G,2,FALSE)</f>
        <v>SEVROLL 20339-SV tlmič dorazu Mini SV60 (40 - 60kg)</v>
      </c>
      <c r="D46" s="373"/>
      <c r="E46" s="91">
        <f>+VLOOKUP(B46,cennik!$A:$G,3,FALSE)</f>
        <v>22.75825</v>
      </c>
      <c r="F46" s="96">
        <f t="shared" si="3"/>
        <v>0</v>
      </c>
      <c r="G46" s="92">
        <f t="shared" si="4"/>
        <v>0</v>
      </c>
      <c r="H46" s="24" t="str">
        <f>cennik!$B$2</f>
        <v>EUR</v>
      </c>
      <c r="I46" s="469" t="str">
        <f>IFERROR(IF((VLOOKUP(B46,cennik!A:L,12,0))="O",texty!$A$250,""),"")</f>
        <v/>
      </c>
      <c r="J46" s="439" t="str">
        <f>IF(D46&gt;0,IF(VLOOKUP(B46,cennik!A:L,12,FALSE)="O",1,""),"")</f>
        <v/>
      </c>
      <c r="K46" s="191" t="str">
        <f>IF(D46&gt;0,IF(VLOOKUP(B46,cennik!A:L,12,FALSE)="O",1,""),"")</f>
        <v/>
      </c>
      <c r="L46" s="24"/>
    </row>
    <row r="47" spans="1:12" ht="12.75" customHeight="1" x14ac:dyDescent="0.2">
      <c r="A47" s="422" t="str">
        <f>texty!$A$231</f>
        <v> Tlmič pre stredné krídlo do 25 kg</v>
      </c>
      <c r="B47" s="24">
        <v>318663</v>
      </c>
      <c r="C47" s="25" t="str">
        <f>+VLOOKUP(B47,cennik!$A:$G,2,FALSE)</f>
        <v>SEVROLL 20363-SV tlmič Central 10/18mm obojstranný 25kg</v>
      </c>
      <c r="D47" s="373"/>
      <c r="E47" s="91">
        <f>+VLOOKUP(B47,cennik!$A:$G,3,FALSE)</f>
        <v>48.741869999999999</v>
      </c>
      <c r="F47" s="96">
        <f t="shared" si="3"/>
        <v>0</v>
      </c>
      <c r="G47" s="92">
        <f t="shared" si="4"/>
        <v>0</v>
      </c>
      <c r="H47" s="24" t="str">
        <f>cennik!$B$2</f>
        <v>EUR</v>
      </c>
      <c r="I47" s="469" t="str">
        <f>IFERROR(IF((VLOOKUP(B47,cennik!A:L,12,0))="O",texty!$A$250,""),"")</f>
        <v/>
      </c>
      <c r="J47" s="439" t="str">
        <f>IF(D47&gt;0,IF(VLOOKUP(B47,cennik!A:L,12,FALSE)="O",1,""),"")</f>
        <v/>
      </c>
      <c r="K47" s="191" t="str">
        <f>IF(D47&gt;0,IF(VLOOKUP(B47,cennik!A:L,12,FALSE)="O",1,""),"")</f>
        <v/>
      </c>
      <c r="L47" s="24"/>
    </row>
    <row r="48" spans="1:12" ht="12.75" customHeight="1" x14ac:dyDescent="0.2">
      <c r="A48" s="422" t="str">
        <f>texty!$A$232</f>
        <v> Tlmič pre stredné krídlo do 40 kg</v>
      </c>
      <c r="B48" s="24">
        <v>283955</v>
      </c>
      <c r="C48" s="25" t="str">
        <f>+VLOOKUP(B48,cennik!$A:$G,2,FALSE)</f>
        <v>SEVROLL 20319-SV tlmič Central 10/18mm obojstranný 25-40kg</v>
      </c>
      <c r="D48" s="373"/>
      <c r="E48" s="91">
        <f>+VLOOKUP(B48,cennik!$A:$G,3,FALSE)</f>
        <v>48.741869999999999</v>
      </c>
      <c r="F48" s="96">
        <f t="shared" si="3"/>
        <v>0</v>
      </c>
      <c r="G48" s="92">
        <f t="shared" si="4"/>
        <v>0</v>
      </c>
      <c r="H48" s="24" t="str">
        <f>cennik!$B$2</f>
        <v>EUR</v>
      </c>
      <c r="I48" s="469" t="str">
        <f>IFERROR(IF((VLOOKUP(B48,cennik!A:L,12,0))="O",texty!$A$250,""),"")</f>
        <v/>
      </c>
      <c r="J48" s="439" t="str">
        <f>IF(D48&gt;0,IF(VLOOKUP(B48,cennik!A:L,12,FALSE)="O",1,""),"")</f>
        <v/>
      </c>
      <c r="K48" s="191" t="str">
        <f>IF(D48&gt;0,IF(VLOOKUP(B48,cennik!A:L,12,FALSE)="O",1,""),"")</f>
        <v/>
      </c>
      <c r="L48" s="24"/>
    </row>
    <row r="49" spans="1:12" ht="12.75" customHeight="1" x14ac:dyDescent="0.2">
      <c r="A49" s="422" t="str">
        <f>System10!A49</f>
        <v>tlmič dorazu (pár) 25 kg</v>
      </c>
      <c r="B49" s="24">
        <v>227185</v>
      </c>
      <c r="C49" s="25" t="str">
        <f>+VLOOKUP(B49,cennik!$A:$G,2,FALSE)</f>
        <v>K-SEVROLL tlmič dorazu 10/18mm 14-25kg L+P</v>
      </c>
      <c r="D49" s="373"/>
      <c r="E49" s="91">
        <f>+VLOOKUP(B49,cennik!$A:$G,3,FALSE)</f>
        <v>0</v>
      </c>
      <c r="F49" s="96">
        <f t="shared" si="3"/>
        <v>0</v>
      </c>
      <c r="G49" s="92">
        <f t="shared" ref="G49:G54" si="5">+F49*(100-$G$26)/100</f>
        <v>0</v>
      </c>
      <c r="H49" s="24" t="str">
        <f>cennik!$B$2</f>
        <v>EUR</v>
      </c>
      <c r="I49" s="469" t="str">
        <f>IFERROR(IF((VLOOKUP(B49,cennik!A:L,12,0))="O",texty!$A$250,""),"")</f>
        <v/>
      </c>
      <c r="J49" s="439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">
      <c r="A50" s="422" t="str">
        <f>texty!$A$98</f>
        <v>tlmič dorazu (pár) 50 kg</v>
      </c>
      <c r="B50" s="24">
        <v>227187</v>
      </c>
      <c r="C50" s="25" t="str">
        <f>+VLOOKUP(B50,cennik!$A:$G,2,FALSE)</f>
        <v>K-SEVROLL tlmič dorazu 10/18mm 25-50kg L+P</v>
      </c>
      <c r="D50" s="373"/>
      <c r="E50" s="91">
        <f>+VLOOKUP(B50,cennik!$A:$G,3,FALSE)</f>
        <v>0</v>
      </c>
      <c r="F50" s="96">
        <f t="shared" si="3"/>
        <v>0</v>
      </c>
      <c r="G50" s="92">
        <f t="shared" si="5"/>
        <v>0</v>
      </c>
      <c r="H50" s="24" t="str">
        <f>cennik!$B$2</f>
        <v>EUR</v>
      </c>
      <c r="I50" s="469" t="str">
        <f>IFERROR(IF((VLOOKUP(B50,cennik!A:L,12,0))="O",texty!$A$250,""),"")</f>
        <v/>
      </c>
      <c r="J50" s="439" t="str">
        <f>IF(D50&gt;0,IF(VLOOKUP(B50,cennik!A:L,12,FALSE)="O",1,""),"")</f>
        <v/>
      </c>
      <c r="K50" s="191" t="str">
        <f>IF(D50&gt;0,IF(VLOOKUP(B50,cennik!A:L,12,FALSE)="O",1,""),"")</f>
        <v/>
      </c>
    </row>
    <row r="51" spans="1:12" ht="12.75" customHeight="1" x14ac:dyDescent="0.2">
      <c r="A51" s="422" t="str">
        <f>System10!A51</f>
        <v>spojovací profil H10-3metre</v>
      </c>
      <c r="B51" s="16" t="e">
        <f>+VLOOKUP(P7,data!C457:D459,2,0)</f>
        <v>#N/A</v>
      </c>
      <c r="C51" s="25" t="e">
        <f>+VLOOKUP(B51,cennik!$A:$G,2,FALSE)</f>
        <v>#N/A</v>
      </c>
      <c r="D51" s="459"/>
      <c r="E51" s="91" t="e">
        <f>+VLOOKUP(B51,cennik!$A:$G,3,FALSE)</f>
        <v>#N/A</v>
      </c>
      <c r="F51" s="91" t="e">
        <f>+E51*D51</f>
        <v>#N/A</v>
      </c>
      <c r="G51" s="92" t="e">
        <f t="shared" si="5"/>
        <v>#N/A</v>
      </c>
      <c r="H51" s="24" t="str">
        <f>cennik!$B$2</f>
        <v>EUR</v>
      </c>
      <c r="I51" s="469" t="str">
        <f>IFERROR(IF((VLOOKUP(B51,cennik!A:L,12,0))="O",texty!$A$250,""),"")</f>
        <v/>
      </c>
      <c r="J51" s="439" t="str">
        <f>IF(D51&gt;0,IF(VLOOKUP(B51,cennik!A:L,12,FALSE)="O",1,""),"")</f>
        <v/>
      </c>
      <c r="K51" s="191" t="str">
        <f>IF(D51&gt;0,IF(VLOOKUP(B51,cennik!A:L,12,FALSE)="O",1,""),"")</f>
        <v/>
      </c>
    </row>
    <row r="52" spans="1:12" ht="12.75" customHeight="1" x14ac:dyDescent="0.2">
      <c r="A52" s="422" t="str">
        <f>System10!A52</f>
        <v>spojovací profil H30-3metre</v>
      </c>
      <c r="B52" s="17" t="e">
        <f>+VLOOKUP(P7,data!C468:D470,2,0)</f>
        <v>#N/A</v>
      </c>
      <c r="C52" s="25" t="e">
        <f>+VLOOKUP(B52,cennik!$A:$G,2,FALSE)</f>
        <v>#N/A</v>
      </c>
      <c r="D52" s="459"/>
      <c r="E52" s="91" t="e">
        <f>+VLOOKUP(B52,cennik!$A:$G,3,FALSE)</f>
        <v>#N/A</v>
      </c>
      <c r="F52" s="91" t="e">
        <f>+E52*D52</f>
        <v>#N/A</v>
      </c>
      <c r="G52" s="92" t="e">
        <f t="shared" si="5"/>
        <v>#N/A</v>
      </c>
      <c r="H52" s="24" t="str">
        <f>cennik!$B$2</f>
        <v>EUR</v>
      </c>
      <c r="I52" s="469" t="str">
        <f>IFERROR(IF((VLOOKUP(B52,cennik!A:L,12,0))="O",texty!$A$250,""),"")</f>
        <v/>
      </c>
      <c r="J52" s="439" t="str">
        <f>IF(D52&gt;0,IF(VLOOKUP(B52,cennik!A:L,12,FALSE)="O",1,""),"")</f>
        <v/>
      </c>
      <c r="K52" s="191" t="str">
        <f>IF(D52&gt;0,IF(VLOOKUP(B52,cennik!A:L,12,FALSE)="O",1,""),"")</f>
        <v/>
      </c>
    </row>
    <row r="53" spans="1:12" ht="12.75" customHeight="1" x14ac:dyDescent="0.2">
      <c r="A53" s="422" t="str">
        <f>+System10!$A$35</f>
        <v>spojovacia skrutka</v>
      </c>
      <c r="B53" s="16">
        <v>89244</v>
      </c>
      <c r="C53" s="25" t="str">
        <f>+VLOOKUP(B53,cennik!$A:$G,2,FALSE)</f>
        <v>SEVROLL 20001 skrutkovrut 6,3x32 SEVROLL a Simple</v>
      </c>
      <c r="D53" s="459"/>
      <c r="E53" s="91">
        <f>+VLOOKUP(B53,cennik!$A:$G,3,FALSE)</f>
        <v>0.15482000000000001</v>
      </c>
      <c r="F53" s="91">
        <f>+E53*D53</f>
        <v>0</v>
      </c>
      <c r="G53" s="92">
        <f t="shared" si="5"/>
        <v>0</v>
      </c>
      <c r="H53" s="24" t="str">
        <f>cennik!$B$2</f>
        <v>EUR</v>
      </c>
      <c r="I53" s="469" t="str">
        <f>IFERROR(IF((VLOOKUP(B53,cennik!A:L,12,0))="O",texty!$A$250,""),"")</f>
        <v/>
      </c>
      <c r="J53" s="439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">
      <c r="A54" s="422" t="str">
        <f>System10!A55</f>
        <v>protiprachový kartáč</v>
      </c>
      <c r="B54" s="17">
        <v>95946</v>
      </c>
      <c r="C54" s="25" t="str">
        <f>+VLOOKUP(B54,cennik!$A:$G,2,FALSE)</f>
        <v>SEVROLL protiprach.kartáč zásuvný 4,8x13mm</v>
      </c>
      <c r="D54" s="459"/>
      <c r="E54" s="91">
        <f>+VLOOKUP(B54,cennik!$A:$G,3,FALSE)</f>
        <v>0.18106</v>
      </c>
      <c r="F54" s="91">
        <f>+E54*D54</f>
        <v>0</v>
      </c>
      <c r="G54" s="92">
        <f t="shared" si="5"/>
        <v>0</v>
      </c>
      <c r="H54" s="24" t="str">
        <f>cennik!$B$2</f>
        <v>EUR</v>
      </c>
      <c r="I54" s="469" t="str">
        <f>IFERROR(IF((VLOOKUP(B54,cennik!A:L,12,0))="O",texty!$A$250,""),"")</f>
        <v/>
      </c>
      <c r="J54" s="439" t="str">
        <f>IF(D54&gt;0,IF(VLOOKUP(B54,cennik!A:L,12,FALSE)="O",1,""),"")</f>
        <v/>
      </c>
      <c r="K54" s="191" t="str">
        <f>IF(D54&gt;0,IF(VLOOKUP(B54,cennik!A:L,12,FALSE)="O",1,""),"")</f>
        <v/>
      </c>
      <c r="L54" s="24"/>
    </row>
    <row r="55" spans="1:12" ht="12.75" customHeight="1" x14ac:dyDescent="0.2">
      <c r="I55" s="469" t="str">
        <f>IFERROR(IF((VLOOKUP(B55,cennik!A:L,12,0))="O",texty!$A$250,""),"")</f>
        <v/>
      </c>
      <c r="J55" s="21"/>
      <c r="K55" s="191"/>
      <c r="L55" s="24"/>
    </row>
    <row r="56" spans="1:12" ht="12.75" customHeight="1" x14ac:dyDescent="0.2">
      <c r="I56" s="469" t="str">
        <f>IFERROR(IF((VLOOKUP(B56,cennik!A:L,12,0))="O",texty!$A$250,""),"")</f>
        <v/>
      </c>
      <c r="K56" s="191"/>
      <c r="L56" s="24"/>
    </row>
    <row r="57" spans="1:12" ht="12.75" customHeight="1" x14ac:dyDescent="0.2">
      <c r="A57" s="429" t="e">
        <f>CONCATENATE(texty!$A$6,ROUND((C13/1000),1),texty!$A$8)</f>
        <v>#DIV/0!</v>
      </c>
      <c r="B57" s="42"/>
      <c r="C57" s="43"/>
      <c r="D57" s="42"/>
      <c r="E57" s="97"/>
      <c r="F57" s="97"/>
      <c r="G57" s="98"/>
      <c r="H57" s="24"/>
      <c r="I57" s="469" t="str">
        <f>IFERROR(IF((VLOOKUP(B57,cennik!A:L,12,0))="O",texty!$A$250,""),"")</f>
        <v/>
      </c>
      <c r="J57" s="439" t="str">
        <f>IF(D57&gt;0,IF(VLOOKUP(B57,cennik!A:L,12,FALSE)="O",1,""),"")</f>
        <v/>
      </c>
      <c r="K57" s="191"/>
      <c r="L57" s="24"/>
    </row>
    <row r="58" spans="1:12" ht="12.75" customHeight="1" x14ac:dyDescent="0.2">
      <c r="C58" s="449" t="str">
        <f>texty!$A$10</f>
        <v>Potrebná dĺžka tesnenia pri celkovom presklení (nutné objednať celé metre)</v>
      </c>
      <c r="D58" s="439" t="e">
        <f>CEILING(((B9+C9)*2/1000*D4),1)</f>
        <v>#DIV/0!</v>
      </c>
      <c r="E58" s="361"/>
      <c r="F58" s="361"/>
      <c r="G58" s="361"/>
      <c r="H58" s="24"/>
      <c r="I58" s="469" t="str">
        <f>IFERROR(IF((VLOOKUP(B58,cennik!A:L,12,0))="O",texty!$A$250,""),"")</f>
        <v/>
      </c>
      <c r="J58" s="439"/>
      <c r="K58" s="191"/>
      <c r="L58" s="24"/>
    </row>
    <row r="59" spans="1:12" ht="12.75" customHeight="1" x14ac:dyDescent="0.2">
      <c r="A59" s="450" t="str">
        <f>texty!$A$12</f>
        <v>(pri kombináciach s H profilmi je nutné pripočítať potrebnú dĺžku - tesnenie musí byť po celom odvode každého skla</v>
      </c>
      <c r="B59" s="451"/>
      <c r="C59" s="452"/>
      <c r="D59" s="451"/>
      <c r="E59" s="441"/>
      <c r="F59" s="441"/>
      <c r="G59" s="441"/>
      <c r="H59" s="24"/>
      <c r="I59" s="469" t="str">
        <f>IFERROR(IF((VLOOKUP(B59,cennik!A:L,12,0))="O",texty!$A$250,""),"")</f>
        <v/>
      </c>
      <c r="J59" s="439" t="str">
        <f>IF(D59&gt;0,IF(VLOOKUP(B59,cennik!A:L,12,FALSE)="O",1,""),"")</f>
        <v/>
      </c>
      <c r="K59" s="191"/>
      <c r="L59" s="24"/>
    </row>
    <row r="60" spans="1:12" ht="12.75" customHeight="1" x14ac:dyDescent="0.2">
      <c r="A60" s="422" t="str">
        <f>System10!A59</f>
        <v>tesnenie na sklo 4mm</v>
      </c>
      <c r="B60" s="17">
        <v>89238</v>
      </c>
      <c r="C60" s="25" t="str">
        <f>+VLOOKUP(B60,cennik!$A:$G,2,FALSE)</f>
        <v>SEVROLL 20031-SV tesnenie na sklo 10/4mm</v>
      </c>
      <c r="D60" s="460"/>
      <c r="E60" s="91">
        <f>+VLOOKUP(B60,cennik!$A:$G,3,FALSE)</f>
        <v>0.79988999999999999</v>
      </c>
      <c r="F60" s="96">
        <f>+CEILING(D60,1)*E60</f>
        <v>0</v>
      </c>
      <c r="G60" s="92">
        <f>+F60*(100-$G$26)/100</f>
        <v>0</v>
      </c>
      <c r="H60" s="24" t="str">
        <f>cennik!$B$2</f>
        <v>EUR</v>
      </c>
      <c r="I60" s="469" t="str">
        <f>IFERROR(IF((VLOOKUP(B60,cennik!A:L,12,0))="O",texty!$A$250,""),"")</f>
        <v/>
      </c>
      <c r="J60" s="439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">
      <c r="A61" s="422" t="str">
        <f>texty!A103</f>
        <v>tesnenie na sklo 4,5 mm</v>
      </c>
      <c r="B61" s="17">
        <v>135164</v>
      </c>
      <c r="C61" s="25" t="str">
        <f>+VLOOKUP(B61,cennik!$A:$G,2,FALSE)</f>
        <v>SEVROLL 20032-SV tesnenie na sklo 10/4,5mm</v>
      </c>
      <c r="D61" s="460"/>
      <c r="E61" s="91">
        <f>+VLOOKUP(B61,cennik!$A:$G,3,FALSE)</f>
        <v>0.79988999999999999</v>
      </c>
      <c r="F61" s="96">
        <f>+CEILING(D61,1)*E61</f>
        <v>0</v>
      </c>
      <c r="G61" s="92">
        <f>+F61*(100-$G$26)/100</f>
        <v>0</v>
      </c>
      <c r="H61" s="24" t="str">
        <f>cennik!$B$2</f>
        <v>EUR</v>
      </c>
      <c r="I61" s="469" t="str">
        <f>IFERROR(IF((VLOOKUP(B61,cennik!A:L,12,0))="O",texty!$A$250,""),"")</f>
        <v/>
      </c>
      <c r="J61" s="439" t="str">
        <f>IF(D61&gt;0,IF(VLOOKUP(B61,cennik!A:L,12,FALSE)="O",1,""),"")</f>
        <v/>
      </c>
      <c r="K61" s="191" t="str">
        <f>IF(D61&gt;0,IF(VLOOKUP(B61,cennik!A:L,12,FALSE)="O",1,""),"")</f>
        <v/>
      </c>
      <c r="L61" s="23"/>
    </row>
    <row r="62" spans="1:12" ht="12.75" customHeight="1" x14ac:dyDescent="0.2">
      <c r="A62" s="422" t="str">
        <f>System10!A61</f>
        <v>tesnenie na sklo 6mm</v>
      </c>
      <c r="B62" s="17">
        <v>89243</v>
      </c>
      <c r="C62" s="25" t="str">
        <f>+VLOOKUP(B62,cennik!$A:$G,2,FALSE)</f>
        <v>SEVROLL 20033-SV tesnenie na sklo 10/6mm</v>
      </c>
      <c r="D62" s="460"/>
      <c r="E62" s="91">
        <f>+VLOOKUP(B62,cennik!$A:$G,3,FALSE)</f>
        <v>0.79988999999999999</v>
      </c>
      <c r="F62" s="96">
        <f>+CEILING(D62,1)*E62</f>
        <v>0</v>
      </c>
      <c r="G62" s="92">
        <f>+F62*(100-$G$26)/100</f>
        <v>0</v>
      </c>
      <c r="H62" s="24" t="str">
        <f>cennik!$B$2</f>
        <v>EUR</v>
      </c>
      <c r="I62" s="469" t="str">
        <f>IFERROR(IF((VLOOKUP(B62,cennik!A:L,12,0))="O",texty!$A$250,""),"")</f>
        <v/>
      </c>
      <c r="J62" s="439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5" x14ac:dyDescent="0.2">
      <c r="A63" s="271" t="str">
        <f>texty!$A$190</f>
        <v>Ďalšie príslušenstvo</v>
      </c>
      <c r="E63" s="361"/>
      <c r="F63" s="361"/>
      <c r="G63" s="361"/>
      <c r="H63" s="24"/>
      <c r="I63" s="469" t="str">
        <f>IFERROR(IF((VLOOKUP(B63,cennik!A:L,12,0))="O",texty!$A$250,""),"")</f>
        <v/>
      </c>
      <c r="J63" s="439" t="str">
        <f>IF(D63&gt;0,IF(VLOOKUP(B63,cennik!A:L,12,FALSE)="O",1,""),"")</f>
        <v/>
      </c>
      <c r="K63" s="191" t="str">
        <f>IF(D63&gt;0,IF(VLOOKUP(B63,cennik!A:L,12,FALSE)="O",1,""),"")</f>
        <v/>
      </c>
    </row>
    <row r="64" spans="1:12" ht="12.75" customHeight="1" x14ac:dyDescent="0.2">
      <c r="A64" s="271" t="str">
        <f>texty!$A$244</f>
        <v>Technický nákres tohoto systému</v>
      </c>
      <c r="B64" s="453">
        <v>129677</v>
      </c>
      <c r="C64" s="453" t="str">
        <f>VLOOKUP(B64,cennik!A:C,2,0)</f>
        <v>SEVROLL 20173 montážny prípravok pre lamino 10mm malý</v>
      </c>
      <c r="D64" s="460"/>
      <c r="E64" s="91">
        <f>+VLOOKUP(B64,cennik!$A:$G,3,FALSE)</f>
        <v>5.0214600000000003</v>
      </c>
      <c r="F64" s="96">
        <f>+CEILING(D64,1)*E64</f>
        <v>0</v>
      </c>
      <c r="G64" s="92">
        <f>+F64</f>
        <v>0</v>
      </c>
      <c r="H64" s="24" t="str">
        <f>cennik!$B$2</f>
        <v>EUR</v>
      </c>
      <c r="I64" s="469" t="str">
        <f>IFERROR(IF((VLOOKUP(B64,cennik!A:L,12,0))="O",texty!$A$250,""),"")</f>
        <v/>
      </c>
      <c r="J64" s="439" t="str">
        <f>IF(D64&gt;0,IF(VLOOKUP(B64,cennik!A:L,12,FALSE)="O",1,""),"")</f>
        <v/>
      </c>
      <c r="K64" s="191" t="str">
        <f>IF(D64&gt;0,IF(VLOOKUP(B64,cennik!A:L,12,FALSE)="O",1,""),"")</f>
        <v/>
      </c>
    </row>
    <row r="65" spans="1:14" ht="12.75" customHeight="1" x14ac:dyDescent="0.2">
      <c r="B65" s="453">
        <v>128842</v>
      </c>
      <c r="C65" s="453" t="str">
        <f>VLOOKUP(B65,cennik!A:C,2,0)</f>
        <v>SEVROLL 20144 vrták stupňovitý 6,5/9,5mm</v>
      </c>
      <c r="D65" s="460"/>
      <c r="E65" s="91">
        <f>+VLOOKUP(B65,cennik!$A:$G,3,FALSE)</f>
        <v>26.752659999999999</v>
      </c>
      <c r="F65" s="96">
        <f>+CEILING(D65,1)*E65</f>
        <v>0</v>
      </c>
      <c r="G65" s="92">
        <f>+F65</f>
        <v>0</v>
      </c>
      <c r="H65" s="24" t="str">
        <f>cennik!$B$2</f>
        <v>EUR</v>
      </c>
      <c r="I65" s="469" t="str">
        <f>IFERROR(IF((VLOOKUP(B65,cennik!A:L,12,0))="O",texty!$A$250,""),"")</f>
        <v/>
      </c>
      <c r="J65" s="439" t="str">
        <f>IF(D65&gt;0,IF(VLOOKUP(B65,cennik!A:L,12,FALSE)="O",1,""),"")</f>
        <v/>
      </c>
      <c r="K65" s="191" t="str">
        <f>IF(D65&gt;0,IF(VLOOKUP(B65,cennik!A:L,12,FALSE)="O",1,""),"")</f>
        <v/>
      </c>
    </row>
    <row r="66" spans="1:14" ht="12.75" customHeight="1" x14ac:dyDescent="0.2">
      <c r="A66" s="637" t="str">
        <f>IF(SUM(D49:D50)&gt;0,IF(C7&lt;(B4/3),texty!$A$212,""),"")</f>
        <v/>
      </c>
      <c r="B66" s="637"/>
      <c r="C66" s="637"/>
      <c r="D66" s="637"/>
      <c r="E66" s="637"/>
      <c r="F66" s="637"/>
      <c r="G66" s="637"/>
      <c r="H66" s="637"/>
      <c r="I66" s="637"/>
      <c r="J66" s="454"/>
      <c r="K66" s="469"/>
      <c r="L66" s="21" t="str">
        <f>texty!A128</f>
        <v xml:space="preserve">strieborná </v>
      </c>
      <c r="M66" s="21" t="s">
        <v>987</v>
      </c>
    </row>
    <row r="67" spans="1:14" ht="12.75" customHeight="1" x14ac:dyDescent="0.2">
      <c r="B67" s="17"/>
      <c r="C67" s="17"/>
      <c r="D67" s="455" t="str">
        <f>texty!$A$15</f>
        <v>CELKOM  (bez DPH)</v>
      </c>
      <c r="E67" s="441"/>
      <c r="F67" s="101" t="e">
        <f>SUM(F28:F65)</f>
        <v>#N/A</v>
      </c>
      <c r="G67" s="101" t="e">
        <f>SUM(G28:G65)</f>
        <v>#N/A</v>
      </c>
      <c r="H67" s="24" t="str">
        <f>cennik!$B$2</f>
        <v>EUR</v>
      </c>
      <c r="L67" s="21" t="str">
        <f>texty!A130</f>
        <v>oliva</v>
      </c>
      <c r="M67" s="21" t="s">
        <v>43</v>
      </c>
    </row>
    <row r="68" spans="1:14" ht="12.75" customHeight="1" x14ac:dyDescent="0.2">
      <c r="A68" s="442" t="str">
        <f>System10!$A$67</f>
        <v>Vaša poznámka:</v>
      </c>
      <c r="B68" s="641"/>
      <c r="C68" s="642"/>
      <c r="D68" s="642"/>
      <c r="E68" s="642"/>
      <c r="F68" s="642"/>
      <c r="G68" s="643"/>
      <c r="H68" s="24"/>
    </row>
    <row r="69" spans="1:14" ht="12.75" customHeight="1" x14ac:dyDescent="0.2">
      <c r="A69" s="630">
        <f>profil!$U$15</f>
        <v>0</v>
      </c>
      <c r="B69" s="631"/>
      <c r="C69" s="631"/>
      <c r="D69" s="631"/>
      <c r="E69" s="631"/>
      <c r="F69" s="631"/>
      <c r="G69" s="631"/>
      <c r="H69" s="631"/>
      <c r="L69" s="24"/>
    </row>
    <row r="70" spans="1:14" ht="12.75" customHeight="1" x14ac:dyDescent="0.2">
      <c r="A70" s="632">
        <f>IF(N70=1,texty!$A$215,IF(K70&gt;0,texty!$A$214,""))</f>
        <v>0</v>
      </c>
      <c r="B70" s="632"/>
      <c r="C70" s="632"/>
      <c r="D70" s="632"/>
      <c r="E70" s="632"/>
      <c r="F70" s="632"/>
      <c r="G70" s="632"/>
      <c r="H70" s="632"/>
      <c r="K70" s="24" t="e">
        <f>SUM(K28:K65)</f>
        <v>#N/A</v>
      </c>
      <c r="N70" s="21">
        <f>IF(ISERROR(K70),1,0)</f>
        <v>1</v>
      </c>
    </row>
  </sheetData>
  <sheetProtection algorithmName="SHA-512" hashValue="Qp5NUfqRczlUDlNpdJ7jStCWTGvImrG4dbPrkbwR+mKPN9r991dodK9KwGPaCFThWr4eLNjKuz6rIYTqz/m2Xw==" saltValue="rmx/s/krMp9o4mexJfdzDg==" spinCount="100000" sheet="1" objects="1" scenarios="1" selectLockedCells="1"/>
  <mergeCells count="13">
    <mergeCell ref="A70:H70"/>
    <mergeCell ref="U6:U7"/>
    <mergeCell ref="A69:H69"/>
    <mergeCell ref="R6:R7"/>
    <mergeCell ref="S6:S7"/>
    <mergeCell ref="T6:T7"/>
    <mergeCell ref="I19:I20"/>
    <mergeCell ref="I21:I22"/>
    <mergeCell ref="A66:I66"/>
    <mergeCell ref="B68:G68"/>
    <mergeCell ref="G4:I6"/>
    <mergeCell ref="B5:F5"/>
    <mergeCell ref="A14:B15"/>
  </mergeCells>
  <conditionalFormatting sqref="A14">
    <cfRule type="expression" dxfId="307" priority="3">
      <formula>SUM($D$47:$D$48)&gt;0</formula>
    </cfRule>
  </conditionalFormatting>
  <conditionalFormatting sqref="D6">
    <cfRule type="expression" dxfId="305" priority="7">
      <formula>$D$4=4</formula>
    </cfRule>
    <cfRule type="expression" dxfId="304" priority="8">
      <formula>$D$4&lt;&gt;4</formula>
    </cfRule>
  </conditionalFormatting>
  <conditionalFormatting sqref="G4">
    <cfRule type="expression" dxfId="303" priority="6">
      <formula>$D$4=4</formula>
    </cfRule>
  </conditionalFormatting>
  <conditionalFormatting sqref="I19:I20">
    <cfRule type="expression" dxfId="302" priority="19">
      <formula>$F$4=$M$67</formula>
    </cfRule>
  </conditionalFormatting>
  <conditionalFormatting sqref="I21:I22">
    <cfRule type="expression" dxfId="301" priority="27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E6: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imální výška je 2740 mm" promptTitle="Maximální výška je 2738 mm" sqref="B4" xr:uid="{00000000-0002-0000-0800-000004000000}">
      <formula1>0</formula1>
      <formula2>2740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$M$66:$M$67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845"/>
  <sheetViews>
    <sheetView topLeftCell="A559" zoomScale="85" zoomScaleNormal="85" workbookViewId="0">
      <selection activeCell="D583" sqref="D583:D584"/>
    </sheetView>
  </sheetViews>
  <sheetFormatPr defaultColWidth="9.140625" defaultRowHeight="15" customHeight="1" x14ac:dyDescent="0.25"/>
  <cols>
    <col min="1" max="1" width="8.7109375" style="1" customWidth="1"/>
    <col min="2" max="2" width="24.42578125" style="1" customWidth="1"/>
    <col min="3" max="3" width="39" style="1" bestFit="1" customWidth="1"/>
    <col min="4" max="4" width="11.42578125" style="2" customWidth="1"/>
    <col min="5" max="5" width="54.42578125" style="1" customWidth="1"/>
    <col min="6" max="6" width="49.7109375" style="1" customWidth="1"/>
    <col min="7" max="7" width="45.7109375" style="1" hidden="1" customWidth="1"/>
    <col min="8" max="8" width="9.140625" style="1"/>
    <col min="9" max="9" width="39" style="1" bestFit="1" customWidth="1"/>
    <col min="10" max="10" width="9.140625" style="1"/>
    <col min="11" max="11" width="22.42578125" style="1" bestFit="1" customWidth="1"/>
    <col min="12" max="12" width="16.42578125" style="1" bestFit="1" customWidth="1"/>
    <col min="13" max="13" width="17.42578125" style="1" bestFit="1" customWidth="1"/>
    <col min="14" max="14" width="15.42578125" style="1" bestFit="1" customWidth="1"/>
    <col min="15" max="25" width="9.140625" style="1"/>
    <col min="26" max="26" width="9.7109375" style="1" bestFit="1" customWidth="1"/>
    <col min="27" max="16384" width="9.140625" style="1"/>
  </cols>
  <sheetData>
    <row r="1" spans="1:26" ht="15" customHeight="1" x14ac:dyDescent="0.25">
      <c r="J1" s="88">
        <f>cennik!$A$2</f>
        <v>2</v>
      </c>
      <c r="K1" t="s">
        <v>106</v>
      </c>
      <c r="T1" s="140" t="s">
        <v>3568</v>
      </c>
      <c r="U1" t="s">
        <v>3569</v>
      </c>
      <c r="Z1" s="1" t="b">
        <f>A1=D1</f>
        <v>1</v>
      </c>
    </row>
    <row r="2" spans="1:26" ht="15" customHeight="1" x14ac:dyDescent="0.25">
      <c r="A2" s="52"/>
      <c r="B2" s="52" t="s">
        <v>19</v>
      </c>
      <c r="D2" s="53" t="s">
        <v>20</v>
      </c>
      <c r="E2" s="52" t="s">
        <v>0</v>
      </c>
      <c r="F2" s="52" t="s">
        <v>1</v>
      </c>
      <c r="G2" s="1" t="s">
        <v>2</v>
      </c>
      <c r="H2" s="1" t="s">
        <v>477</v>
      </c>
      <c r="T2" s="140">
        <v>238030</v>
      </c>
      <c r="U2">
        <v>489291</v>
      </c>
      <c r="Z2" s="1" t="b">
        <f t="shared" ref="Z2:Z65" si="0">A2=D2</f>
        <v>0</v>
      </c>
    </row>
    <row r="3" spans="1:26" ht="15" customHeight="1" x14ac:dyDescent="0.25">
      <c r="B3" s="155" t="s">
        <v>991</v>
      </c>
      <c r="K3" s="1" t="s">
        <v>483</v>
      </c>
      <c r="L3" s="1" t="s">
        <v>484</v>
      </c>
      <c r="M3" s="1" t="s">
        <v>485</v>
      </c>
      <c r="N3" s="1" t="s">
        <v>486</v>
      </c>
      <c r="T3" s="140">
        <v>188680</v>
      </c>
      <c r="U3">
        <v>489290</v>
      </c>
      <c r="Z3" s="1" t="b">
        <f t="shared" si="0"/>
        <v>1</v>
      </c>
    </row>
    <row r="4" spans="1:26" ht="15" customHeight="1" x14ac:dyDescent="0.25">
      <c r="A4" s="53">
        <v>84385</v>
      </c>
      <c r="B4" s="52"/>
      <c r="C4" s="1" t="str">
        <f>CONCATENATE(H4,"-",$J$4,", ",$J$19)</f>
        <v>1700-strieborná , Elegant II</v>
      </c>
      <c r="D4" s="53">
        <v>84385</v>
      </c>
      <c r="E4" s="52" t="str">
        <f>+VLOOKUP(A4,cennik!$A:$G,2,FALSE)</f>
        <v>SEVROLL 04279 Elegant II spodné vedenie  1,7m strieborná</v>
      </c>
      <c r="F4" s="52" t="str">
        <f>+VLOOKUP(A4,cennik!A:B,2,FALSE)</f>
        <v>SEVROLL 04279 Elegant II spodné vedenie  1,7m strieborná</v>
      </c>
      <c r="G4" s="1" t="e">
        <f>+VLOOKUP(A4,#REF!,4,FALSE)</f>
        <v>#REF!</v>
      </c>
      <c r="H4" s="1" t="s">
        <v>478</v>
      </c>
      <c r="I4" s="1" t="str">
        <f>CONCATENATE(H4,"-",$J$4,", ",$J$19)</f>
        <v>1700-strieborná , Elegant II</v>
      </c>
      <c r="J4" s="1" t="str">
        <f t="shared" ref="J4:J9" si="1">IF($J$1=1,K4,IF($J$1=2,N4,IF($J$1=3,M4,IF($J$1=4,L4,"zadat jazyk"))))</f>
        <v xml:space="preserve">strieborná </v>
      </c>
      <c r="K4" s="1" t="s">
        <v>99</v>
      </c>
      <c r="L4" s="1" t="s">
        <v>209</v>
      </c>
      <c r="M4" s="1" t="s">
        <v>469</v>
      </c>
      <c r="N4" s="1" t="str">
        <f>texty!D128</f>
        <v xml:space="preserve">strieborná </v>
      </c>
      <c r="T4" s="140">
        <v>284592</v>
      </c>
      <c r="U4">
        <v>489293</v>
      </c>
      <c r="Z4" s="1" t="b">
        <f t="shared" si="0"/>
        <v>1</v>
      </c>
    </row>
    <row r="5" spans="1:26" ht="15" customHeight="1" x14ac:dyDescent="0.25">
      <c r="A5" s="53">
        <v>84388</v>
      </c>
      <c r="B5" s="52"/>
      <c r="C5" s="1" t="str">
        <f>CONCATENATE(H5,"-",$J$4,", ",$J$19)</f>
        <v>2350-strieborná , Elegant II</v>
      </c>
      <c r="D5" s="53">
        <v>84388</v>
      </c>
      <c r="E5" s="52" t="str">
        <f>+VLOOKUP(A5,cennik!$A:$G,2,FALSE)</f>
        <v>SEVROLL 04280 Elegant II spodné vedenie  2,35m strieborná</v>
      </c>
      <c r="F5" s="52" t="str">
        <f>+VLOOKUP(A5,cennik!A:B,2,FALSE)</f>
        <v>SEVROLL 04280 Elegant II spodné vedenie  2,35m strieborná</v>
      </c>
      <c r="G5" s="1" t="e">
        <f>+VLOOKUP(A5,#REF!,4,FALSE)</f>
        <v>#REF!</v>
      </c>
      <c r="H5" s="1" t="s">
        <v>479</v>
      </c>
      <c r="I5" s="1" t="str">
        <f>CONCATENATE(H5,"-",$J$4,", ",$J$19)</f>
        <v>2350-strieborná , Elegant II</v>
      </c>
      <c r="J5" s="1" t="str">
        <f t="shared" si="1"/>
        <v>zlatá</v>
      </c>
      <c r="K5" s="1" t="s">
        <v>24</v>
      </c>
      <c r="L5" s="1" t="s">
        <v>210</v>
      </c>
      <c r="M5" s="1" t="s">
        <v>470</v>
      </c>
      <c r="N5" s="1" t="s">
        <v>24</v>
      </c>
      <c r="T5" s="140">
        <v>284539</v>
      </c>
      <c r="U5">
        <v>489292</v>
      </c>
      <c r="Z5" s="1" t="b">
        <f t="shared" si="0"/>
        <v>1</v>
      </c>
    </row>
    <row r="6" spans="1:26" ht="15" customHeight="1" x14ac:dyDescent="0.25">
      <c r="A6" s="53">
        <v>84391</v>
      </c>
      <c r="B6" s="52"/>
      <c r="C6" s="1" t="str">
        <f>CONCATENATE(H6,"-",$J$4,", ",$J$19)</f>
        <v>3000-strieborná , Elegant II</v>
      </c>
      <c r="D6" s="53">
        <v>84391</v>
      </c>
      <c r="E6" s="52" t="str">
        <f>+VLOOKUP(A6,cennik!$A:$G,2,FALSE)</f>
        <v>SEVROLL 04281 Elegant II spodné vedenie  3m strieborná</v>
      </c>
      <c r="F6" s="52" t="str">
        <f>+VLOOKUP(A6,cennik!A:B,2,FALSE)</f>
        <v>SEVROLL 04281 Elegant II spodné vedenie  3m strieborná</v>
      </c>
      <c r="G6" s="1" t="e">
        <f>+VLOOKUP(A6,#REF!,4,FALSE)</f>
        <v>#REF!</v>
      </c>
      <c r="H6" s="1" t="s">
        <v>480</v>
      </c>
      <c r="I6" s="1" t="str">
        <f>CONCATENATE(H6,"-",$J$4,", ",$J$19)</f>
        <v>3000-strieborná , Elegant II</v>
      </c>
      <c r="J6" s="1" t="str">
        <f t="shared" si="1"/>
        <v>oliva</v>
      </c>
      <c r="K6" s="1" t="s">
        <v>211</v>
      </c>
      <c r="L6" s="1" t="s">
        <v>211</v>
      </c>
      <c r="M6" s="1" t="s">
        <v>471</v>
      </c>
      <c r="N6" s="1" t="s">
        <v>211</v>
      </c>
      <c r="T6" s="140">
        <v>393279</v>
      </c>
      <c r="U6">
        <v>496946</v>
      </c>
      <c r="Z6" s="1" t="b">
        <f t="shared" si="0"/>
        <v>1</v>
      </c>
    </row>
    <row r="7" spans="1:26" ht="15" customHeight="1" x14ac:dyDescent="0.25">
      <c r="A7" s="53">
        <v>84394</v>
      </c>
      <c r="B7" s="52"/>
      <c r="C7" s="1" t="str">
        <f>CONCATENATE(H7,"-",$J$4,", ",$J$19)</f>
        <v>4050-strieborná , Elegant II</v>
      </c>
      <c r="D7" s="53">
        <v>84394</v>
      </c>
      <c r="E7" s="52" t="str">
        <f>+VLOOKUP(A7,cennik!$A:$G,2,FALSE)</f>
        <v>SEVROLL 04282 Elegant II spodné vedenie  4,05m strieborná</v>
      </c>
      <c r="F7" s="52" t="str">
        <f>+VLOOKUP(A7,cennik!A:B,2,FALSE)</f>
        <v>SEVROLL 04282 Elegant II spodné vedenie  4,05m strieborná</v>
      </c>
      <c r="G7" s="1" t="e">
        <f>+VLOOKUP(A7,#REF!,4,FALSE)</f>
        <v>#REF!</v>
      </c>
      <c r="H7" s="1" t="s">
        <v>481</v>
      </c>
      <c r="I7" s="1" t="str">
        <f>CONCATENATE(H7,"-",$J$4,", ",$J$19)</f>
        <v>4050-strieborná , Elegant II</v>
      </c>
      <c r="J7" s="1" t="str">
        <f t="shared" si="1"/>
        <v>oliva kartáčovaná</v>
      </c>
      <c r="K7" s="1" t="str">
        <f>texty!B131</f>
        <v>oliva kartáčovaná</v>
      </c>
      <c r="L7" s="1" t="s">
        <v>119</v>
      </c>
      <c r="M7" s="1" t="s">
        <v>430</v>
      </c>
      <c r="N7" s="1" t="str">
        <f>texty!D131</f>
        <v>oliva kartáčovaná</v>
      </c>
      <c r="T7" s="140">
        <v>284958</v>
      </c>
      <c r="U7">
        <v>496947</v>
      </c>
      <c r="Z7" s="1" t="b">
        <f t="shared" si="0"/>
        <v>1</v>
      </c>
    </row>
    <row r="8" spans="1:26" ht="15" customHeight="1" x14ac:dyDescent="0.25">
      <c r="A8" s="53">
        <v>350687</v>
      </c>
      <c r="B8" s="52"/>
      <c r="C8" s="1" t="str">
        <f>CONCATENATE(H8,"-",$J$4,", ",$J$19)</f>
        <v>6000-strieborná , Elegant II</v>
      </c>
      <c r="D8" s="53">
        <v>350687</v>
      </c>
      <c r="E8" s="52" t="str">
        <f>+VLOOKUP(A8,cennik!$A:$G,2,FALSE)</f>
        <v>SEVROLL 04284 Elegant II spodné vedenie 6m strieborná</v>
      </c>
      <c r="F8" s="52" t="str">
        <f>+VLOOKUP(A8,cennik!A:B,2,FALSE)</f>
        <v>SEVROLL 04284 Elegant II spodné vedenie 6m strieborná</v>
      </c>
      <c r="G8" s="1" t="e">
        <f>+VLOOKUP(A8,#REF!,4,FALSE)</f>
        <v>#REF!</v>
      </c>
      <c r="H8" s="156" t="s">
        <v>551</v>
      </c>
      <c r="I8" s="1" t="str">
        <f>CONCATENATE(H8,"-",$J$4,", ",$J$19)</f>
        <v>6000-strieborná , Elegant II</v>
      </c>
      <c r="J8" s="1" t="str">
        <f t="shared" si="1"/>
        <v>kart. tm. oliva</v>
      </c>
      <c r="K8" s="140" t="s">
        <v>617</v>
      </c>
      <c r="L8" s="1" t="str">
        <f>texty!$C$202</f>
        <v>szálcsi.oliva sö.</v>
      </c>
      <c r="M8" s="1" t="str">
        <f>texty!$E$202</f>
        <v>szczot.oliwa ciemna</v>
      </c>
      <c r="N8" s="1" t="str">
        <f>texty!$D$202</f>
        <v>kart. tm. oliva</v>
      </c>
      <c r="T8" s="140">
        <v>284971</v>
      </c>
      <c r="U8">
        <v>496951</v>
      </c>
      <c r="Z8" s="1" t="b">
        <f t="shared" si="0"/>
        <v>1</v>
      </c>
    </row>
    <row r="9" spans="1:26" ht="15" customHeight="1" x14ac:dyDescent="0.25">
      <c r="A9" s="2">
        <v>84383</v>
      </c>
      <c r="B9" s="52"/>
      <c r="C9" s="1" t="str">
        <f>CONCATENATE(H9,"-",$J$5,", ",$J$19)</f>
        <v>1700-zlatá, Elegant II</v>
      </c>
      <c r="D9" s="2">
        <v>84383</v>
      </c>
      <c r="E9" s="52" t="str">
        <f>+VLOOKUP(A9,cennik!$A:$G,2,FALSE)</f>
        <v>SEVROLL 04285 Elegant II spodné vedenie 1,7m zlatá</v>
      </c>
      <c r="F9" s="52" t="str">
        <f>+VLOOKUP(A9,cennik!A:B,2,FALSE)</f>
        <v>SEVROLL 04285 Elegant II spodné vedenie 1,7m zlatá</v>
      </c>
      <c r="G9" s="1" t="e">
        <f>+VLOOKUP(A9,#REF!,4,FALSE)</f>
        <v>#REF!</v>
      </c>
      <c r="H9" s="1" t="s">
        <v>478</v>
      </c>
      <c r="I9" s="1" t="str">
        <f>CONCATENATE(H9,"-",$J$5,", ",$J$19)</f>
        <v>1700-zlatá, Elegant II</v>
      </c>
      <c r="J9" s="1" t="str">
        <f t="shared" si="1"/>
        <v>kart. čierna</v>
      </c>
      <c r="K9" s="155" t="s">
        <v>676</v>
      </c>
      <c r="L9" s="1" t="str">
        <f>texty!$C$201</f>
        <v>szálcsi.fekete</v>
      </c>
      <c r="M9" s="1" t="str">
        <f>texty!$E$201</f>
        <v>szczot.czarna</v>
      </c>
      <c r="N9" s="1" t="str">
        <f>texty!$D$201</f>
        <v>kart. čierna</v>
      </c>
      <c r="T9" s="140">
        <v>238032</v>
      </c>
      <c r="U9" t="s">
        <v>3570</v>
      </c>
      <c r="Z9" s="1" t="b">
        <f t="shared" si="0"/>
        <v>1</v>
      </c>
    </row>
    <row r="10" spans="1:26" ht="15" customHeight="1" x14ac:dyDescent="0.25">
      <c r="A10" s="53">
        <v>84386</v>
      </c>
      <c r="B10" s="52"/>
      <c r="C10" s="1" t="str">
        <f>CONCATENATE(H10,"-",$J$5,", ",$J$19)</f>
        <v>2350-zlatá, Elegant II</v>
      </c>
      <c r="D10" s="53">
        <v>84386</v>
      </c>
      <c r="E10" s="52" t="str">
        <f>+VLOOKUP(A10,cennik!$A:$G,2,FALSE)</f>
        <v>SEVROLL Elegant II spodné vedenie 2,35m zlatá</v>
      </c>
      <c r="F10" s="52" t="str">
        <f>+VLOOKUP(A10,cennik!A:B,2,FALSE)</f>
        <v>SEVROLL Elegant II spodné vedenie 2,35m zlatá</v>
      </c>
      <c r="G10" s="1" t="e">
        <f>+VLOOKUP(A10,#REF!,4,FALSE)</f>
        <v>#REF!</v>
      </c>
      <c r="H10" s="1" t="s">
        <v>479</v>
      </c>
      <c r="I10" s="1" t="str">
        <f>CONCATENATE(H10,"-",$J$5,", ",$J$19)</f>
        <v>2350-zlatá, Elegant II</v>
      </c>
      <c r="K10" s="1" t="str">
        <f>CONCATENATE(K4,";",K5,";",K6)</f>
        <v>stříbrná;zlatá;oliva</v>
      </c>
      <c r="L10" s="1" t="str">
        <f>CONCATENATE(L4,";",L5,";",L6)</f>
        <v>ezüst;arany;oliva</v>
      </c>
      <c r="T10" s="140">
        <v>102827</v>
      </c>
      <c r="U10">
        <v>496369</v>
      </c>
      <c r="Z10" s="1" t="b">
        <f t="shared" si="0"/>
        <v>1</v>
      </c>
    </row>
    <row r="11" spans="1:26" ht="15" customHeight="1" x14ac:dyDescent="0.25">
      <c r="A11" s="53">
        <v>84389</v>
      </c>
      <c r="B11" s="52"/>
      <c r="C11" s="1" t="str">
        <f>CONCATENATE(H11,"-",$J$5,", ",$J$19)</f>
        <v>3000-zlatá, Elegant II</v>
      </c>
      <c r="D11" s="53">
        <v>84389</v>
      </c>
      <c r="E11" s="52" t="str">
        <f>+VLOOKUP(A11,cennik!$A:$G,2,FALSE)</f>
        <v>SEVROLL Elegant II spodné vedenie 3m zlatá</v>
      </c>
      <c r="F11" s="52" t="str">
        <f>+VLOOKUP(A11,cennik!A:B,2,FALSE)</f>
        <v>SEVROLL Elegant II spodné vedenie 3m zlatá</v>
      </c>
      <c r="G11" s="1" t="e">
        <f>+VLOOKUP(A11,#REF!,4,FALSE)</f>
        <v>#REF!</v>
      </c>
      <c r="H11" s="1" t="s">
        <v>480</v>
      </c>
      <c r="I11" s="1" t="str">
        <f>CONCATENATE(H11,"-",$J$5,", ",$J$19)</f>
        <v>3000-zlatá, Elegant II</v>
      </c>
      <c r="K11" s="1" t="s">
        <v>263</v>
      </c>
      <c r="L11" s="1" t="s">
        <v>264</v>
      </c>
      <c r="T11" s="140">
        <v>102828</v>
      </c>
      <c r="U11">
        <v>496370</v>
      </c>
      <c r="Z11" s="1" t="b">
        <f t="shared" si="0"/>
        <v>1</v>
      </c>
    </row>
    <row r="12" spans="1:26" ht="15" customHeight="1" x14ac:dyDescent="0.25">
      <c r="A12" s="53">
        <v>84392</v>
      </c>
      <c r="B12" s="52"/>
      <c r="C12" s="1" t="str">
        <f>CONCATENATE(H12,"-",$J$5,", ",$J$19)</f>
        <v>4050-zlatá, Elegant II</v>
      </c>
      <c r="D12" s="53">
        <v>84392</v>
      </c>
      <c r="E12" s="52" t="str">
        <f>+VLOOKUP(A12,cennik!$A:$G,2,FALSE)</f>
        <v>SEVROLL 04288 Elegant II spodné vedenie 4,05m zlatá</v>
      </c>
      <c r="F12" s="52" t="str">
        <f>+VLOOKUP(A12,cennik!A:B,2,FALSE)</f>
        <v>SEVROLL 04288 Elegant II spodné vedenie 4,05m zlatá</v>
      </c>
      <c r="G12" s="1" t="e">
        <f>+VLOOKUP(A12,#REF!,4,FALSE)</f>
        <v>#REF!</v>
      </c>
      <c r="H12" s="1" t="s">
        <v>481</v>
      </c>
      <c r="I12" s="1" t="str">
        <f>CONCATENATE(H12,"-",$J$5,", ",$J$19)</f>
        <v>4050-zlatá, Elegant II</v>
      </c>
      <c r="J12" s="155" t="s">
        <v>3549</v>
      </c>
      <c r="T12" s="140">
        <v>102830</v>
      </c>
      <c r="U12">
        <v>496371</v>
      </c>
      <c r="Z12" s="1" t="b">
        <f t="shared" si="0"/>
        <v>1</v>
      </c>
    </row>
    <row r="13" spans="1:26" ht="15" customHeight="1" x14ac:dyDescent="0.25">
      <c r="A13" s="53">
        <v>334858</v>
      </c>
      <c r="B13" s="52"/>
      <c r="C13" s="1" t="str">
        <f>CONCATENATE(H13,"-",$J$5,", ",$J$19)</f>
        <v>6000-zlatá, Elegant II</v>
      </c>
      <c r="D13" s="53">
        <v>334858</v>
      </c>
      <c r="E13" s="52" t="str">
        <f>+VLOOKUP(A13,cennik!$A:$G,2,FALSE)</f>
        <v>SEVROLL 04289 Elegant II spodné vedenie 6m zlatá</v>
      </c>
      <c r="F13" s="52" t="str">
        <f>+VLOOKUP(A13,cennik!A:B,2,FALSE)</f>
        <v>SEVROLL 04289 Elegant II spodné vedenie 6m zlatá</v>
      </c>
      <c r="H13" s="1">
        <v>6000</v>
      </c>
      <c r="I13" s="1" t="str">
        <f>CONCATENATE(H13,"-",$J$5,", ",$J$19)</f>
        <v>6000-zlatá, Elegant II</v>
      </c>
      <c r="J13" s="1" t="str">
        <f>IF($J$1=1,K13,IF($J$1=2,N13,IF($J$1=3,M13,IF($J$1=4,L13,"zadat jazyk"))))</f>
        <v>kart. čierna</v>
      </c>
      <c r="K13" s="140" t="s">
        <v>616</v>
      </c>
      <c r="L13" t="s">
        <v>619</v>
      </c>
      <c r="M13" s="147" t="s">
        <v>618</v>
      </c>
      <c r="N13" t="s">
        <v>620</v>
      </c>
      <c r="O13"/>
      <c r="T13" s="140">
        <v>102831</v>
      </c>
      <c r="U13" t="s">
        <v>3570</v>
      </c>
      <c r="Z13" s="1" t="b">
        <f t="shared" si="0"/>
        <v>1</v>
      </c>
    </row>
    <row r="14" spans="1:26" ht="15" customHeight="1" x14ac:dyDescent="0.25">
      <c r="A14" s="53">
        <v>318666</v>
      </c>
      <c r="B14" s="52"/>
      <c r="C14" s="1" t="str">
        <f>CONCATENATE(H14,"-",$J$6,", ",$J$19)</f>
        <v>1700-oliva, Elegant II</v>
      </c>
      <c r="D14" s="53">
        <v>318666</v>
      </c>
      <c r="E14" s="52" t="str">
        <f>+VLOOKUP(A14,cennik!$A:$G,2,FALSE)</f>
        <v>SEVROLL 04273 Elegant II spodné vedenie 1,7m oliva</v>
      </c>
      <c r="F14" s="52" t="str">
        <f>+VLOOKUP(A14,cennik!A:B,2,FALSE)</f>
        <v>SEVROLL 04273 Elegant II spodné vedenie 1,7m oliva</v>
      </c>
      <c r="G14" s="1" t="e">
        <f>+VLOOKUP(A14,#REF!,4,FALSE)</f>
        <v>#REF!</v>
      </c>
      <c r="H14" s="1" t="s">
        <v>478</v>
      </c>
      <c r="I14" s="1" t="str">
        <f>CONCATENATE(H14,"-",$J$6,", ",$J$19)</f>
        <v>1700-oliva, Elegant II</v>
      </c>
      <c r="J14" s="1" t="str">
        <f>IF($J$1=1,K14,IF($J$1=2,N14,IF($J$1=3,M14,IF($J$1=4,L14,"zadat jazyk"))))</f>
        <v>kart. tm. oliva</v>
      </c>
      <c r="K14" s="140" t="s">
        <v>617</v>
      </c>
      <c r="L14" t="s">
        <v>623</v>
      </c>
      <c r="M14" s="147" t="s">
        <v>622</v>
      </c>
      <c r="N14" t="s">
        <v>621</v>
      </c>
      <c r="O14"/>
      <c r="T14" s="140">
        <v>180420</v>
      </c>
      <c r="U14" t="s">
        <v>3570</v>
      </c>
      <c r="Z14" s="1" t="b">
        <f t="shared" si="0"/>
        <v>1</v>
      </c>
    </row>
    <row r="15" spans="1:26" ht="15" customHeight="1" x14ac:dyDescent="0.25">
      <c r="A15" s="53">
        <v>84387</v>
      </c>
      <c r="B15" s="52"/>
      <c r="C15" s="1" t="str">
        <f>CONCATENATE(H15,"-",$J$6,", ",$J$19)</f>
        <v>2350-oliva, Elegant II</v>
      </c>
      <c r="D15" s="53">
        <v>84387</v>
      </c>
      <c r="E15" s="52" t="str">
        <f>+VLOOKUP(A15,cennik!$A:$G,2,FALSE)</f>
        <v>SEVROLL 04274 Elegant II spodné vedenie  2,35m oliva</v>
      </c>
      <c r="F15" s="52" t="str">
        <f>+VLOOKUP(A15,cennik!A:B,2,FALSE)</f>
        <v>SEVROLL 04274 Elegant II spodné vedenie  2,35m oliva</v>
      </c>
      <c r="G15" s="1" t="e">
        <f>+VLOOKUP(A15,#REF!,4,FALSE)</f>
        <v>#REF!</v>
      </c>
      <c r="H15" s="1" t="s">
        <v>479</v>
      </c>
      <c r="I15" s="1" t="str">
        <f>CONCATENATE(H15,"-",$J$6,", ",$J$19)</f>
        <v>2350-oliva, Elegant II</v>
      </c>
      <c r="J15" s="165" t="str">
        <f>IF($J$1=1,K15,IF($J$1=2,N15,IF($J$1=3,M15,IF($J$1=4,L15,"zadat jazyk"))))</f>
        <v>biela lesk</v>
      </c>
      <c r="K15" s="140" t="s">
        <v>965</v>
      </c>
      <c r="L15" t="s">
        <v>962</v>
      </c>
      <c r="M15" s="147" t="s">
        <v>964</v>
      </c>
      <c r="N15" t="s">
        <v>963</v>
      </c>
      <c r="O15"/>
      <c r="T15" s="140">
        <v>393278</v>
      </c>
      <c r="U15">
        <v>496970</v>
      </c>
      <c r="Z15" s="1" t="b">
        <f t="shared" si="0"/>
        <v>1</v>
      </c>
    </row>
    <row r="16" spans="1:26" ht="15" customHeight="1" x14ac:dyDescent="0.25">
      <c r="A16" s="53">
        <v>84390</v>
      </c>
      <c r="B16" s="52"/>
      <c r="C16" s="1" t="str">
        <f>CONCATENATE(H16,"-",$J$6,", ",$J$19)</f>
        <v>3000-oliva, Elegant II</v>
      </c>
      <c r="D16" s="53">
        <v>84390</v>
      </c>
      <c r="E16" s="52" t="str">
        <f>+VLOOKUP(A16,cennik!$A:$G,2,FALSE)</f>
        <v>SEVROLL 04275 Elegant II spodné vedenie  3m oliva</v>
      </c>
      <c r="F16" s="52" t="str">
        <f>+VLOOKUP(A16,cennik!A:B,2,FALSE)</f>
        <v>SEVROLL 04275 Elegant II spodné vedenie  3m oliva</v>
      </c>
      <c r="G16" s="1" t="e">
        <f>+VLOOKUP(A16,#REF!,4,FALSE)</f>
        <v>#REF!</v>
      </c>
      <c r="H16" s="1" t="s">
        <v>480</v>
      </c>
      <c r="I16" s="1" t="str">
        <f>CONCATENATE(H16,"-",$J$6,", ",$J$19)</f>
        <v>3000-oliva, Elegant II</v>
      </c>
      <c r="J16" s="165" t="str">
        <f t="shared" ref="J16:J18" si="2">IF($J$1=1,K16,IF($J$1=2,N16,IF($J$1=3,M16,IF($J$1=4,L16,"zadat jazyk"))))</f>
        <v>čierna lesk</v>
      </c>
      <c r="K16" s="140" t="s">
        <v>1292</v>
      </c>
      <c r="L16" t="s">
        <v>1742</v>
      </c>
      <c r="M16" s="147" t="s">
        <v>1743</v>
      </c>
      <c r="N16" s="1" t="s">
        <v>1744</v>
      </c>
      <c r="O16"/>
      <c r="T16" s="140">
        <v>284957</v>
      </c>
      <c r="U16">
        <v>496971</v>
      </c>
      <c r="Z16" s="1" t="b">
        <f t="shared" si="0"/>
        <v>1</v>
      </c>
    </row>
    <row r="17" spans="1:26" ht="15" customHeight="1" x14ac:dyDescent="0.25">
      <c r="A17" s="53">
        <v>84393</v>
      </c>
      <c r="B17" s="52"/>
      <c r="C17" s="1" t="str">
        <f>CONCATENATE(H17,"-",$J$6,", ",$J$19)</f>
        <v>4050-oliva, Elegant II</v>
      </c>
      <c r="D17" s="53">
        <v>84393</v>
      </c>
      <c r="E17" s="52" t="str">
        <f>+VLOOKUP(A17,cennik!$A:$G,2,FALSE)</f>
        <v>SEVROLL 04276 Elegant II spodné vedenie  4,05m oliva</v>
      </c>
      <c r="F17" s="52" t="str">
        <f>+VLOOKUP(A17,cennik!A:B,2,FALSE)</f>
        <v>SEVROLL 04276 Elegant II spodné vedenie  4,05m oliva</v>
      </c>
      <c r="G17" s="1" t="e">
        <f>+VLOOKUP(A17,#REF!,4,FALSE)</f>
        <v>#REF!</v>
      </c>
      <c r="H17" s="1" t="s">
        <v>481</v>
      </c>
      <c r="I17" s="1" t="str">
        <f>CONCATENATE(H17,"-",$J$6,", ",$J$19)</f>
        <v>4050-oliva, Elegant II</v>
      </c>
      <c r="J17" s="165" t="str">
        <f t="shared" si="2"/>
        <v>čierna mat</v>
      </c>
      <c r="K17" s="140" t="s">
        <v>1293</v>
      </c>
      <c r="L17" t="s">
        <v>1745</v>
      </c>
      <c r="M17" s="147" t="s">
        <v>1746</v>
      </c>
      <c r="N17" s="1" t="s">
        <v>1747</v>
      </c>
      <c r="O17"/>
      <c r="T17" s="140">
        <v>284970</v>
      </c>
      <c r="U17">
        <v>496972</v>
      </c>
      <c r="Z17" s="1" t="b">
        <f t="shared" si="0"/>
        <v>1</v>
      </c>
    </row>
    <row r="18" spans="1:26" ht="15" customHeight="1" x14ac:dyDescent="0.25">
      <c r="A18" s="53">
        <v>350688</v>
      </c>
      <c r="B18" s="52"/>
      <c r="C18" s="1" t="str">
        <f>CONCATENATE(H18,"-",$J$6,", ",$J$19)</f>
        <v>6000-oliva, Elegant II</v>
      </c>
      <c r="D18" s="53">
        <v>350688</v>
      </c>
      <c r="E18" s="52" t="str">
        <f>+VLOOKUP(A18,cennik!$A:$G,2,FALSE)</f>
        <v>SEVROLL 04278 Elegant II spodné vedenie 6m oliva</v>
      </c>
      <c r="F18" s="52" t="str">
        <f>+VLOOKUP(A18,cennik!A:B,2,FALSE)</f>
        <v>SEVROLL 04278 Elegant II spodné vedenie 6m oliva</v>
      </c>
      <c r="H18" s="1">
        <v>6000</v>
      </c>
      <c r="I18" s="1" t="str">
        <f>CONCATENATE(H18,"-",$J$6,", ",$J$19)</f>
        <v>6000-oliva, Elegant II</v>
      </c>
      <c r="J18" s="165" t="str">
        <f t="shared" si="2"/>
        <v>biela mat</v>
      </c>
      <c r="K18" s="155" t="s">
        <v>1741</v>
      </c>
      <c r="L18" t="s">
        <v>1748</v>
      </c>
      <c r="M18" s="147" t="s">
        <v>1749</v>
      </c>
      <c r="N18" s="155" t="s">
        <v>1750</v>
      </c>
      <c r="O18"/>
      <c r="T18" s="140">
        <v>238031</v>
      </c>
      <c r="U18" t="s">
        <v>3570</v>
      </c>
      <c r="Z18" s="1" t="b">
        <f t="shared" si="0"/>
        <v>1</v>
      </c>
    </row>
    <row r="19" spans="1:26" ht="15" customHeight="1" x14ac:dyDescent="0.25">
      <c r="A19" s="53">
        <v>276744</v>
      </c>
      <c r="B19" s="52"/>
      <c r="C19" s="1" t="str">
        <f>CONCATENATE(H19,"-",$J$15,", ",$J$19)</f>
        <v>1700-biela lesk, Elegant II</v>
      </c>
      <c r="D19" s="53">
        <v>276744</v>
      </c>
      <c r="E19" s="52" t="str">
        <f>+VLOOKUP(A19,cennik!$A:$G,2,FALSE)</f>
        <v>SEVROLL 04290 Elegant II spodné vedenie  1,7m biela lesk</v>
      </c>
      <c r="F19" s="52" t="str">
        <f>+VLOOKUP(A19,cennik!A:B,2,FALSE)</f>
        <v>SEVROLL 04290 Elegant II spodné vedenie  1,7m biela lesk</v>
      </c>
      <c r="H19" s="1">
        <v>1700</v>
      </c>
      <c r="I19" s="1" t="str">
        <f>CONCATENATE(H19,"-",$J$15,", ",$J$19)</f>
        <v>1700-biela lesk, Elegant II</v>
      </c>
      <c r="J19" s="5" t="s">
        <v>987</v>
      </c>
      <c r="O19"/>
      <c r="T19" s="140">
        <v>102820</v>
      </c>
      <c r="U19">
        <v>496366</v>
      </c>
      <c r="Z19" s="1" t="b">
        <f t="shared" si="0"/>
        <v>1</v>
      </c>
    </row>
    <row r="20" spans="1:26" ht="15" customHeight="1" x14ac:dyDescent="0.25">
      <c r="A20" s="53">
        <v>276745</v>
      </c>
      <c r="B20" s="52"/>
      <c r="C20" s="1" t="str">
        <f>CONCATENATE(H20,"-",$J$15,", ",$J$19)</f>
        <v>2350-biela lesk, Elegant II</v>
      </c>
      <c r="D20" s="53">
        <v>276745</v>
      </c>
      <c r="E20" s="52" t="str">
        <f>+VLOOKUP(A20,cennik!$A:$G,2,FALSE)</f>
        <v>SEVROLL 04291 Elegant II spodné vedenie  2,35m biela lesk</v>
      </c>
      <c r="F20" s="52" t="str">
        <f>+VLOOKUP(A20,cennik!A:B,2,FALSE)</f>
        <v>SEVROLL 04291 Elegant II spodné vedenie  2,35m biela lesk</v>
      </c>
      <c r="H20" s="1">
        <v>2350</v>
      </c>
      <c r="I20" s="1" t="str">
        <f>CONCATENATE(H20,"-",$J$15,", ",$J$19)</f>
        <v>2350-biela lesk, Elegant II</v>
      </c>
      <c r="J20" s="5" t="s">
        <v>987</v>
      </c>
      <c r="T20" s="140">
        <v>102822</v>
      </c>
      <c r="U20">
        <v>496367</v>
      </c>
      <c r="Z20" s="1" t="b">
        <f t="shared" si="0"/>
        <v>1</v>
      </c>
    </row>
    <row r="21" spans="1:26" ht="15" customHeight="1" x14ac:dyDescent="0.25">
      <c r="A21" s="53">
        <v>252568</v>
      </c>
      <c r="B21" s="52"/>
      <c r="C21" s="1" t="str">
        <f>CONCATENATE(H21,"-",$J$15,", ",$J$19)</f>
        <v>3000-biela lesk, Elegant II</v>
      </c>
      <c r="D21" s="53">
        <v>252568</v>
      </c>
      <c r="E21" s="52" t="str">
        <f>+VLOOKUP(A21,cennik!$A:$G,2,FALSE)</f>
        <v>SEVROLL 04292 Elegant II spodné vedenie  3m biela lesk</v>
      </c>
      <c r="F21" s="52" t="str">
        <f>+VLOOKUP(A21,cennik!A:B,2,FALSE)</f>
        <v>SEVROLL 04292 Elegant II spodné vedenie  3m biela lesk</v>
      </c>
      <c r="H21" s="1">
        <v>3000</v>
      </c>
      <c r="I21" s="1" t="str">
        <f>CONCATENATE(H21,"-",$J$15,", ",$J$19)</f>
        <v>3000-biela lesk, Elegant II</v>
      </c>
      <c r="J21" s="155" t="s">
        <v>43</v>
      </c>
      <c r="T21" s="140">
        <v>102824</v>
      </c>
      <c r="U21">
        <v>496368</v>
      </c>
      <c r="Z21" s="1" t="b">
        <f t="shared" si="0"/>
        <v>1</v>
      </c>
    </row>
    <row r="22" spans="1:26" ht="15" customHeight="1" x14ac:dyDescent="0.25">
      <c r="A22" s="53">
        <v>276746</v>
      </c>
      <c r="B22" s="52"/>
      <c r="C22" s="1" t="str">
        <f>CONCATENATE(H22,"-",$J$15,", ",$J$19)</f>
        <v>4050-biela lesk, Elegant II</v>
      </c>
      <c r="D22" s="53">
        <v>276746</v>
      </c>
      <c r="E22" s="52" t="str">
        <f>+VLOOKUP(A22,cennik!$A:$G,2,FALSE)</f>
        <v>SEVROLL 04293 Elegant II spodné vedenie  4,05m biela lesk</v>
      </c>
      <c r="F22" s="52" t="str">
        <f>+VLOOKUP(A22,cennik!A:B,2,FALSE)</f>
        <v>SEVROLL 04293 Elegant II spodné vedenie  4,05m biela lesk</v>
      </c>
      <c r="H22" s="1">
        <v>4050</v>
      </c>
      <c r="I22" s="1" t="str">
        <f>CONCATENATE(H22,"-",$J$15,", ",$J$19)</f>
        <v>4050-biela lesk, Elegant II</v>
      </c>
      <c r="T22" s="140">
        <v>102825</v>
      </c>
      <c r="U22" t="s">
        <v>3570</v>
      </c>
      <c r="Z22" s="1" t="b">
        <f t="shared" si="0"/>
        <v>1</v>
      </c>
    </row>
    <row r="23" spans="1:26" ht="15" customHeight="1" x14ac:dyDescent="0.25">
      <c r="A23" s="53">
        <v>308645</v>
      </c>
      <c r="B23" s="52"/>
      <c r="C23" s="1" t="str">
        <f>CONCATENATE(H23,"-",$J$15,", ",$J$19)</f>
        <v>6000-biela lesk, Elegant II</v>
      </c>
      <c r="D23" s="53">
        <v>308645</v>
      </c>
      <c r="E23" s="52" t="str">
        <f>+VLOOKUP(A23,cennik!$A:$G,2,FALSE)</f>
        <v>SEVROLL 04295 Elegant II spodné vedenie 6m biela lesk</v>
      </c>
      <c r="F23" s="52" t="str">
        <f>+VLOOKUP(A23,cennik!A:B,2,FALSE)</f>
        <v>SEVROLL 04295 Elegant II spodné vedenie 6m biela lesk</v>
      </c>
      <c r="H23" s="1">
        <v>6000</v>
      </c>
      <c r="I23" s="1" t="str">
        <f>CONCATENATE(H23,"-",$J$15,", ",$J$19)</f>
        <v>6000-biela lesk, Elegant II</v>
      </c>
      <c r="T23" s="140">
        <v>180419</v>
      </c>
      <c r="U23" t="s">
        <v>3570</v>
      </c>
      <c r="Z23" s="1" t="b">
        <f t="shared" si="0"/>
        <v>1</v>
      </c>
    </row>
    <row r="24" spans="1:26" ht="15" customHeight="1" x14ac:dyDescent="0.25">
      <c r="A24" s="53">
        <v>120868</v>
      </c>
      <c r="B24" s="52"/>
      <c r="C24" s="1" t="str">
        <f>CONCATENATE(H24,"-",$J$7,", ",$J$19)</f>
        <v>1700-oliva kartáčovaná, Elegant II</v>
      </c>
      <c r="D24" s="53">
        <v>120868</v>
      </c>
      <c r="E24" s="52" t="str">
        <f>+VLOOKUP(A24,cennik!$A:$G,2,FALSE)</f>
        <v>SEVROLL 04333-Y Elegant II spodné vedenie  1,7m oliva kartáčovaná</v>
      </c>
      <c r="F24" s="52" t="str">
        <f>+VLOOKUP(A24,cennik!A:B,2,FALSE)</f>
        <v>SEVROLL 04333-Y Elegant II spodné vedenie  1,7m oliva kartáčovaná</v>
      </c>
      <c r="H24" s="1">
        <v>1700</v>
      </c>
      <c r="I24" s="1" t="str">
        <f>CONCATENATE(H24,"-",$J$7,", ",$J$19)</f>
        <v>1700-oliva kartáčovaná, Elegant II</v>
      </c>
      <c r="T24" s="140">
        <v>238033</v>
      </c>
      <c r="U24" t="s">
        <v>3570</v>
      </c>
      <c r="Z24" s="1" t="b">
        <f t="shared" si="0"/>
        <v>1</v>
      </c>
    </row>
    <row r="25" spans="1:26" ht="15" customHeight="1" x14ac:dyDescent="0.25">
      <c r="A25" s="53">
        <v>120869</v>
      </c>
      <c r="B25" s="52"/>
      <c r="C25" s="1" t="str">
        <f>CONCATENATE(H25,"-",$J$7,", ",$J$19)</f>
        <v>2350-oliva kartáčovaná, Elegant II</v>
      </c>
      <c r="D25" s="53">
        <v>120869</v>
      </c>
      <c r="E25" s="52" t="str">
        <f>+VLOOKUP(A25,cennik!$A:$G,2,FALSE)</f>
        <v>SEVROLL 04334-Y Elegant II spodné vedenie  2,35m oliva kartáčovaná</v>
      </c>
      <c r="F25" s="52" t="str">
        <f>+VLOOKUP(A25,cennik!A:B,2,FALSE)</f>
        <v>SEVROLL 04334-Y Elegant II spodné vedenie  2,35m oliva kartáčovaná</v>
      </c>
      <c r="H25" s="1">
        <v>2350</v>
      </c>
      <c r="I25" s="1" t="str">
        <f>CONCATENATE(H25,"-",$J$7,", ",$J$19)</f>
        <v>2350-oliva kartáčovaná, Elegant II</v>
      </c>
      <c r="T25" s="140">
        <v>238034</v>
      </c>
      <c r="U25">
        <v>496986</v>
      </c>
      <c r="Z25" s="1" t="b">
        <f t="shared" si="0"/>
        <v>1</v>
      </c>
    </row>
    <row r="26" spans="1:26" ht="15" customHeight="1" x14ac:dyDescent="0.25">
      <c r="A26" s="53">
        <v>120870</v>
      </c>
      <c r="B26" s="52"/>
      <c r="C26" s="1" t="str">
        <f>CONCATENATE(H26,"-",$J$7,", ",$J$19)</f>
        <v>3000-oliva kartáčovaná, Elegant II</v>
      </c>
      <c r="D26" s="53">
        <v>120870</v>
      </c>
      <c r="E26" s="52" t="str">
        <f>+VLOOKUP(A26,cennik!$A:$G,2,FALSE)</f>
        <v>SEVROLL 04335-Y Elegant II spodné vedenie  3m oliva kartáčovaná</v>
      </c>
      <c r="F26" s="52" t="str">
        <f>+VLOOKUP(A26,cennik!A:B,2,FALSE)</f>
        <v>SEVROLL 04335-Y Elegant II spodné vedenie  3m oliva kartáčovaná</v>
      </c>
      <c r="H26" s="1">
        <v>3000</v>
      </c>
      <c r="I26" s="1" t="str">
        <f>CONCATENATE(H26,"-",$J$7,", ",$J$19)</f>
        <v>3000-oliva kartáčovaná, Elegant II</v>
      </c>
      <c r="T26" s="140">
        <v>102833</v>
      </c>
      <c r="U26" t="s">
        <v>3570</v>
      </c>
      <c r="Z26" s="1" t="b">
        <f t="shared" si="0"/>
        <v>1</v>
      </c>
    </row>
    <row r="27" spans="1:26" ht="15" customHeight="1" x14ac:dyDescent="0.25">
      <c r="A27" s="53">
        <v>120871</v>
      </c>
      <c r="B27" s="52"/>
      <c r="C27" s="1" t="str">
        <f>CONCATENATE(H27,"-",$J$7,", ",$J$19)</f>
        <v>4050-oliva kartáčovaná, Elegant II</v>
      </c>
      <c r="D27" s="53">
        <v>120871</v>
      </c>
      <c r="E27" s="52" t="str">
        <f>+VLOOKUP(A27,cennik!$A:$G,2,FALSE)</f>
        <v>SEVROLL 04336-Y Elegant II spodné vedenie  4,05m oliva kartáčovaná</v>
      </c>
      <c r="F27" s="52" t="str">
        <f>+VLOOKUP(A27,cennik!A:B,2,FALSE)</f>
        <v>SEVROLL 04336-Y Elegant II spodné vedenie  4,05m oliva kartáčovaná</v>
      </c>
      <c r="H27" s="1">
        <v>4050</v>
      </c>
      <c r="I27" s="1" t="str">
        <f>CONCATENATE(H27,"-",$J$7,", ",$J$19)</f>
        <v>4050-oliva kartáčovaná, Elegant II</v>
      </c>
      <c r="T27" s="140">
        <v>102834</v>
      </c>
      <c r="U27">
        <v>496942</v>
      </c>
      <c r="Z27" s="1" t="b">
        <f t="shared" si="0"/>
        <v>1</v>
      </c>
    </row>
    <row r="28" spans="1:26" ht="15" customHeight="1" x14ac:dyDescent="0.25">
      <c r="A28" s="53">
        <v>225367</v>
      </c>
      <c r="B28" s="52"/>
      <c r="C28" s="1" t="str">
        <f>CONCATENATE(H28,"-",$J$7,", ",$J$19)</f>
        <v>6000-oliva kartáčovaná, Elegant II</v>
      </c>
      <c r="D28" s="53">
        <v>225367</v>
      </c>
      <c r="E28" s="52" t="str">
        <f>+VLOOKUP(A28,cennik!$A:$G,2,FALSE)</f>
        <v>SEVROLL Elegant II spodné vedenie 6m oliva kartáčovaná</v>
      </c>
      <c r="F28" s="52" t="str">
        <f>+VLOOKUP(A28,cennik!A:B,2,FALSE)</f>
        <v>SEVROLL Elegant II spodné vedenie 6m oliva kartáčovaná</v>
      </c>
      <c r="H28" s="1">
        <v>6000</v>
      </c>
      <c r="I28" s="1" t="str">
        <f>CONCATENATE(H28,"-",$J$7,", ",$J$19)</f>
        <v>6000-oliva kartáčovaná, Elegant II</v>
      </c>
      <c r="T28" s="140">
        <v>238036</v>
      </c>
      <c r="U28" t="s">
        <v>3570</v>
      </c>
      <c r="Z28" s="1" t="b">
        <f t="shared" si="0"/>
        <v>1</v>
      </c>
    </row>
    <row r="29" spans="1:26" ht="15" customHeight="1" x14ac:dyDescent="0.25">
      <c r="A29" s="53">
        <v>205089</v>
      </c>
      <c r="B29" s="52"/>
      <c r="C29" s="1" t="str">
        <f>CONCATENATE(H29,"-",$J$8,", ",$J$19)</f>
        <v>1700-kart. tm. oliva, Elegant II</v>
      </c>
      <c r="D29" s="53">
        <v>205089</v>
      </c>
      <c r="E29" s="52" t="str">
        <f>+VLOOKUP(A29,cennik!$A:$G,2,FALSE)</f>
        <v>SEVROLL 04343 Elegant II spodné vedenie 1,7m oliva tmavá kartáčovaná</v>
      </c>
      <c r="F29" s="52" t="str">
        <f>+VLOOKUP(A29,cennik!A:B,2,FALSE)</f>
        <v>SEVROLL 04343 Elegant II spodné vedenie 1,7m oliva tmavá kartáčovaná</v>
      </c>
      <c r="H29" s="1">
        <v>1700</v>
      </c>
      <c r="I29" s="1" t="str">
        <f>CONCATENATE(H29,"-",$J$8,", ",$J$19)</f>
        <v>1700-kart. tm. oliva, Elegant II</v>
      </c>
      <c r="T29" s="140">
        <v>238038</v>
      </c>
      <c r="U29">
        <v>496990</v>
      </c>
      <c r="Z29" s="1" t="b">
        <f t="shared" si="0"/>
        <v>1</v>
      </c>
    </row>
    <row r="30" spans="1:26" ht="15" customHeight="1" x14ac:dyDescent="0.25">
      <c r="A30" s="53">
        <v>205078</v>
      </c>
      <c r="B30" s="52"/>
      <c r="C30" s="1" t="str">
        <f>CONCATENATE(H30,"-",$J$8,", ",$J$19)</f>
        <v>2350-kart. tm. oliva, Elegant II</v>
      </c>
      <c r="D30" s="53">
        <v>205078</v>
      </c>
      <c r="E30" s="52" t="str">
        <f>+VLOOKUP(A30,cennik!$A:$G,2,FALSE)</f>
        <v>SEVROLL 04344 Elegant II spodné vedenie 2,35m oliva tmavá kartáčovaná</v>
      </c>
      <c r="F30" s="52" t="str">
        <f>+VLOOKUP(A30,cennik!A:B,2,FALSE)</f>
        <v>SEVROLL 04344 Elegant II spodné vedenie 2,35m oliva tmavá kartáčovaná</v>
      </c>
      <c r="H30" s="1">
        <v>2350</v>
      </c>
      <c r="I30" s="1" t="str">
        <f>CONCATENATE(H30,"-",$J$8,", ",$J$19)</f>
        <v>2350-kart. tm. oliva, Elegant II</v>
      </c>
      <c r="T30" s="140">
        <v>98055</v>
      </c>
      <c r="U30" t="s">
        <v>3570</v>
      </c>
      <c r="Z30" s="1" t="b">
        <f t="shared" si="0"/>
        <v>1</v>
      </c>
    </row>
    <row r="31" spans="1:26" ht="15" customHeight="1" x14ac:dyDescent="0.25">
      <c r="A31" s="53">
        <v>205098</v>
      </c>
      <c r="B31" s="52"/>
      <c r="C31" s="1" t="str">
        <f>CONCATENATE(H31,"-",$J$8,", ",$J$19)</f>
        <v>3000-kart. tm. oliva, Elegant II</v>
      </c>
      <c r="D31" s="53">
        <v>205098</v>
      </c>
      <c r="E31" s="52" t="str">
        <f>+VLOOKUP(A31,cennik!$A:$G,2,FALSE)</f>
        <v>SEVROLL 04345 Elegant II spodné vedenie 3m oliva tmavá kartáčovaná</v>
      </c>
      <c r="F31" s="52" t="str">
        <f>+VLOOKUP(A31,cennik!A:B,2,FALSE)</f>
        <v>SEVROLL 04345 Elegant II spodné vedenie 3m oliva tmavá kartáčovaná</v>
      </c>
      <c r="H31" s="1">
        <v>3000</v>
      </c>
      <c r="I31" s="1" t="str">
        <f>CONCATENATE(H31,"-",$J$8,", ",$J$19)</f>
        <v>3000-kart. tm. oliva, Elegant II</v>
      </c>
      <c r="T31" s="140">
        <v>102832</v>
      </c>
      <c r="U31">
        <v>496924</v>
      </c>
      <c r="Z31" s="1" t="b">
        <f t="shared" si="0"/>
        <v>1</v>
      </c>
    </row>
    <row r="32" spans="1:26" ht="15" customHeight="1" x14ac:dyDescent="0.25">
      <c r="A32" s="53">
        <v>205087</v>
      </c>
      <c r="B32" s="52"/>
      <c r="C32" s="1" t="str">
        <f>CONCATENATE(H32,"-",$J$8,", ",$J$19)</f>
        <v>4050-kart. tm. oliva, Elegant II</v>
      </c>
      <c r="D32" s="53">
        <v>205087</v>
      </c>
      <c r="E32" s="52" t="str">
        <f>+VLOOKUP(A32,cennik!$A:$G,2,FALSE)</f>
        <v>SEVROLL 04346 Elegant II spodné vedenie 4,05m oliva tmavá kartáčovaná</v>
      </c>
      <c r="F32" s="52" t="str">
        <f>+VLOOKUP(A32,cennik!A:B,2,FALSE)</f>
        <v>SEVROLL 04346 Elegant II spodné vedenie 4,05m oliva tmavá kartáčovaná</v>
      </c>
      <c r="H32" s="1">
        <v>4050</v>
      </c>
      <c r="I32" s="1" t="str">
        <f>CONCATENATE(H32,"-",$J$8,", ",$J$19)</f>
        <v>4050-kart. tm. oliva, Elegant II</v>
      </c>
      <c r="T32" s="140">
        <v>465914</v>
      </c>
      <c r="U32">
        <v>318666</v>
      </c>
      <c r="Z32" s="1" t="b">
        <f t="shared" si="0"/>
        <v>1</v>
      </c>
    </row>
    <row r="33" spans="1:26" ht="15" customHeight="1" x14ac:dyDescent="0.25">
      <c r="A33" s="53">
        <v>225368</v>
      </c>
      <c r="B33" s="52"/>
      <c r="C33" s="1" t="str">
        <f>CONCATENATE(H33,"-",$J$8,", ",$J$19)</f>
        <v>6000-kart. tm. oliva, Elegant II</v>
      </c>
      <c r="D33" s="53">
        <v>225368</v>
      </c>
      <c r="E33" s="52" t="str">
        <f>+VLOOKUP(A33,cennik!$A:$G,2,FALSE)</f>
        <v>SEVROLL Elegant II spodné vedenie 6m oliva tmavá kartáčovaná</v>
      </c>
      <c r="F33" s="52" t="str">
        <f>+VLOOKUP(A33,cennik!A:B,2,FALSE)</f>
        <v>SEVROLL Elegant II spodné vedenie 6m oliva tmavá kartáčovaná</v>
      </c>
      <c r="H33" s="1">
        <v>6000</v>
      </c>
      <c r="I33" s="1" t="str">
        <f>CONCATENATE(H33,"-",$J$8,", ",$J$19)</f>
        <v>6000-kart. tm. oliva, Elegant II</v>
      </c>
      <c r="T33" s="140">
        <v>284974</v>
      </c>
      <c r="U33">
        <v>84387</v>
      </c>
      <c r="Z33" s="1" t="b">
        <f t="shared" si="0"/>
        <v>1</v>
      </c>
    </row>
    <row r="34" spans="1:26" ht="15" customHeight="1" x14ac:dyDescent="0.25">
      <c r="A34" s="53">
        <v>205090</v>
      </c>
      <c r="B34" s="52"/>
      <c r="C34" s="1" t="str">
        <f>CONCATENATE(H34,"-",$J$9,", ",$J$19)</f>
        <v>1700-kart. čierna, Elegant II</v>
      </c>
      <c r="D34" s="53">
        <v>205090</v>
      </c>
      <c r="E34" s="52" t="str">
        <f>+VLOOKUP(A34,cennik!$A:$G,2,FALSE)</f>
        <v>SEVROLL 04338 Elegant II spodné vedenie  1,7m čierna  kartáčovaná</v>
      </c>
      <c r="F34" s="52" t="str">
        <f>+VLOOKUP(A34,cennik!A:B,2,FALSE)</f>
        <v>SEVROLL 04338 Elegant II spodné vedenie  1,7m čierna  kartáčovaná</v>
      </c>
      <c r="H34" s="1">
        <v>1700</v>
      </c>
      <c r="I34" s="1" t="str">
        <f>CONCATENATE(H34,"-",$J$9,", ",$J$19)</f>
        <v>1700-kart. čierna, Elegant II</v>
      </c>
      <c r="T34" s="140">
        <v>284975</v>
      </c>
      <c r="U34">
        <v>84390</v>
      </c>
      <c r="Z34" s="1" t="b">
        <f t="shared" si="0"/>
        <v>1</v>
      </c>
    </row>
    <row r="35" spans="1:26" ht="15" customHeight="1" x14ac:dyDescent="0.25">
      <c r="A35" s="53">
        <v>205079</v>
      </c>
      <c r="B35" s="52"/>
      <c r="C35" s="1" t="str">
        <f>CONCATENATE(H35,"-",$J$9,", ",$J$19)</f>
        <v>2350-kart. čierna, Elegant II</v>
      </c>
      <c r="D35" s="53">
        <v>205079</v>
      </c>
      <c r="E35" s="52" t="str">
        <f>+VLOOKUP(A35,cennik!$A:$G,2,FALSE)</f>
        <v>SEVROLL 04339 Elegant II spodné vedenie  2,35m čierna  kartáčovaná</v>
      </c>
      <c r="F35" s="52" t="str">
        <f>+VLOOKUP(A35,cennik!A:B,2,FALSE)</f>
        <v>SEVROLL 04339 Elegant II spodné vedenie  2,35m čierna  kartáčovaná</v>
      </c>
      <c r="H35" s="1">
        <v>2350</v>
      </c>
      <c r="I35" s="1" t="str">
        <f>CONCATENATE(H35,"-",$J$9,", ",$J$19)</f>
        <v>2350-kart. čierna, Elegant II</v>
      </c>
      <c r="T35" s="140">
        <v>238028</v>
      </c>
      <c r="U35">
        <v>84393</v>
      </c>
      <c r="Z35" s="1" t="b">
        <f t="shared" si="0"/>
        <v>1</v>
      </c>
    </row>
    <row r="36" spans="1:26" ht="15" customHeight="1" x14ac:dyDescent="0.25">
      <c r="A36" s="53">
        <v>205186</v>
      </c>
      <c r="B36" s="52"/>
      <c r="C36" s="1" t="str">
        <f>CONCATENATE(H36,"-",$J$9,", ",$J$19)</f>
        <v>3000-kart. čierna, Elegant II</v>
      </c>
      <c r="D36" s="53">
        <v>205186</v>
      </c>
      <c r="E36" s="52" t="str">
        <f>+VLOOKUP(A36,cennik!$A:$G,2,FALSE)</f>
        <v>SEVROLL 04340 Elegant II spodné vedenie  3m čierna  kartáčovaná</v>
      </c>
      <c r="F36" s="52" t="str">
        <f>+VLOOKUP(A36,cennik!A:B,2,FALSE)</f>
        <v>SEVROLL 04340 Elegant II spodné vedenie  3m čierna  kartáčovaná</v>
      </c>
      <c r="H36" s="1">
        <v>3000</v>
      </c>
      <c r="I36" s="1" t="str">
        <f>CONCATENATE(H36,"-",$J$9,", ",$J$19)</f>
        <v>3000-kart. čierna, Elegant II</v>
      </c>
      <c r="T36" s="140">
        <v>180411</v>
      </c>
      <c r="U36">
        <v>84385</v>
      </c>
      <c r="Z36" s="1" t="b">
        <f t="shared" si="0"/>
        <v>1</v>
      </c>
    </row>
    <row r="37" spans="1:26" ht="15" customHeight="1" x14ac:dyDescent="0.25">
      <c r="A37" s="53">
        <v>205088</v>
      </c>
      <c r="B37" s="52"/>
      <c r="C37" s="1" t="str">
        <f>CONCATENATE(H37,"-",$J$9,", ",$J$19)</f>
        <v>4050-kart. čierna, Elegant II</v>
      </c>
      <c r="D37" s="53">
        <v>205088</v>
      </c>
      <c r="E37" s="52" t="str">
        <f>+VLOOKUP(A37,cennik!$A:$G,2,FALSE)</f>
        <v>SEVROLL 04341 Elegant II spodné vedenie  4,05m čierna  kartáčovaná</v>
      </c>
      <c r="F37" s="52" t="str">
        <f>+VLOOKUP(A37,cennik!A:B,2,FALSE)</f>
        <v>SEVROLL 04341 Elegant II spodné vedenie  4,05m čierna  kartáčovaná</v>
      </c>
      <c r="H37" s="1">
        <v>4050</v>
      </c>
      <c r="I37" s="1" t="str">
        <f>CONCATENATE(H37,"-",$J$9,", ",$J$19)</f>
        <v>4050-kart. čierna, Elegant II</v>
      </c>
      <c r="T37" s="140">
        <v>180412</v>
      </c>
      <c r="U37">
        <v>84388</v>
      </c>
      <c r="Z37" s="1" t="b">
        <f t="shared" si="0"/>
        <v>1</v>
      </c>
    </row>
    <row r="38" spans="1:26" ht="15" customHeight="1" x14ac:dyDescent="0.25">
      <c r="A38" s="53">
        <v>225369</v>
      </c>
      <c r="B38" s="52"/>
      <c r="C38" s="1" t="str">
        <f>CONCATENATE(H38,"-",$J$9,", ",$J$19)</f>
        <v>6000-kart. čierna, Elegant II</v>
      </c>
      <c r="D38" s="53">
        <v>225369</v>
      </c>
      <c r="E38" s="52" t="str">
        <f>+VLOOKUP(A38,cennik!$A:$G,2,FALSE)</f>
        <v>SEVROLL Elegant II spodné vedenie 6m čierna kartáčovaná</v>
      </c>
      <c r="F38" s="52" t="str">
        <f>+VLOOKUP(A38,cennik!A:B,2,FALSE)</f>
        <v>SEVROLL Elegant II spodné vedenie 6m čierna kartáčovaná</v>
      </c>
      <c r="H38" s="1">
        <v>6000</v>
      </c>
      <c r="I38" s="1" t="str">
        <f>CONCATENATE(H38,"-",$J$9,", ",$J$19)</f>
        <v>6000-kart. čierna, Elegant II</v>
      </c>
      <c r="T38" s="140">
        <v>180324</v>
      </c>
      <c r="U38">
        <v>84391</v>
      </c>
      <c r="Z38" s="1" t="b">
        <f t="shared" si="0"/>
        <v>1</v>
      </c>
    </row>
    <row r="39" spans="1:26" ht="15" customHeight="1" x14ac:dyDescent="0.25">
      <c r="A39" s="53">
        <v>84410</v>
      </c>
      <c r="B39" s="52"/>
      <c r="C39" s="1" t="str">
        <f>CONCATENATE(H39,"-",$J$4,", ",$J$21)</f>
        <v>1700-strieborná , Gemini</v>
      </c>
      <c r="D39" s="53">
        <v>84410</v>
      </c>
      <c r="E39" s="52" t="str">
        <f>+VLOOKUP(A39,cennik!$A:$G,2,FALSE)</f>
        <v>SEVROLL Gemini II spodné vedenie 1,7m strieborná</v>
      </c>
      <c r="F39" s="52" t="str">
        <f>+VLOOKUP(A39,cennik!A:B,2,FALSE)</f>
        <v>SEVROLL Gemini II spodné vedenie 1,7m strieborná</v>
      </c>
      <c r="H39" s="1">
        <v>1700</v>
      </c>
      <c r="I39" s="1" t="str">
        <f>CONCATENATE(H39,"-",$J$4,", ",$J$21)</f>
        <v>1700-strieborná , Gemini</v>
      </c>
      <c r="T39" s="140">
        <v>180325</v>
      </c>
      <c r="U39">
        <v>84394</v>
      </c>
      <c r="Z39" s="1" t="b">
        <f t="shared" si="0"/>
        <v>1</v>
      </c>
    </row>
    <row r="40" spans="1:26" ht="15" customHeight="1" x14ac:dyDescent="0.25">
      <c r="A40" s="53">
        <v>98057</v>
      </c>
      <c r="B40" s="52"/>
      <c r="C40" s="1" t="str">
        <f>CONCATENATE(H40,"-",$J$4,", ",$J$21)</f>
        <v>2350-strieborná , Gemini</v>
      </c>
      <c r="D40" s="53">
        <v>98057</v>
      </c>
      <c r="E40" s="52" t="str">
        <f>+VLOOKUP(A40,cennik!$A:$G,2,FALSE)</f>
        <v>SEVROLL 04592 Gemini II spodné vedenie  2,35m strieborná</v>
      </c>
      <c r="F40" s="52" t="str">
        <f>+VLOOKUP(A40,cennik!A:B,2,FALSE)</f>
        <v>SEVROLL 04592 Gemini II spodné vedenie  2,35m strieborná</v>
      </c>
      <c r="H40" s="1">
        <v>2350</v>
      </c>
      <c r="I40" s="1" t="str">
        <f>CONCATENATE(H40,"-",$J$4,", ",$J$21)</f>
        <v>2350-strieborná , Gemini</v>
      </c>
      <c r="T40" s="140">
        <v>180414</v>
      </c>
      <c r="U40">
        <v>350687</v>
      </c>
      <c r="Z40" s="1" t="b">
        <f t="shared" si="0"/>
        <v>1</v>
      </c>
    </row>
    <row r="41" spans="1:26" ht="15" customHeight="1" x14ac:dyDescent="0.25">
      <c r="A41" s="53">
        <v>84412</v>
      </c>
      <c r="B41" s="52"/>
      <c r="C41" s="1" t="str">
        <f>CONCATENATE(H41,"-",$J$4,", ",$J$21)</f>
        <v>3000-strieborná , Gemini</v>
      </c>
      <c r="D41" s="53">
        <v>84412</v>
      </c>
      <c r="E41" s="52" t="str">
        <f>+VLOOKUP(A41,cennik!$A:$G,2,FALSE)</f>
        <v>SEVROLL 04593 Gemini II spodné vedenie  3m strieborná</v>
      </c>
      <c r="F41" s="52" t="str">
        <f>+VLOOKUP(A41,cennik!A:B,2,FALSE)</f>
        <v>SEVROLL 04593 Gemini II spodné vedenie  3m strieborná</v>
      </c>
      <c r="H41" s="1">
        <v>3000</v>
      </c>
      <c r="I41" s="1" t="str">
        <f>CONCATENATE(H41,"-",$J$4,", ",$J$21)</f>
        <v>3000-strieborná , Gemini</v>
      </c>
      <c r="T41" s="140">
        <v>406344</v>
      </c>
      <c r="U41">
        <v>89105</v>
      </c>
      <c r="Z41" s="1" t="b">
        <f t="shared" si="0"/>
        <v>1</v>
      </c>
    </row>
    <row r="42" spans="1:26" ht="15" customHeight="1" x14ac:dyDescent="0.25">
      <c r="A42" s="53">
        <v>98058</v>
      </c>
      <c r="B42" s="52"/>
      <c r="C42" s="1" t="str">
        <f>CONCATENATE(H42,"-",$J$4,", ",$J$21)</f>
        <v>4050-strieborná , Gemini</v>
      </c>
      <c r="D42" s="53">
        <v>98058</v>
      </c>
      <c r="E42" s="52" t="str">
        <f>+VLOOKUP(A42,cennik!$A:$G,2,FALSE)</f>
        <v>SEVROLL 04594 Gemini II spodné vedenie  4,05m strieborná</v>
      </c>
      <c r="F42" s="52" t="str">
        <f>+VLOOKUP(A42,cennik!A:B,2,FALSE)</f>
        <v>SEVROLL 04594 Gemini II spodné vedenie  4,05m strieborná</v>
      </c>
      <c r="H42" s="1">
        <v>4050</v>
      </c>
      <c r="I42" s="1" t="str">
        <f>CONCATENATE(H42,"-",$J$4,", ",$J$21)</f>
        <v>4050-strieborná , Gemini</v>
      </c>
      <c r="T42" s="140">
        <v>284972</v>
      </c>
      <c r="U42">
        <v>89108</v>
      </c>
      <c r="Z42" s="1" t="b">
        <f t="shared" si="0"/>
        <v>1</v>
      </c>
    </row>
    <row r="43" spans="1:26" ht="15" customHeight="1" x14ac:dyDescent="0.25">
      <c r="A43" s="53">
        <v>159409</v>
      </c>
      <c r="B43" s="52"/>
      <c r="C43" s="1" t="str">
        <f>CONCATENATE(H43,"-",$J$4,", ",$J$21)</f>
        <v>6000-strieborná , Gemini</v>
      </c>
      <c r="D43" s="53">
        <v>159409</v>
      </c>
      <c r="E43" s="52" t="str">
        <f>+VLOOKUP(A43,cennik!$A:$G,2,FALSE)</f>
        <v>SEVROLL 04595 Gemini II spodné vedenie  6m strieborná</v>
      </c>
      <c r="F43" s="52" t="str">
        <f>+VLOOKUP(A43,cennik!A:B,2,FALSE)</f>
        <v>SEVROLL 04595 Gemini II spodné vedenie  6m strieborná</v>
      </c>
      <c r="H43" s="1">
        <v>6000</v>
      </c>
      <c r="I43" s="1" t="str">
        <f>CONCATENATE(H43,"-",$J$4,", ",$J$21)</f>
        <v>6000-strieborná , Gemini</v>
      </c>
      <c r="T43" s="140">
        <v>284973</v>
      </c>
      <c r="U43">
        <v>89111</v>
      </c>
      <c r="Z43" s="1" t="b">
        <f t="shared" si="0"/>
        <v>1</v>
      </c>
    </row>
    <row r="44" spans="1:26" ht="15" customHeight="1" x14ac:dyDescent="0.25">
      <c r="A44" s="53">
        <v>308647</v>
      </c>
      <c r="B44" s="52"/>
      <c r="C44" s="1" t="str">
        <f>CONCATENATE(H44,"-",$J$6,", ",$J$21)</f>
        <v>1700-oliva, Gemini</v>
      </c>
      <c r="D44" s="53">
        <v>308647</v>
      </c>
      <c r="E44" s="52" t="str">
        <f>+VLOOKUP(A44,cennik!$A:$G,2,FALSE)</f>
        <v>SEVROLL 04586 Gemini II spodné vedenie  1,7m oliva</v>
      </c>
      <c r="F44" s="52" t="str">
        <f>+VLOOKUP(A44,cennik!A:B,2,FALSE)</f>
        <v>SEVROLL 04586 Gemini II spodné vedenie  1,7m oliva</v>
      </c>
      <c r="H44" s="1">
        <v>1700</v>
      </c>
      <c r="I44" s="1" t="str">
        <f>CONCATENATE(H44,"-",$J$6,", ",$J$21)</f>
        <v>1700-oliva, Gemini</v>
      </c>
      <c r="T44" s="140">
        <v>238027</v>
      </c>
      <c r="U44">
        <v>89114</v>
      </c>
      <c r="Z44" s="1" t="b">
        <f t="shared" si="0"/>
        <v>1</v>
      </c>
    </row>
    <row r="45" spans="1:26" ht="15" customHeight="1" x14ac:dyDescent="0.25">
      <c r="A45" s="53">
        <v>308653</v>
      </c>
      <c r="B45" s="52"/>
      <c r="C45" s="1" t="str">
        <f>CONCATENATE(H45,"-",$J$6,", ",$J$21)</f>
        <v>2350-oliva, Gemini</v>
      </c>
      <c r="D45" s="53">
        <v>308653</v>
      </c>
      <c r="E45" s="52" t="str">
        <f>+VLOOKUP(A45,cennik!$A:$G,2,FALSE)</f>
        <v>SEVROLL 04587 Gemini II spodné vedenie  2,35m oliva</v>
      </c>
      <c r="F45" s="52" t="str">
        <f>+VLOOKUP(A45,cennik!A:B,2,FALSE)</f>
        <v>SEVROLL 04587 Gemini II spodné vedenie  2,35m oliva</v>
      </c>
      <c r="H45" s="1">
        <v>2350</v>
      </c>
      <c r="I45" s="1" t="str">
        <f>CONCATENATE(H45,"-",$J$6,", ",$J$21)</f>
        <v>2350-oliva, Gemini</v>
      </c>
      <c r="T45" s="140">
        <v>102835</v>
      </c>
      <c r="U45">
        <v>89106</v>
      </c>
      <c r="Z45" s="1" t="b">
        <f t="shared" si="0"/>
        <v>1</v>
      </c>
    </row>
    <row r="46" spans="1:26" ht="15" customHeight="1" x14ac:dyDescent="0.25">
      <c r="A46" s="53">
        <v>308657</v>
      </c>
      <c r="B46" s="52"/>
      <c r="C46" s="1" t="str">
        <f>CONCATENATE(H46,"-",$J$6,", ",$J$21)</f>
        <v>3000-oliva, Gemini</v>
      </c>
      <c r="D46" s="53">
        <v>308657</v>
      </c>
      <c r="E46" s="52" t="str">
        <f>+VLOOKUP(A46,cennik!$A:$G,2,FALSE)</f>
        <v>SEVROLL 04588 Gemini II spodné vedenie  3m oliva</v>
      </c>
      <c r="F46" s="52" t="str">
        <f>+VLOOKUP(A46,cennik!A:B,2,FALSE)</f>
        <v>SEVROLL 04588 Gemini II spodné vedenie  3m oliva</v>
      </c>
      <c r="H46" s="1">
        <v>3000</v>
      </c>
      <c r="I46" s="1" t="str">
        <f>CONCATENATE(H46,"-",$J$6,", ",$J$21)</f>
        <v>3000-oliva, Gemini</v>
      </c>
      <c r="T46" s="140">
        <v>102836</v>
      </c>
      <c r="U46">
        <v>89109</v>
      </c>
      <c r="Z46" s="1" t="b">
        <f t="shared" si="0"/>
        <v>1</v>
      </c>
    </row>
    <row r="47" spans="1:26" ht="15" customHeight="1" x14ac:dyDescent="0.25">
      <c r="A47" s="53">
        <v>308666</v>
      </c>
      <c r="B47" s="52"/>
      <c r="C47" s="1" t="str">
        <f>CONCATENATE(H47,"-",$J$6,", ",$J$21)</f>
        <v>4050-oliva, Gemini</v>
      </c>
      <c r="D47" s="53">
        <v>308666</v>
      </c>
      <c r="E47" s="52" t="str">
        <f>+VLOOKUP(A47,cennik!$A:$G,2,FALSE)</f>
        <v>SEVROLL 04589 Gemini II spodné vedenie  4,05m oliva</v>
      </c>
      <c r="F47" s="52" t="str">
        <f>+VLOOKUP(A47,cennik!A:B,2,FALSE)</f>
        <v>SEVROLL 04589 Gemini II spodné vedenie  4,05m oliva</v>
      </c>
      <c r="H47" s="1">
        <v>4050</v>
      </c>
      <c r="I47" s="1" t="str">
        <f>CONCATENATE(H47,"-",$J$6,", ",$J$21)</f>
        <v>4050-oliva, Gemini</v>
      </c>
      <c r="T47" s="140">
        <v>102838</v>
      </c>
      <c r="U47">
        <v>89112</v>
      </c>
      <c r="Z47" s="1" t="b">
        <f t="shared" si="0"/>
        <v>1</v>
      </c>
    </row>
    <row r="48" spans="1:26" ht="15" customHeight="1" x14ac:dyDescent="0.25">
      <c r="A48" s="53">
        <v>308668</v>
      </c>
      <c r="B48" s="52"/>
      <c r="C48" s="1" t="str">
        <f>CONCATENATE(H48,"-",$J$6,", ",$J$21)</f>
        <v>6000-oliva, Gemini</v>
      </c>
      <c r="D48" s="53">
        <v>308668</v>
      </c>
      <c r="E48" s="52" t="str">
        <f>+VLOOKUP(A48,cennik!$A:$G,2,FALSE)</f>
        <v>SEVROLL 04590 Gemini II spodné vedenie  6m oliva</v>
      </c>
      <c r="F48" s="52" t="str">
        <f>+VLOOKUP(A48,cennik!A:B,2,FALSE)</f>
        <v>SEVROLL 04590 Gemini II spodné vedenie  6m oliva</v>
      </c>
      <c r="H48" s="1">
        <v>6000</v>
      </c>
      <c r="I48" s="1" t="str">
        <f>CONCATENATE(H48,"-",$J$6,", ",$J$21)</f>
        <v>6000-oliva, Gemini</v>
      </c>
      <c r="T48" s="140">
        <v>102839</v>
      </c>
      <c r="U48">
        <v>89115</v>
      </c>
      <c r="Z48" s="1" t="b">
        <f t="shared" si="0"/>
        <v>1</v>
      </c>
    </row>
    <row r="49" spans="1:26" ht="15" customHeight="1" x14ac:dyDescent="0.25">
      <c r="A49" s="53">
        <v>351475</v>
      </c>
      <c r="B49" s="52"/>
      <c r="C49" s="1" t="str">
        <f>CONCATENATE(H49,"-",$J$15,", ",$J$21)</f>
        <v>1700-biela lesk, Gemini</v>
      </c>
      <c r="D49" s="53">
        <v>351475</v>
      </c>
      <c r="E49" s="52" t="str">
        <f>+VLOOKUP(A49,cennik!$A:$G,2,FALSE)</f>
        <v>SEVROLL 04760 Gemini II spodné vedenie 1,7m biela lesk</v>
      </c>
      <c r="F49" s="52" t="str">
        <f>+VLOOKUP(A49,cennik!A:B,2,FALSE)</f>
        <v>SEVROLL 04760 Gemini II spodné vedenie 1,7m biela lesk</v>
      </c>
      <c r="H49" s="1">
        <v>1700</v>
      </c>
      <c r="I49" s="1" t="str">
        <f>CONCATENATE(H49,"-",$J$15,", ",$J$21)</f>
        <v>1700-biela lesk, Gemini</v>
      </c>
      <c r="T49" s="140">
        <v>197377</v>
      </c>
      <c r="U49">
        <v>134933</v>
      </c>
      <c r="Z49" s="1" t="b">
        <f t="shared" si="0"/>
        <v>1</v>
      </c>
    </row>
    <row r="50" spans="1:26" ht="15" customHeight="1" x14ac:dyDescent="0.25">
      <c r="A50" s="53">
        <v>351476</v>
      </c>
      <c r="B50" s="52"/>
      <c r="C50" s="1" t="str">
        <f>CONCATENATE(H50,"-",$J$15,", ",$J$21)</f>
        <v>2350-biela lesk, Gemini</v>
      </c>
      <c r="D50" s="53">
        <v>351476</v>
      </c>
      <c r="E50" s="52" t="str">
        <f>+VLOOKUP(A50,cennik!$A:$G,2,FALSE)</f>
        <v>SEVROLL 04761 Gemini II spodné vedenie 2,35m biela lesk</v>
      </c>
      <c r="F50" s="52" t="str">
        <f>+VLOOKUP(A50,cennik!A:B,2,FALSE)</f>
        <v>SEVROLL 04761 Gemini II spodné vedenie 2,35m biela lesk</v>
      </c>
      <c r="H50" s="1">
        <v>2350</v>
      </c>
      <c r="I50" s="1" t="str">
        <f>CONCATENATE(H50,"-",$J$15,", ",$J$21)</f>
        <v>2350-biela lesk, Gemini</v>
      </c>
      <c r="T50" s="140">
        <v>229443</v>
      </c>
      <c r="U50">
        <v>496944</v>
      </c>
      <c r="Z50" s="1" t="b">
        <f t="shared" si="0"/>
        <v>1</v>
      </c>
    </row>
    <row r="51" spans="1:26" ht="15" customHeight="1" x14ac:dyDescent="0.25">
      <c r="A51" s="53">
        <v>351517</v>
      </c>
      <c r="B51" s="52"/>
      <c r="C51" s="1" t="str">
        <f>CONCATENATE(H51,"-",$J$15,", ",$J$21)</f>
        <v>3000-biela lesk, Gemini</v>
      </c>
      <c r="D51" s="53">
        <v>351517</v>
      </c>
      <c r="E51" s="52" t="str">
        <f>+VLOOKUP(A51,cennik!$A:$G,2,FALSE)</f>
        <v>SEVROLL 04762 Gemini II spodné vedenie 3m biela lesk</v>
      </c>
      <c r="F51" s="52" t="str">
        <f>+VLOOKUP(A51,cennik!A:B,2,FALSE)</f>
        <v>SEVROLL 04762 Gemini II spodné vedenie 3m biela lesk</v>
      </c>
      <c r="H51" s="1">
        <v>3000</v>
      </c>
      <c r="I51" s="1" t="str">
        <f>CONCATENATE(H51,"-",$J$15,", ",$J$21)</f>
        <v>3000-biela lesk, Gemini</v>
      </c>
      <c r="T51" s="140">
        <v>284540</v>
      </c>
      <c r="U51">
        <v>496998</v>
      </c>
      <c r="Z51" s="1" t="b">
        <f t="shared" si="0"/>
        <v>1</v>
      </c>
    </row>
    <row r="52" spans="1:26" ht="15" customHeight="1" x14ac:dyDescent="0.25">
      <c r="A52" s="53">
        <v>351541</v>
      </c>
      <c r="B52" s="52"/>
      <c r="C52" s="1" t="str">
        <f>CONCATENATE(H52,"-",$J$15,", ",$J$21)</f>
        <v>4050-biela lesk, Gemini</v>
      </c>
      <c r="D52" s="53">
        <v>351541</v>
      </c>
      <c r="E52" s="52" t="str">
        <f>+VLOOKUP(A52,cennik!$A:$G,2,FALSE)</f>
        <v>SEVROLL 04763 Gemini II spodné vedenie 4,05m biela lesk</v>
      </c>
      <c r="F52" s="52" t="str">
        <f>+VLOOKUP(A52,cennik!A:B,2,FALSE)</f>
        <v>SEVROLL 04763 Gemini II spodné vedenie 4,05m biela lesk</v>
      </c>
      <c r="H52" s="1">
        <v>4050</v>
      </c>
      <c r="I52" s="1" t="str">
        <f>CONCATENATE(H52,"-",$J$15,", ",$J$21)</f>
        <v>4050-biela lesk, Gemini</v>
      </c>
      <c r="T52" s="140">
        <v>229439</v>
      </c>
      <c r="U52">
        <v>228009</v>
      </c>
      <c r="Z52" s="1" t="b">
        <f t="shared" si="0"/>
        <v>1</v>
      </c>
    </row>
    <row r="53" spans="1:26" ht="15" customHeight="1" x14ac:dyDescent="0.25">
      <c r="A53" s="53">
        <v>351578</v>
      </c>
      <c r="B53" s="52"/>
      <c r="C53" s="1" t="str">
        <f>CONCATENATE(H53,"-",$J$15,", ",$J$21)</f>
        <v>6000-biela lesk, Gemini</v>
      </c>
      <c r="D53" s="53">
        <v>351578</v>
      </c>
      <c r="E53" s="52" t="str">
        <f>+VLOOKUP(A53,cennik!$A:$G,2,FALSE)</f>
        <v>SEVROLL 04764 Gemini II spodné vedenie 6m biela lesk</v>
      </c>
      <c r="F53" s="52" t="str">
        <f>+VLOOKUP(A53,cennik!A:B,2,FALSE)</f>
        <v>SEVROLL 04764 Gemini II spodné vedenie 6m biela lesk</v>
      </c>
      <c r="H53" s="1">
        <v>6000</v>
      </c>
      <c r="I53" s="1" t="str">
        <f>CONCATENATE(H53,"-",$J$15,", ",$J$21)</f>
        <v>6000-biela lesk, Gemini</v>
      </c>
      <c r="T53" s="140">
        <v>163151</v>
      </c>
      <c r="U53">
        <v>345776</v>
      </c>
      <c r="Z53" s="1" t="b">
        <f t="shared" si="0"/>
        <v>1</v>
      </c>
    </row>
    <row r="54" spans="1:26" ht="15" customHeight="1" x14ac:dyDescent="0.25">
      <c r="A54" s="53">
        <v>494741</v>
      </c>
      <c r="B54" s="52"/>
      <c r="C54" s="1" t="str">
        <f>CONCATENATE(H54,"-",$J$12,", ",$J$19)</f>
        <v>1700-grafit, Elegant II</v>
      </c>
      <c r="D54" s="53">
        <v>494741</v>
      </c>
      <c r="E54" s="52" t="str">
        <f>+VLOOKUP(A54,cennik!$A:$G,2,FALSE)</f>
        <v>SEVROLL 06042 Elegant II spodné vedenie 1,7m grafit</v>
      </c>
      <c r="F54" s="52" t="str">
        <f>+VLOOKUP(A54,cennik!A:B,2,FALSE)</f>
        <v>SEVROLL 06042 Elegant II spodné vedenie 1,7m grafit</v>
      </c>
      <c r="H54" s="1">
        <v>1700</v>
      </c>
      <c r="I54" s="1" t="str">
        <f>CONCATENATE(H54,"-",$J$12,", ",$J$19)</f>
        <v>1700-grafit, Elegant II</v>
      </c>
      <c r="T54" s="140">
        <v>180415</v>
      </c>
      <c r="U54">
        <v>318657</v>
      </c>
      <c r="Z54" s="1" t="b">
        <f t="shared" si="0"/>
        <v>1</v>
      </c>
    </row>
    <row r="55" spans="1:26" ht="15" customHeight="1" x14ac:dyDescent="0.25">
      <c r="A55" s="53">
        <v>494692</v>
      </c>
      <c r="B55" s="52"/>
      <c r="C55" s="1" t="str">
        <f t="shared" ref="C55:C58" si="3">CONCATENATE(H55,"-",$J$12,", ",$J$19)</f>
        <v>2350-grafit, Elegant II</v>
      </c>
      <c r="D55" s="53">
        <v>494692</v>
      </c>
      <c r="E55" s="52" t="str">
        <f>+VLOOKUP(A55,cennik!$A:$G,2,FALSE)</f>
        <v>SEVROLL 06043 Elegant II spodné vedenie 2,35m grafit</v>
      </c>
      <c r="F55" s="52" t="str">
        <f>+VLOOKUP(A55,cennik!A:B,2,FALSE)</f>
        <v>SEVROLL 06043 Elegant II spodné vedenie 2,35m grafit</v>
      </c>
      <c r="H55" s="1">
        <v>2350</v>
      </c>
      <c r="I55" s="1" t="str">
        <f t="shared" ref="I55:I58" si="4">CONCATENATE(H55,"-",$J$12,", ",$J$19)</f>
        <v>2350-grafit, Elegant II</v>
      </c>
      <c r="T55" s="140">
        <v>180416</v>
      </c>
      <c r="U55">
        <v>318660</v>
      </c>
      <c r="Z55" s="1" t="b">
        <f t="shared" si="0"/>
        <v>1</v>
      </c>
    </row>
    <row r="56" spans="1:26" ht="15" customHeight="1" x14ac:dyDescent="0.25">
      <c r="A56" s="53">
        <v>494739</v>
      </c>
      <c r="B56" s="52"/>
      <c r="C56" s="1" t="str">
        <f t="shared" si="3"/>
        <v>3000-grafit, Elegant II</v>
      </c>
      <c r="D56" s="53">
        <v>494739</v>
      </c>
      <c r="E56" s="52" t="str">
        <f>+VLOOKUP(A56,cennik!$A:$G,2,FALSE)</f>
        <v>SEVROLL 06020 Elegant II spodné vedenie 3m grafit</v>
      </c>
      <c r="F56" s="52" t="str">
        <f>+VLOOKUP(A56,cennik!A:B,2,FALSE)</f>
        <v>SEVROLL 06020 Elegant II spodné vedenie 3m grafit</v>
      </c>
      <c r="H56" s="1">
        <v>3000</v>
      </c>
      <c r="I56" s="1" t="str">
        <f t="shared" si="4"/>
        <v>3000-grafit, Elegant II</v>
      </c>
      <c r="T56" s="140">
        <v>180326</v>
      </c>
      <c r="U56">
        <v>345408</v>
      </c>
      <c r="Z56" s="1" t="b">
        <f t="shared" si="0"/>
        <v>1</v>
      </c>
    </row>
    <row r="57" spans="1:26" ht="15" customHeight="1" x14ac:dyDescent="0.25">
      <c r="A57" s="53">
        <v>494672</v>
      </c>
      <c r="B57" s="52"/>
      <c r="C57" s="1" t="str">
        <f t="shared" si="3"/>
        <v>4050-grafit, Elegant II</v>
      </c>
      <c r="D57" s="53">
        <v>494672</v>
      </c>
      <c r="E57" s="52" t="str">
        <f>+VLOOKUP(A57,cennik!$A:$G,2,FALSE)</f>
        <v>SEVROLL 06021 Elegant II spodné vedenie 4,05m grafit</v>
      </c>
      <c r="F57" s="52" t="str">
        <f>+VLOOKUP(A57,cennik!A:B,2,FALSE)</f>
        <v>SEVROLL 06021 Elegant II spodné vedenie 4,05m grafit</v>
      </c>
      <c r="H57" s="1">
        <v>4050</v>
      </c>
      <c r="I57" s="1" t="str">
        <f t="shared" si="4"/>
        <v>4050-grafit, Elegant II</v>
      </c>
      <c r="T57" s="140">
        <v>180418</v>
      </c>
      <c r="U57">
        <v>346118</v>
      </c>
      <c r="Z57" s="1" t="b">
        <f t="shared" si="0"/>
        <v>1</v>
      </c>
    </row>
    <row r="58" spans="1:26" ht="15" customHeight="1" x14ac:dyDescent="0.25">
      <c r="A58" s="53">
        <v>496355</v>
      </c>
      <c r="B58" s="52"/>
      <c r="C58" s="1" t="str">
        <f t="shared" si="3"/>
        <v>6000-grafit, Elegant II</v>
      </c>
      <c r="D58" s="53">
        <v>496355</v>
      </c>
      <c r="E58" s="52" t="str">
        <f>+VLOOKUP(A58,cennik!$A:$G,2,FALSE)</f>
        <v>SEVROLL 06044 Elegant II spodné vedenie 6m grafit</v>
      </c>
      <c r="F58" s="52" t="str">
        <f>+VLOOKUP(A58,cennik!A:B,2,FALSE)</f>
        <v>SEVROLL 06044 Elegant II spodné vedenie 6m grafit</v>
      </c>
      <c r="H58" s="1">
        <v>6000</v>
      </c>
      <c r="I58" s="1" t="str">
        <f t="shared" si="4"/>
        <v>6000-grafit, Elegant II</v>
      </c>
      <c r="T58" s="140">
        <v>465917</v>
      </c>
      <c r="U58">
        <v>318655</v>
      </c>
      <c r="Z58" s="1" t="b">
        <f t="shared" si="0"/>
        <v>1</v>
      </c>
    </row>
    <row r="59" spans="1:26" ht="15" customHeight="1" x14ac:dyDescent="0.25">
      <c r="A59" s="53">
        <v>409676</v>
      </c>
      <c r="B59" s="52"/>
      <c r="C59" s="1" t="str">
        <f>CONCATENATE(H59,"-",$J$17,", ",$J$19)</f>
        <v>4050-čierna mat, Elegant II</v>
      </c>
      <c r="D59" s="53">
        <v>409676</v>
      </c>
      <c r="E59" s="52" t="str">
        <f>+VLOOKUP(A59,cennik!$A:$G,2,FALSE)</f>
        <v>SEVROLL 05311 Elegant II spodné vedenie 4,05m čierna mat</v>
      </c>
      <c r="F59" s="52" t="str">
        <f>+VLOOKUP(A59,cennik!A:B,2,FALSE)</f>
        <v>SEVROLL 05311 Elegant II spodné vedenie 4,05m čierna mat</v>
      </c>
      <c r="H59" s="1">
        <v>4050</v>
      </c>
      <c r="I59" s="1" t="str">
        <f>CONCATENATE(H59,"-",$J$17,", ",$J$21)</f>
        <v>4050-čierna mat, Gemini</v>
      </c>
      <c r="T59" s="140">
        <v>284976</v>
      </c>
      <c r="U59">
        <v>318658</v>
      </c>
      <c r="Z59" s="1" t="b">
        <f t="shared" si="0"/>
        <v>1</v>
      </c>
    </row>
    <row r="60" spans="1:26" ht="15" customHeight="1" x14ac:dyDescent="0.25">
      <c r="A60" s="53">
        <v>409678</v>
      </c>
      <c r="B60" s="52"/>
      <c r="C60" s="1" t="str">
        <f t="shared" ref="C60:C63" si="5">CONCATENATE(H60,"-",$J$17,", ",$J$19)</f>
        <v>2350-čierna mat, Elegant II</v>
      </c>
      <c r="D60" s="53">
        <v>409678</v>
      </c>
      <c r="E60" s="52" t="str">
        <f>+VLOOKUP(A60,cennik!$A:$G,2,FALSE)</f>
        <v>SEVROLL 05309 Elegant II spodné vedenie 2,35m čierna mat</v>
      </c>
      <c r="F60" s="52" t="str">
        <f>+VLOOKUP(A60,cennik!A:B,2,FALSE)</f>
        <v>SEVROLL 05309 Elegant II spodné vedenie 2,35m čierna mat</v>
      </c>
      <c r="H60" s="1">
        <v>2350</v>
      </c>
      <c r="I60" s="1" t="str">
        <f t="shared" ref="I60:I63" si="6">CONCATENATE(H60,"-",$J$17,", ",$J$21)</f>
        <v>2350-čierna mat, Gemini</v>
      </c>
      <c r="T60" s="140">
        <v>284977</v>
      </c>
      <c r="U60">
        <v>345409</v>
      </c>
      <c r="Z60" s="1" t="b">
        <f t="shared" si="0"/>
        <v>1</v>
      </c>
    </row>
    <row r="61" spans="1:26" ht="15" customHeight="1" x14ac:dyDescent="0.25">
      <c r="A61" s="53">
        <v>412231</v>
      </c>
      <c r="B61" s="52"/>
      <c r="C61" s="1" t="str">
        <f t="shared" si="5"/>
        <v>3000-čierna mat, Elegant II</v>
      </c>
      <c r="D61" s="53">
        <v>412231</v>
      </c>
      <c r="E61" s="52" t="str">
        <f>+VLOOKUP(A61,cennik!$A:$G,2,FALSE)</f>
        <v>SEVROLL 05310 Elegant II spodné vedenie 3m čierna mat</v>
      </c>
      <c r="F61" s="52" t="str">
        <f>+VLOOKUP(A61,cennik!A:B,2,FALSE)</f>
        <v>SEVROLL 05310 Elegant II spodné vedenie 3m čierna mat</v>
      </c>
      <c r="H61" s="1">
        <v>3000</v>
      </c>
      <c r="I61" s="1" t="str">
        <f t="shared" si="6"/>
        <v>3000-čierna mat, Gemini</v>
      </c>
      <c r="T61" s="140">
        <v>238029</v>
      </c>
      <c r="U61">
        <v>345777</v>
      </c>
      <c r="Z61" s="1" t="b">
        <f t="shared" si="0"/>
        <v>1</v>
      </c>
    </row>
    <row r="62" spans="1:26" ht="15" customHeight="1" x14ac:dyDescent="0.25">
      <c r="A62" s="53">
        <v>422007</v>
      </c>
      <c r="B62" s="52"/>
      <c r="C62" s="1" t="str">
        <f t="shared" si="5"/>
        <v>1700-čierna mat, Elegant II</v>
      </c>
      <c r="D62" s="53">
        <v>422007</v>
      </c>
      <c r="E62" s="52" t="str">
        <f>+VLOOKUP(A62,cennik!$A:$G,2,FALSE)</f>
        <v>SEVROLL 05308 Elegant II spodné vedenie 1,7m čierna mat</v>
      </c>
      <c r="F62" s="52" t="str">
        <f>+VLOOKUP(A62,cennik!A:B,2,FALSE)</f>
        <v>SEVROLL 05308 Elegant II spodné vedenie 1,7m čierna mat</v>
      </c>
      <c r="H62" s="1">
        <v>1700</v>
      </c>
      <c r="I62" s="1" t="str">
        <f t="shared" si="6"/>
        <v>1700-čierna mat, Gemini</v>
      </c>
      <c r="Z62" s="1" t="b">
        <f t="shared" si="0"/>
        <v>1</v>
      </c>
    </row>
    <row r="63" spans="1:26" ht="15" customHeight="1" x14ac:dyDescent="0.25">
      <c r="A63" s="53">
        <v>452743</v>
      </c>
      <c r="B63" s="52"/>
      <c r="C63" s="1" t="str">
        <f t="shared" si="5"/>
        <v>6000-čierna mat, Elegant II</v>
      </c>
      <c r="D63" s="53">
        <v>452743</v>
      </c>
      <c r="E63" s="52" t="str">
        <f>+VLOOKUP(A63,cennik!$A:$G,2,FALSE)</f>
        <v>SEVROLL 05312 Elegant II spodné vedenie 6m čierna mat</v>
      </c>
      <c r="F63" s="52" t="str">
        <f>+VLOOKUP(A63,cennik!A:B,2,FALSE)</f>
        <v>SEVROLL 05312 Elegant II spodné vedenie 6m čierna mat</v>
      </c>
      <c r="H63" s="1">
        <v>6000</v>
      </c>
      <c r="I63" s="1" t="str">
        <f t="shared" si="6"/>
        <v>6000-čierna mat, Gemini</v>
      </c>
      <c r="Z63" s="1" t="b">
        <f t="shared" si="0"/>
        <v>1</v>
      </c>
    </row>
    <row r="64" spans="1:26" ht="15" customHeight="1" x14ac:dyDescent="0.25">
      <c r="A64" s="53" t="s">
        <v>117</v>
      </c>
      <c r="B64" s="52"/>
      <c r="C64" s="1" t="str">
        <f>CONCATENATE(H64,"-",$J$5,", ",$J$21)</f>
        <v>1700-zlatá, Gemini</v>
      </c>
      <c r="D64" s="53" t="s">
        <v>117</v>
      </c>
      <c r="E64" s="52" t="e">
        <f>+VLOOKUP(A64,cennik!$A:$G,2,FALSE)</f>
        <v>#N/A</v>
      </c>
      <c r="F64" s="52" t="e">
        <f>+VLOOKUP(A64,cennik!A:B,2,FALSE)</f>
        <v>#N/A</v>
      </c>
      <c r="G64" s="1" t="e">
        <f>+VLOOKUP(A64,#REF!,4,FALSE)</f>
        <v>#REF!</v>
      </c>
      <c r="H64" s="1" t="s">
        <v>478</v>
      </c>
      <c r="I64" s="1" t="str">
        <f>CONCATENATE(H64,"-",$J$5,", ",$J$21)</f>
        <v>1700-zlatá, Gemini</v>
      </c>
      <c r="Z64" s="1" t="b">
        <f t="shared" si="0"/>
        <v>1</v>
      </c>
    </row>
    <row r="65" spans="1:26" ht="15" customHeight="1" x14ac:dyDescent="0.25">
      <c r="A65" s="53" t="s">
        <v>117</v>
      </c>
      <c r="B65" s="52"/>
      <c r="C65" s="1" t="str">
        <f>CONCATENATE(H65,"-",$J$5,", ",$J$21)</f>
        <v>2350-zlatá, Gemini</v>
      </c>
      <c r="D65" s="53" t="s">
        <v>117</v>
      </c>
      <c r="E65" s="52" t="e">
        <f>+VLOOKUP(A65,cennik!$A:$G,2,FALSE)</f>
        <v>#N/A</v>
      </c>
      <c r="F65" s="52" t="e">
        <f>+VLOOKUP(A65,cennik!A:B,2,FALSE)</f>
        <v>#N/A</v>
      </c>
      <c r="H65" s="1" t="s">
        <v>479</v>
      </c>
      <c r="I65" s="1" t="str">
        <f>CONCATENATE(H65,"-",$J$5,", ",$J$21)</f>
        <v>2350-zlatá, Gemini</v>
      </c>
      <c r="Z65" s="1" t="b">
        <f t="shared" si="0"/>
        <v>1</v>
      </c>
    </row>
    <row r="66" spans="1:26" ht="15" customHeight="1" x14ac:dyDescent="0.25">
      <c r="A66" s="53" t="s">
        <v>117</v>
      </c>
      <c r="B66" s="52"/>
      <c r="C66" s="1" t="str">
        <f>CONCATENATE(H66,"-",$J$5,", ",$J$21)</f>
        <v>3000-zlatá, Gemini</v>
      </c>
      <c r="D66" s="53" t="s">
        <v>117</v>
      </c>
      <c r="E66" s="52" t="e">
        <f>+VLOOKUP(A66,cennik!$A:$G,2,FALSE)</f>
        <v>#N/A</v>
      </c>
      <c r="F66" s="52" t="e">
        <f>+VLOOKUP(A66,cennik!A:B,2,FALSE)</f>
        <v>#N/A</v>
      </c>
      <c r="H66" s="1" t="s">
        <v>480</v>
      </c>
      <c r="I66" s="1" t="str">
        <f>CONCATENATE(H66,"-",$J$5,", ",$J$21)</f>
        <v>3000-zlatá, Gemini</v>
      </c>
      <c r="Z66" s="1" t="b">
        <f t="shared" ref="Z66:Z134" si="7">A66=D66</f>
        <v>1</v>
      </c>
    </row>
    <row r="67" spans="1:26" ht="15" customHeight="1" x14ac:dyDescent="0.25">
      <c r="A67" s="53" t="s">
        <v>117</v>
      </c>
      <c r="B67" s="52"/>
      <c r="C67" s="1" t="str">
        <f>CONCATENATE(H67,"-",$J$5,", ",$J$21)</f>
        <v>4050-zlatá, Gemini</v>
      </c>
      <c r="D67" s="53" t="s">
        <v>117</v>
      </c>
      <c r="E67" s="52" t="e">
        <f>+VLOOKUP(A67,cennik!$A:$G,2,FALSE)</f>
        <v>#N/A</v>
      </c>
      <c r="F67" s="52" t="e">
        <f>+VLOOKUP(A67,cennik!A:B,2,FALSE)</f>
        <v>#N/A</v>
      </c>
      <c r="H67" s="1" t="s">
        <v>481</v>
      </c>
      <c r="I67" s="1" t="str">
        <f>CONCATENATE(H67,"-",$J$5,", ",$J$21)</f>
        <v>4050-zlatá, Gemini</v>
      </c>
      <c r="Z67" s="1" t="b">
        <f t="shared" si="7"/>
        <v>1</v>
      </c>
    </row>
    <row r="68" spans="1:26" ht="15" customHeight="1" x14ac:dyDescent="0.25">
      <c r="A68" s="53" t="s">
        <v>117</v>
      </c>
      <c r="B68" s="52"/>
      <c r="C68" s="1" t="str">
        <f>CONCATENATE(H68,"-",$J$5,", ",$J$21)</f>
        <v>6000-zlatá, Gemini</v>
      </c>
      <c r="D68" s="53" t="s">
        <v>117</v>
      </c>
      <c r="E68" s="52" t="e">
        <f>+VLOOKUP(A68,cennik!$A:$G,2,FALSE)</f>
        <v>#N/A</v>
      </c>
      <c r="F68" s="52" t="e">
        <f>+VLOOKUP(A68,cennik!A:B,2,FALSE)</f>
        <v>#N/A</v>
      </c>
      <c r="H68" s="1">
        <v>6000</v>
      </c>
      <c r="I68" s="1" t="str">
        <f>CONCATENATE(H68,"-",$J$5,", ",$J$21)</f>
        <v>6000-zlatá, Gemini</v>
      </c>
      <c r="Z68" s="1" t="b">
        <f t="shared" si="7"/>
        <v>1</v>
      </c>
    </row>
    <row r="69" spans="1:26" ht="15" customHeight="1" x14ac:dyDescent="0.25">
      <c r="A69" s="53" t="s">
        <v>117</v>
      </c>
      <c r="B69" s="52"/>
      <c r="C69" s="1" t="str">
        <f>CONCATENATE(H69,"-",$J$7,", ",$J$21)</f>
        <v>1700-oliva kartáčovaná, Gemini</v>
      </c>
      <c r="D69" s="53" t="s">
        <v>117</v>
      </c>
      <c r="E69" s="52" t="e">
        <f>+VLOOKUP(A69,cennik!$A:$G,2,FALSE)</f>
        <v>#N/A</v>
      </c>
      <c r="F69" s="52" t="e">
        <f>+VLOOKUP(A69,cennik!A:B,2,FALSE)</f>
        <v>#N/A</v>
      </c>
      <c r="G69" s="1" t="e">
        <f>+VLOOKUP(A69,#REF!,4,FALSE)</f>
        <v>#REF!</v>
      </c>
      <c r="H69" s="1" t="s">
        <v>478</v>
      </c>
      <c r="I69" s="1" t="str">
        <f>CONCATENATE(H69,"-",$J$7,", ",$J$21)</f>
        <v>1700-oliva kartáčovaná, Gemini</v>
      </c>
      <c r="Z69" s="1" t="b">
        <f t="shared" si="7"/>
        <v>1</v>
      </c>
    </row>
    <row r="70" spans="1:26" ht="15" customHeight="1" x14ac:dyDescent="0.25">
      <c r="A70" s="53" t="s">
        <v>117</v>
      </c>
      <c r="B70" s="52"/>
      <c r="C70" s="1" t="str">
        <f>CONCATENATE(H70,"-",$J$7,", ",$J$21)</f>
        <v>2350-oliva kartáčovaná, Gemini</v>
      </c>
      <c r="D70" s="53" t="s">
        <v>117</v>
      </c>
      <c r="E70" s="52" t="e">
        <f>+VLOOKUP(A70,cennik!$A:$G,2,FALSE)</f>
        <v>#N/A</v>
      </c>
      <c r="F70" s="52" t="e">
        <f>+VLOOKUP(A70,cennik!A:B,2,FALSE)</f>
        <v>#N/A</v>
      </c>
      <c r="H70" s="1" t="s">
        <v>479</v>
      </c>
      <c r="I70" s="1" t="str">
        <f>CONCATENATE(H70,"-",$J$7,", ",$J$21)</f>
        <v>2350-oliva kartáčovaná, Gemini</v>
      </c>
      <c r="Z70" s="1" t="b">
        <f t="shared" si="7"/>
        <v>1</v>
      </c>
    </row>
    <row r="71" spans="1:26" ht="15" customHeight="1" x14ac:dyDescent="0.25">
      <c r="A71" s="53" t="s">
        <v>117</v>
      </c>
      <c r="B71" s="52"/>
      <c r="C71" s="1" t="str">
        <f>CONCATENATE(H71,"-",$J$7,", ",$J$21)</f>
        <v>3000-oliva kartáčovaná, Gemini</v>
      </c>
      <c r="D71" s="53" t="s">
        <v>117</v>
      </c>
      <c r="E71" s="52" t="e">
        <f>+VLOOKUP(A71,cennik!$A:$G,2,FALSE)</f>
        <v>#N/A</v>
      </c>
      <c r="F71" s="52" t="e">
        <f>+VLOOKUP(A71,cennik!A:B,2,FALSE)</f>
        <v>#N/A</v>
      </c>
      <c r="H71" s="1" t="s">
        <v>480</v>
      </c>
      <c r="I71" s="1" t="str">
        <f>CONCATENATE(H71,"-",$J$7,", ",$J$21)</f>
        <v>3000-oliva kartáčovaná, Gemini</v>
      </c>
      <c r="Z71" s="1" t="b">
        <f t="shared" si="7"/>
        <v>1</v>
      </c>
    </row>
    <row r="72" spans="1:26" ht="15" customHeight="1" x14ac:dyDescent="0.25">
      <c r="A72" s="53" t="s">
        <v>117</v>
      </c>
      <c r="B72" s="52"/>
      <c r="C72" s="1" t="str">
        <f>CONCATENATE(H72,"-",$J$7,", ",$J$21)</f>
        <v>4050-oliva kartáčovaná, Gemini</v>
      </c>
      <c r="D72" s="53" t="s">
        <v>117</v>
      </c>
      <c r="E72" s="52" t="e">
        <f>+VLOOKUP(A72,cennik!$A:$G,2,FALSE)</f>
        <v>#N/A</v>
      </c>
      <c r="F72" s="52" t="e">
        <f>+VLOOKUP(A72,cennik!A:B,2,FALSE)</f>
        <v>#N/A</v>
      </c>
      <c r="H72" s="1" t="s">
        <v>481</v>
      </c>
      <c r="I72" s="1" t="str">
        <f>CONCATENATE(H72,"-",$J$7,", ",$J$21)</f>
        <v>4050-oliva kartáčovaná, Gemini</v>
      </c>
      <c r="Z72" s="1" t="b">
        <f t="shared" si="7"/>
        <v>1</v>
      </c>
    </row>
    <row r="73" spans="1:26" ht="15" customHeight="1" x14ac:dyDescent="0.25">
      <c r="A73" s="53" t="s">
        <v>117</v>
      </c>
      <c r="B73" s="52"/>
      <c r="C73" s="1" t="str">
        <f>CONCATENATE(H73,"-",$J$7,", ",$J$21)</f>
        <v>6000-oliva kartáčovaná, Gemini</v>
      </c>
      <c r="D73" s="53" t="s">
        <v>117</v>
      </c>
      <c r="E73" s="52" t="e">
        <f>+VLOOKUP(A73,cennik!$A:$G,2,FALSE)</f>
        <v>#N/A</v>
      </c>
      <c r="F73" s="52" t="e">
        <f>+VLOOKUP(A73,cennik!A:B,2,FALSE)</f>
        <v>#N/A</v>
      </c>
      <c r="H73" s="1">
        <v>6000</v>
      </c>
      <c r="I73" s="1" t="str">
        <f>CONCATENATE(H73,"-",$J$7,", ",$J$21)</f>
        <v>6000-oliva kartáčovaná, Gemini</v>
      </c>
      <c r="Z73" s="1" t="b">
        <f t="shared" si="7"/>
        <v>1</v>
      </c>
    </row>
    <row r="74" spans="1:26" ht="15" customHeight="1" x14ac:dyDescent="0.25">
      <c r="A74" s="53" t="s">
        <v>117</v>
      </c>
      <c r="B74" s="52"/>
      <c r="C74" s="1" t="str">
        <f>CONCATENATE(H74,"-",$J$8,", ",$J$21)</f>
        <v>1700-kart. tm. oliva, Gemini</v>
      </c>
      <c r="D74" s="53" t="s">
        <v>117</v>
      </c>
      <c r="E74" s="52" t="e">
        <f>+VLOOKUP(A74,cennik!$A:$G,2,FALSE)</f>
        <v>#N/A</v>
      </c>
      <c r="F74" s="52" t="e">
        <f>+VLOOKUP(A74,cennik!A:B,2,FALSE)</f>
        <v>#N/A</v>
      </c>
      <c r="G74" s="1" t="e">
        <f>+VLOOKUP(A74,#REF!,4,FALSE)</f>
        <v>#REF!</v>
      </c>
      <c r="H74" s="1" t="s">
        <v>478</v>
      </c>
      <c r="I74" s="1" t="str">
        <f>CONCATENATE(H74,"-",$J$8,", ",$J$21)</f>
        <v>1700-kart. tm. oliva, Gemini</v>
      </c>
      <c r="Z74" s="1" t="b">
        <f t="shared" si="7"/>
        <v>1</v>
      </c>
    </row>
    <row r="75" spans="1:26" ht="15" customHeight="1" x14ac:dyDescent="0.25">
      <c r="A75" s="53" t="s">
        <v>117</v>
      </c>
      <c r="B75" s="52"/>
      <c r="C75" s="1" t="str">
        <f>CONCATENATE(H75,"-",$J$8,", ",$J$21)</f>
        <v>2350-kart. tm. oliva, Gemini</v>
      </c>
      <c r="D75" s="53" t="s">
        <v>117</v>
      </c>
      <c r="E75" s="52" t="e">
        <f>+VLOOKUP(A75,cennik!$A:$G,2,FALSE)</f>
        <v>#N/A</v>
      </c>
      <c r="F75" s="52" t="e">
        <f>+VLOOKUP(A75,cennik!A:B,2,FALSE)</f>
        <v>#N/A</v>
      </c>
      <c r="H75" s="1" t="s">
        <v>479</v>
      </c>
      <c r="I75" s="1" t="str">
        <f>CONCATENATE(H75,"-",$J$8,", ",$J$21)</f>
        <v>2350-kart. tm. oliva, Gemini</v>
      </c>
      <c r="Z75" s="1" t="b">
        <f t="shared" si="7"/>
        <v>1</v>
      </c>
    </row>
    <row r="76" spans="1:26" ht="15" customHeight="1" x14ac:dyDescent="0.25">
      <c r="A76" s="53" t="s">
        <v>117</v>
      </c>
      <c r="B76" s="52"/>
      <c r="C76" s="1" t="str">
        <f>CONCATENATE(H76,"-",$J$8,", ",$J$21)</f>
        <v>3000-kart. tm. oliva, Gemini</v>
      </c>
      <c r="D76" s="53" t="s">
        <v>117</v>
      </c>
      <c r="E76" s="52" t="e">
        <f>+VLOOKUP(A76,cennik!$A:$G,2,FALSE)</f>
        <v>#N/A</v>
      </c>
      <c r="F76" s="52" t="e">
        <f>+VLOOKUP(A76,cennik!A:B,2,FALSE)</f>
        <v>#N/A</v>
      </c>
      <c r="H76" s="1" t="s">
        <v>480</v>
      </c>
      <c r="I76" s="1" t="str">
        <f>CONCATENATE(H76,"-",$J$8,", ",$J$21)</f>
        <v>3000-kart. tm. oliva, Gemini</v>
      </c>
      <c r="Z76" s="1" t="b">
        <f t="shared" si="7"/>
        <v>1</v>
      </c>
    </row>
    <row r="77" spans="1:26" ht="15" customHeight="1" x14ac:dyDescent="0.25">
      <c r="A77" s="53" t="s">
        <v>117</v>
      </c>
      <c r="B77" s="52"/>
      <c r="C77" s="1" t="str">
        <f>CONCATENATE(H77,"-",$J$8,", ",$J$21)</f>
        <v>4050-kart. tm. oliva, Gemini</v>
      </c>
      <c r="D77" s="53" t="s">
        <v>117</v>
      </c>
      <c r="E77" s="52" t="e">
        <f>+VLOOKUP(A77,cennik!$A:$G,2,FALSE)</f>
        <v>#N/A</v>
      </c>
      <c r="F77" s="52" t="e">
        <f>+VLOOKUP(A77,cennik!A:B,2,FALSE)</f>
        <v>#N/A</v>
      </c>
      <c r="H77" s="1" t="s">
        <v>481</v>
      </c>
      <c r="I77" s="1" t="str">
        <f>CONCATENATE(H77,"-",$J$8,", ",$J$21)</f>
        <v>4050-kart. tm. oliva, Gemini</v>
      </c>
      <c r="Z77" s="1" t="b">
        <f t="shared" si="7"/>
        <v>1</v>
      </c>
    </row>
    <row r="78" spans="1:26" ht="15" customHeight="1" x14ac:dyDescent="0.25">
      <c r="A78" s="53" t="s">
        <v>117</v>
      </c>
      <c r="B78" s="52"/>
      <c r="C78" s="1" t="str">
        <f>CONCATENATE(H78,"-",$J$8,", ",$J$21)</f>
        <v>6000-kart. tm. oliva, Gemini</v>
      </c>
      <c r="D78" s="53" t="s">
        <v>117</v>
      </c>
      <c r="E78" s="52" t="e">
        <f>+VLOOKUP(A78,cennik!$A:$G,2,FALSE)</f>
        <v>#N/A</v>
      </c>
      <c r="F78" s="52" t="e">
        <f>+VLOOKUP(A78,cennik!A:B,2,FALSE)</f>
        <v>#N/A</v>
      </c>
      <c r="H78" s="1">
        <v>6000</v>
      </c>
      <c r="I78" s="1" t="str">
        <f>CONCATENATE(H78,"-",$J$8,", ",$J$21)</f>
        <v>6000-kart. tm. oliva, Gemini</v>
      </c>
      <c r="Z78" s="1" t="b">
        <f t="shared" si="7"/>
        <v>1</v>
      </c>
    </row>
    <row r="79" spans="1:26" ht="15" customHeight="1" x14ac:dyDescent="0.25">
      <c r="A79" s="53" t="s">
        <v>117</v>
      </c>
      <c r="B79" s="52"/>
      <c r="C79" s="1" t="str">
        <f>CONCATENATE(H79,"-",$J$9,", ",$J$21)</f>
        <v>1700-kart. čierna, Gemini</v>
      </c>
      <c r="D79" s="53" t="s">
        <v>117</v>
      </c>
      <c r="E79" s="52" t="e">
        <f>+VLOOKUP(A79,cennik!$A:$G,2,FALSE)</f>
        <v>#N/A</v>
      </c>
      <c r="F79" s="52" t="e">
        <f>+VLOOKUP(A79,cennik!A:B,2,FALSE)</f>
        <v>#N/A</v>
      </c>
      <c r="G79" s="1" t="e">
        <f>+VLOOKUP(A79,#REF!,4,FALSE)</f>
        <v>#REF!</v>
      </c>
      <c r="H79" s="1" t="s">
        <v>478</v>
      </c>
      <c r="I79" s="1" t="str">
        <f>CONCATENATE(H79,"-",$J$9,", ",$J$21)</f>
        <v>1700-kart. čierna, Gemini</v>
      </c>
      <c r="Z79" s="1" t="b">
        <f t="shared" si="7"/>
        <v>1</v>
      </c>
    </row>
    <row r="80" spans="1:26" ht="15" customHeight="1" x14ac:dyDescent="0.25">
      <c r="A80" s="53" t="s">
        <v>117</v>
      </c>
      <c r="B80" s="52"/>
      <c r="C80" s="1" t="str">
        <f>CONCATENATE(H80,"-",$J$9,", ",$J$21)</f>
        <v>2350-kart. čierna, Gemini</v>
      </c>
      <c r="D80" s="53" t="s">
        <v>117</v>
      </c>
      <c r="E80" s="52" t="e">
        <f>+VLOOKUP(A80,cennik!$A:$G,2,FALSE)</f>
        <v>#N/A</v>
      </c>
      <c r="F80" s="52" t="e">
        <f>+VLOOKUP(A80,cennik!A:B,2,FALSE)</f>
        <v>#N/A</v>
      </c>
      <c r="H80" s="1" t="s">
        <v>479</v>
      </c>
      <c r="I80" s="1" t="str">
        <f>CONCATENATE(H80,"-",$J$9,", ",$J$21)</f>
        <v>2350-kart. čierna, Gemini</v>
      </c>
      <c r="Z80" s="1" t="b">
        <f t="shared" si="7"/>
        <v>1</v>
      </c>
    </row>
    <row r="81" spans="1:26" ht="15" customHeight="1" x14ac:dyDescent="0.25">
      <c r="A81" s="53" t="s">
        <v>117</v>
      </c>
      <c r="B81" s="52"/>
      <c r="C81" s="1" t="str">
        <f>CONCATENATE(H81,"-",$J$9,", ",$J$21)</f>
        <v>3000-kart. čierna, Gemini</v>
      </c>
      <c r="D81" s="53" t="s">
        <v>117</v>
      </c>
      <c r="E81" s="52" t="e">
        <f>+VLOOKUP(A81,cennik!$A:$G,2,FALSE)</f>
        <v>#N/A</v>
      </c>
      <c r="F81" s="52" t="e">
        <f>+VLOOKUP(A81,cennik!A:B,2,FALSE)</f>
        <v>#N/A</v>
      </c>
      <c r="H81" s="1" t="s">
        <v>480</v>
      </c>
      <c r="I81" s="1" t="str">
        <f>CONCATENATE(H81,"-",$J$9,", ",$J$21)</f>
        <v>3000-kart. čierna, Gemini</v>
      </c>
      <c r="Z81" s="1" t="b">
        <f t="shared" si="7"/>
        <v>1</v>
      </c>
    </row>
    <row r="82" spans="1:26" ht="15" customHeight="1" x14ac:dyDescent="0.25">
      <c r="A82" s="53" t="s">
        <v>117</v>
      </c>
      <c r="B82" s="52"/>
      <c r="C82" s="1" t="str">
        <f>CONCATENATE(H82,"-",$J$9,", ",$J$21)</f>
        <v>4050-kart. čierna, Gemini</v>
      </c>
      <c r="D82" s="53" t="s">
        <v>117</v>
      </c>
      <c r="E82" s="52" t="e">
        <f>+VLOOKUP(A82,cennik!$A:$G,2,FALSE)</f>
        <v>#N/A</v>
      </c>
      <c r="F82" s="52" t="e">
        <f>+VLOOKUP(A82,cennik!A:B,2,FALSE)</f>
        <v>#N/A</v>
      </c>
      <c r="H82" s="1" t="s">
        <v>481</v>
      </c>
      <c r="I82" s="1" t="str">
        <f>CONCATENATE(H82,"-",$J$9,", ",$J$21)</f>
        <v>4050-kart. čierna, Gemini</v>
      </c>
      <c r="Z82" s="1" t="b">
        <f t="shared" si="7"/>
        <v>1</v>
      </c>
    </row>
    <row r="83" spans="1:26" ht="15" customHeight="1" x14ac:dyDescent="0.25">
      <c r="A83" s="53" t="s">
        <v>117</v>
      </c>
      <c r="B83" s="52"/>
      <c r="C83" s="1" t="str">
        <f>CONCATENATE(H83,"-",$J$9,", ",$J$21)</f>
        <v>6000-kart. čierna, Gemini</v>
      </c>
      <c r="D83" s="53" t="s">
        <v>117</v>
      </c>
      <c r="E83" s="52" t="e">
        <f>+VLOOKUP(A83,cennik!$A:$G,2,FALSE)</f>
        <v>#N/A</v>
      </c>
      <c r="F83" s="52" t="e">
        <f>+VLOOKUP(A83,cennik!A:B,2,FALSE)</f>
        <v>#N/A</v>
      </c>
      <c r="H83" s="1">
        <v>6000</v>
      </c>
      <c r="I83" s="1" t="str">
        <f>CONCATENATE(H83,"-",$J$9,", ",$J$21)</f>
        <v>6000-kart. čierna, Gemini</v>
      </c>
      <c r="Z83" s="1" t="b">
        <f t="shared" si="7"/>
        <v>1</v>
      </c>
    </row>
    <row r="84" spans="1:26" ht="15" customHeight="1" x14ac:dyDescent="0.25">
      <c r="A84" s="2">
        <v>394792</v>
      </c>
      <c r="C84" s="1" t="str">
        <f>CONCATENATE(H84,"-",$J$18,", ",$J$19)</f>
        <v>1700-biela mat, Elegant II</v>
      </c>
      <c r="D84" s="2">
        <v>394792</v>
      </c>
      <c r="E84" s="52" t="str">
        <f>+VLOOKUP(A84,cennik!$A:$G,2,FALSE)</f>
        <v>SEVROLL 05081 Elegant II spodné vedenie 1,7m biela mat</v>
      </c>
      <c r="F84" s="52" t="str">
        <f>+VLOOKUP(A84,cennik!A:B,2,FALSE)</f>
        <v>SEVROLL 05081 Elegant II spodné vedenie 1,7m biela mat</v>
      </c>
      <c r="H84" s="1">
        <v>1700</v>
      </c>
      <c r="I84" s="1" t="str">
        <f>CONCATENATE(H84,"-",$J$18,", ",$J$19)</f>
        <v>1700-biela mat, Elegant II</v>
      </c>
    </row>
    <row r="85" spans="1:26" ht="15" customHeight="1" x14ac:dyDescent="0.25">
      <c r="A85" s="2">
        <v>394795</v>
      </c>
      <c r="C85" s="1" t="str">
        <f t="shared" ref="C85:C88" si="8">CONCATENATE(H85,"-",$J$18,", ",$J$19)</f>
        <v>2350-biela mat, Elegant II</v>
      </c>
      <c r="D85" s="2">
        <v>394795</v>
      </c>
      <c r="E85" s="52" t="str">
        <f>+VLOOKUP(A85,cennik!$A:$G,2,FALSE)</f>
        <v>SEVROLL 05160 Elegant II spodné vedenie 2,35m biely mat</v>
      </c>
      <c r="F85" s="52" t="str">
        <f>+VLOOKUP(A85,cennik!A:B,2,FALSE)</f>
        <v>SEVROLL 05160 Elegant II spodné vedenie 2,35m biely mat</v>
      </c>
      <c r="H85" s="1">
        <v>2350</v>
      </c>
      <c r="I85" s="1" t="str">
        <f t="shared" ref="I85:I88" si="9">CONCATENATE(H85,"-",$J$18,", ",$J$19)</f>
        <v>2350-biela mat, Elegant II</v>
      </c>
    </row>
    <row r="86" spans="1:26" ht="15" customHeight="1" x14ac:dyDescent="0.25">
      <c r="A86" s="2">
        <v>276743</v>
      </c>
      <c r="C86" s="1" t="str">
        <f t="shared" si="8"/>
        <v>3000-biela mat, Elegant II</v>
      </c>
      <c r="D86" s="2">
        <v>276743</v>
      </c>
      <c r="E86" s="52" t="str">
        <f>+VLOOKUP(A86,cennik!$A:$G,2,FALSE)</f>
        <v>SEVROLL 04437 Elegant II spodné vedenie  3m biela mat</v>
      </c>
      <c r="F86" s="52" t="str">
        <f>+VLOOKUP(A86,cennik!A:B,2,FALSE)</f>
        <v>SEVROLL 04437 Elegant II spodné vedenie  3m biela mat</v>
      </c>
      <c r="H86" s="1">
        <v>3000</v>
      </c>
      <c r="I86" s="1" t="str">
        <f t="shared" si="9"/>
        <v>3000-biela mat, Elegant II</v>
      </c>
    </row>
    <row r="87" spans="1:26" ht="15" customHeight="1" x14ac:dyDescent="0.25">
      <c r="A87" s="2">
        <v>394796</v>
      </c>
      <c r="C87" s="1" t="str">
        <f t="shared" si="8"/>
        <v>4050-biela mat, Elegant II</v>
      </c>
      <c r="D87" s="2">
        <v>394796</v>
      </c>
      <c r="E87" s="52" t="str">
        <f>+VLOOKUP(A87,cennik!$A:$G,2,FALSE)</f>
        <v>SEVROLL 05161 Elegant II spodné vedenie 4,05m biela mat</v>
      </c>
      <c r="F87" s="52" t="str">
        <f>+VLOOKUP(A87,cennik!A:B,2,FALSE)</f>
        <v>SEVROLL 05161 Elegant II spodné vedenie 4,05m biela mat</v>
      </c>
      <c r="H87" s="1">
        <v>4050</v>
      </c>
      <c r="I87" s="1" t="str">
        <f t="shared" si="9"/>
        <v>4050-biela mat, Elegant II</v>
      </c>
    </row>
    <row r="88" spans="1:26" ht="15" customHeight="1" x14ac:dyDescent="0.25">
      <c r="A88" s="2">
        <v>394800</v>
      </c>
      <c r="C88" s="1" t="str">
        <f t="shared" si="8"/>
        <v>6000-biela mat, Elegant II</v>
      </c>
      <c r="D88" s="2">
        <v>394800</v>
      </c>
      <c r="E88" s="52" t="str">
        <f>+VLOOKUP(A88,cennik!$A:$G,2,FALSE)</f>
        <v>SEVROLL 05162 Elegant II spodné vedenie 6m biela mat</v>
      </c>
      <c r="F88" s="52" t="str">
        <f>+VLOOKUP(A88,cennik!A:B,2,FALSE)</f>
        <v>SEVROLL 05162 Elegant II spodné vedenie 6m biela mat</v>
      </c>
      <c r="H88" s="1">
        <v>6000</v>
      </c>
      <c r="I88" s="1" t="str">
        <f t="shared" si="9"/>
        <v>6000-biela mat, Elegant II</v>
      </c>
    </row>
    <row r="89" spans="1:26" ht="15" customHeight="1" x14ac:dyDescent="0.25">
      <c r="A89" s="540">
        <v>405393</v>
      </c>
      <c r="B89" s="539"/>
      <c r="C89" s="1" t="str">
        <f>CONCATENATE(H89,"-",$J$16,", ",$J$19)</f>
        <v>1700-čierna lesk, Elegant II</v>
      </c>
      <c r="D89" s="540">
        <v>405393</v>
      </c>
      <c r="E89" s="541" t="str">
        <f>+VLOOKUP(A89,cennik!$A:$G,2,FALSE)</f>
        <v>SEVROLL 05155 Elegant II spodne vedenie 1,7m čierna lesk</v>
      </c>
      <c r="F89" s="541" t="str">
        <f>+VLOOKUP(A89,cennik!A:B,2,FALSE)</f>
        <v>SEVROLL 05155 Elegant II spodne vedenie 1,7m čierna lesk</v>
      </c>
      <c r="G89" s="539"/>
      <c r="H89" s="539">
        <v>1700</v>
      </c>
      <c r="I89" s="1" t="str">
        <f>CONCATENATE(H89,"-",$J$16,", ",$J$19)</f>
        <v>1700-čierna lesk, Elegant II</v>
      </c>
      <c r="Z89" s="1" t="b">
        <f t="shared" si="7"/>
        <v>1</v>
      </c>
    </row>
    <row r="90" spans="1:26" ht="15" customHeight="1" x14ac:dyDescent="0.25">
      <c r="A90" s="540">
        <v>398188</v>
      </c>
      <c r="B90" s="539"/>
      <c r="C90" s="1" t="str">
        <f t="shared" ref="C90:C93" si="10">CONCATENATE(H90,"-",$J$16,", ",$J$19)</f>
        <v>2350-čierna lesk, Elegant II</v>
      </c>
      <c r="D90" s="540">
        <v>398188</v>
      </c>
      <c r="E90" s="541" t="str">
        <f>+VLOOKUP(A90,cennik!$A:$G,2,FALSE)</f>
        <v>SEVROLL 05156 Elegant II spodné vedenie 2,35m čierna lesk</v>
      </c>
      <c r="F90" s="541" t="str">
        <f>+VLOOKUP(A90,cennik!A:B,2,FALSE)</f>
        <v>SEVROLL 05156 Elegant II spodné vedenie 2,35m čierna lesk</v>
      </c>
      <c r="G90" s="539"/>
      <c r="H90" s="539">
        <v>2350</v>
      </c>
      <c r="I90" s="1" t="str">
        <f t="shared" ref="I90:I93" si="11">CONCATENATE(H90,"-",$J$16,", ",$J$19)</f>
        <v>2350-čierna lesk, Elegant II</v>
      </c>
      <c r="Z90" s="1" t="b">
        <f t="shared" si="7"/>
        <v>1</v>
      </c>
    </row>
    <row r="91" spans="1:26" ht="15" customHeight="1" x14ac:dyDescent="0.25">
      <c r="A91" s="540">
        <v>405403</v>
      </c>
      <c r="B91" s="539"/>
      <c r="C91" s="1" t="str">
        <f t="shared" si="10"/>
        <v>3000-čierna lesk, Elegant II</v>
      </c>
      <c r="D91" s="540">
        <v>405403</v>
      </c>
      <c r="E91" s="541" t="str">
        <f>+VLOOKUP(A91,cennik!$A:$G,2,FALSE)</f>
        <v>SEVROLL 05157 Elegant II spodné vedenie 3m čierna lesk</v>
      </c>
      <c r="F91" s="541" t="str">
        <f>+VLOOKUP(A91,cennik!A:B,2,FALSE)</f>
        <v>SEVROLL 05157 Elegant II spodné vedenie 3m čierna lesk</v>
      </c>
      <c r="G91" s="539"/>
      <c r="H91" s="539">
        <v>3000</v>
      </c>
      <c r="I91" s="1" t="str">
        <f t="shared" si="11"/>
        <v>3000-čierna lesk, Elegant II</v>
      </c>
      <c r="Z91" s="1" t="b">
        <f t="shared" si="7"/>
        <v>1</v>
      </c>
    </row>
    <row r="92" spans="1:26" ht="15" customHeight="1" x14ac:dyDescent="0.25">
      <c r="A92" s="540">
        <v>405404</v>
      </c>
      <c r="B92" s="539"/>
      <c r="C92" s="1" t="str">
        <f t="shared" si="10"/>
        <v>4050-čierna lesk, Elegant II</v>
      </c>
      <c r="D92" s="540">
        <v>405404</v>
      </c>
      <c r="E92" s="541" t="str">
        <f>+VLOOKUP(A92,cennik!$A:$G,2,FALSE)</f>
        <v>SEVROLL 05158 Elegant II spodné vedenie 4,05m čierna lesk</v>
      </c>
      <c r="F92" s="541" t="str">
        <f>+VLOOKUP(A92,cennik!A:B,2,FALSE)</f>
        <v>SEVROLL 05158 Elegant II spodné vedenie 4,05m čierna lesk</v>
      </c>
      <c r="G92" s="539"/>
      <c r="H92" s="539">
        <v>4050</v>
      </c>
      <c r="I92" s="1" t="str">
        <f t="shared" si="11"/>
        <v>4050-čierna lesk, Elegant II</v>
      </c>
      <c r="Z92" s="1" t="b">
        <f t="shared" si="7"/>
        <v>1</v>
      </c>
    </row>
    <row r="93" spans="1:26" ht="15" customHeight="1" x14ac:dyDescent="0.25">
      <c r="A93" s="540">
        <v>405406</v>
      </c>
      <c r="B93" s="539"/>
      <c r="C93" s="1" t="str">
        <f t="shared" si="10"/>
        <v>6000-čierna lesk, Elegant II</v>
      </c>
      <c r="D93" s="540">
        <v>405406</v>
      </c>
      <c r="E93" s="541" t="str">
        <f>+VLOOKUP(A93,cennik!$A:$G,2,FALSE)</f>
        <v>SEVROLL 05159 Elegant II spodné vedenie 6m čierna lesk</v>
      </c>
      <c r="F93" s="541" t="str">
        <f>+VLOOKUP(A93,cennik!A:B,2,FALSE)</f>
        <v>SEVROLL 05159 Elegant II spodné vedenie 6m čierna lesk</v>
      </c>
      <c r="G93" s="539"/>
      <c r="H93" s="539">
        <v>6000</v>
      </c>
      <c r="I93" s="1" t="str">
        <f t="shared" si="11"/>
        <v>6000-čierna lesk, Elegant II</v>
      </c>
      <c r="Z93" s="1" t="b">
        <f t="shared" si="7"/>
        <v>1</v>
      </c>
    </row>
    <row r="94" spans="1:26" ht="15" customHeight="1" x14ac:dyDescent="0.25">
      <c r="A94" s="539">
        <v>422007</v>
      </c>
      <c r="B94" s="539"/>
      <c r="C94" s="1" t="str">
        <f>CONCATENATE(H94,"-",$J$17,", ",$J$19)</f>
        <v>1700-čierna mat, Elegant II</v>
      </c>
      <c r="D94" s="539">
        <v>422007</v>
      </c>
      <c r="E94" s="541" t="str">
        <f>+VLOOKUP(A94,cennik!$A:$G,2,FALSE)</f>
        <v>SEVROLL 05308 Elegant II spodné vedenie 1,7m čierna mat</v>
      </c>
      <c r="F94" s="541" t="str">
        <f>+VLOOKUP(A94,cennik!A:B,2,FALSE)</f>
        <v>SEVROLL 05308 Elegant II spodné vedenie 1,7m čierna mat</v>
      </c>
      <c r="G94" s="539"/>
      <c r="H94" s="539">
        <v>1700</v>
      </c>
      <c r="I94" s="1" t="str">
        <f>CONCATENATE(H94,"-",$J$17,", ",$J$19)</f>
        <v>1700-čierna mat, Elegant II</v>
      </c>
      <c r="Z94" s="1" t="b">
        <f t="shared" si="7"/>
        <v>1</v>
      </c>
    </row>
    <row r="95" spans="1:26" ht="15" customHeight="1" x14ac:dyDescent="0.25">
      <c r="A95" s="539">
        <v>409678</v>
      </c>
      <c r="B95" s="539"/>
      <c r="C95" s="1" t="str">
        <f t="shared" ref="C95:C98" si="12">CONCATENATE(H95,"-",$J$17,", ",$J$19)</f>
        <v>2350-čierna mat, Elegant II</v>
      </c>
      <c r="D95" s="539">
        <v>409678</v>
      </c>
      <c r="E95" s="541" t="str">
        <f>+VLOOKUP(A95,cennik!$A:$G,2,FALSE)</f>
        <v>SEVROLL 05309 Elegant II spodné vedenie 2,35m čierna mat</v>
      </c>
      <c r="F95" s="541" t="str">
        <f>+VLOOKUP(A95,cennik!A:B,2,FALSE)</f>
        <v>SEVROLL 05309 Elegant II spodné vedenie 2,35m čierna mat</v>
      </c>
      <c r="G95" s="539"/>
      <c r="H95" s="539">
        <v>2350</v>
      </c>
      <c r="I95" s="1" t="str">
        <f t="shared" ref="I95:I98" si="13">CONCATENATE(H95,"-",$J$17,", ",$J$19)</f>
        <v>2350-čierna mat, Elegant II</v>
      </c>
      <c r="Z95" s="1" t="b">
        <f t="shared" si="7"/>
        <v>1</v>
      </c>
    </row>
    <row r="96" spans="1:26" ht="15" customHeight="1" x14ac:dyDescent="0.25">
      <c r="A96" s="539">
        <v>412231</v>
      </c>
      <c r="B96" s="539"/>
      <c r="C96" s="1" t="str">
        <f t="shared" si="12"/>
        <v>3000-čierna mat, Elegant II</v>
      </c>
      <c r="D96" s="539">
        <v>412231</v>
      </c>
      <c r="E96" s="541" t="str">
        <f>+VLOOKUP(A96,cennik!$A:$G,2,FALSE)</f>
        <v>SEVROLL 05310 Elegant II spodné vedenie 3m čierna mat</v>
      </c>
      <c r="F96" s="541" t="str">
        <f>+VLOOKUP(A96,cennik!A:B,2,FALSE)</f>
        <v>SEVROLL 05310 Elegant II spodné vedenie 3m čierna mat</v>
      </c>
      <c r="G96" s="539"/>
      <c r="H96" s="539">
        <v>3000</v>
      </c>
      <c r="I96" s="1" t="str">
        <f t="shared" si="13"/>
        <v>3000-čierna mat, Elegant II</v>
      </c>
      <c r="Z96" s="1" t="b">
        <f t="shared" si="7"/>
        <v>1</v>
      </c>
    </row>
    <row r="97" spans="1:26" ht="15" customHeight="1" x14ac:dyDescent="0.25">
      <c r="A97" s="539">
        <v>409676</v>
      </c>
      <c r="B97" s="539"/>
      <c r="C97" s="1" t="str">
        <f t="shared" si="12"/>
        <v>4050-čierna mat, Elegant II</v>
      </c>
      <c r="D97" s="539">
        <v>409676</v>
      </c>
      <c r="E97" s="541" t="str">
        <f>+VLOOKUP(A97,cennik!$A:$G,2,FALSE)</f>
        <v>SEVROLL 05311 Elegant II spodné vedenie 4,05m čierna mat</v>
      </c>
      <c r="F97" s="541" t="str">
        <f>+VLOOKUP(A97,cennik!A:B,2,FALSE)</f>
        <v>SEVROLL 05311 Elegant II spodné vedenie 4,05m čierna mat</v>
      </c>
      <c r="G97" s="539"/>
      <c r="H97" s="539">
        <v>4050</v>
      </c>
      <c r="I97" s="1" t="str">
        <f t="shared" si="13"/>
        <v>4050-čierna mat, Elegant II</v>
      </c>
      <c r="Z97" s="1" t="b">
        <f t="shared" si="7"/>
        <v>1</v>
      </c>
    </row>
    <row r="98" spans="1:26" ht="15" customHeight="1" x14ac:dyDescent="0.25">
      <c r="A98" s="540">
        <v>452743</v>
      </c>
      <c r="B98" s="539"/>
      <c r="C98" s="1" t="str">
        <f t="shared" si="12"/>
        <v>6000-čierna mat, Elegant II</v>
      </c>
      <c r="D98" s="540">
        <v>452743</v>
      </c>
      <c r="E98" s="541" t="str">
        <f>+VLOOKUP(A98,cennik!$A:$G,2,FALSE)</f>
        <v>SEVROLL 05312 Elegant II spodné vedenie 6m čierna mat</v>
      </c>
      <c r="F98" s="541" t="str">
        <f>+VLOOKUP(A98,cennik!A:B,2,FALSE)</f>
        <v>SEVROLL 05312 Elegant II spodné vedenie 6m čierna mat</v>
      </c>
      <c r="G98" s="539"/>
      <c r="H98" s="539">
        <v>6000</v>
      </c>
      <c r="I98" s="1" t="str">
        <f t="shared" si="13"/>
        <v>6000-čierna mat, Elegant II</v>
      </c>
      <c r="Z98" s="1" t="b">
        <f t="shared" si="7"/>
        <v>1</v>
      </c>
    </row>
    <row r="99" spans="1:26" s="559" customFormat="1" ht="15" customHeight="1" x14ac:dyDescent="0.25">
      <c r="A99" s="558">
        <v>276743</v>
      </c>
      <c r="C99" s="1" t="str">
        <f>CONCATENATE(H99,"-",$J$18,", ",$J$19)</f>
        <v>3000-biela mat, Elegant II</v>
      </c>
      <c r="D99" s="558">
        <v>276743</v>
      </c>
      <c r="E99" s="560" t="s">
        <v>1203</v>
      </c>
      <c r="F99" s="560" t="s">
        <v>1203</v>
      </c>
      <c r="H99" s="559">
        <v>3000</v>
      </c>
      <c r="I99" s="1" t="str">
        <f>CONCATENATE(H99,"-",$J$18,", ",$J$19)</f>
        <v>3000-biela mat, Elegant II</v>
      </c>
      <c r="Z99" s="1" t="b">
        <f t="shared" si="7"/>
        <v>1</v>
      </c>
    </row>
    <row r="100" spans="1:26" s="559" customFormat="1" ht="15" customHeight="1" x14ac:dyDescent="0.25">
      <c r="A100" s="558">
        <v>394792</v>
      </c>
      <c r="C100" s="1" t="str">
        <f t="shared" ref="C100:C103" si="14">CONCATENATE(H100,"-",$J$18,", ",$J$19)</f>
        <v>1700-biela mat, Elegant II</v>
      </c>
      <c r="D100" s="558">
        <v>394792</v>
      </c>
      <c r="E100" s="560" t="s">
        <v>1521</v>
      </c>
      <c r="F100" s="560" t="s">
        <v>1521</v>
      </c>
      <c r="H100" s="559">
        <v>1700</v>
      </c>
      <c r="I100" s="1" t="str">
        <f t="shared" ref="I100:I103" si="15">CONCATENATE(H100,"-",$J$18,", ",$J$19)</f>
        <v>1700-biela mat, Elegant II</v>
      </c>
      <c r="Z100" s="1" t="b">
        <f t="shared" si="7"/>
        <v>1</v>
      </c>
    </row>
    <row r="101" spans="1:26" s="559" customFormat="1" ht="15" customHeight="1" x14ac:dyDescent="0.25">
      <c r="A101" s="558">
        <v>394795</v>
      </c>
      <c r="C101" s="1" t="str">
        <f t="shared" si="14"/>
        <v>2350-biela mat, Elegant II</v>
      </c>
      <c r="D101" s="558">
        <v>394795</v>
      </c>
      <c r="E101" s="560" t="s">
        <v>1522</v>
      </c>
      <c r="F101" s="560" t="s">
        <v>1522</v>
      </c>
      <c r="H101" s="559">
        <v>2350</v>
      </c>
      <c r="I101" s="1" t="str">
        <f t="shared" si="15"/>
        <v>2350-biela mat, Elegant II</v>
      </c>
      <c r="Z101" s="1" t="b">
        <f t="shared" si="7"/>
        <v>1</v>
      </c>
    </row>
    <row r="102" spans="1:26" s="559" customFormat="1" ht="15" customHeight="1" x14ac:dyDescent="0.25">
      <c r="A102" s="558">
        <v>394796</v>
      </c>
      <c r="C102" s="1" t="str">
        <f t="shared" si="14"/>
        <v>4050-biela mat, Elegant II</v>
      </c>
      <c r="D102" s="558">
        <v>394796</v>
      </c>
      <c r="E102" s="560" t="s">
        <v>1523</v>
      </c>
      <c r="F102" s="560" t="s">
        <v>1523</v>
      </c>
      <c r="H102" s="559">
        <v>4050</v>
      </c>
      <c r="I102" s="1" t="str">
        <f t="shared" si="15"/>
        <v>4050-biela mat, Elegant II</v>
      </c>
      <c r="Z102" s="1" t="b">
        <f t="shared" si="7"/>
        <v>1</v>
      </c>
    </row>
    <row r="103" spans="1:26" s="559" customFormat="1" ht="15" customHeight="1" x14ac:dyDescent="0.25">
      <c r="A103" s="558">
        <v>394800</v>
      </c>
      <c r="C103" s="1" t="str">
        <f t="shared" si="14"/>
        <v>6000-biela mat, Elegant II</v>
      </c>
      <c r="D103" s="558">
        <v>394800</v>
      </c>
      <c r="E103" s="560" t="s">
        <v>1524</v>
      </c>
      <c r="F103" s="560" t="s">
        <v>1524</v>
      </c>
      <c r="H103" s="559">
        <v>6000</v>
      </c>
      <c r="I103" s="1" t="str">
        <f t="shared" si="15"/>
        <v>6000-biela mat, Elegant II</v>
      </c>
      <c r="Z103" s="1" t="b">
        <f t="shared" si="7"/>
        <v>1</v>
      </c>
    </row>
    <row r="104" spans="1:26" ht="15" customHeight="1" x14ac:dyDescent="0.25">
      <c r="A104" s="2"/>
      <c r="B104" s="176" t="s">
        <v>992</v>
      </c>
      <c r="E104" s="52"/>
      <c r="F104" s="52"/>
      <c r="Z104" s="1" t="b">
        <f t="shared" si="7"/>
        <v>1</v>
      </c>
    </row>
    <row r="105" spans="1:26" ht="15" customHeight="1" x14ac:dyDescent="0.25">
      <c r="A105" s="53">
        <v>318657</v>
      </c>
      <c r="B105" s="52"/>
      <c r="C105" s="1" t="str">
        <f>CONCATENATE(H105,"-",$J$4,", ",$J$19)</f>
        <v>1700-strieborná , Elegant II</v>
      </c>
      <c r="D105" s="53">
        <v>318657</v>
      </c>
      <c r="E105" s="52" t="str">
        <f>+VLOOKUP(A105,cennik!$A:$G,2,FALSE)</f>
        <v>SEVROLL 04302 maska Elegant II 1,7m strieborná</v>
      </c>
      <c r="F105" s="52" t="str">
        <f>+VLOOKUP(A105,cennik!A:B,2,FALSE)</f>
        <v>SEVROLL 04302 maska Elegant II 1,7m strieborná</v>
      </c>
      <c r="G105" s="1" t="e">
        <f>+VLOOKUP(A105,#REF!,4,FALSE)</f>
        <v>#REF!</v>
      </c>
      <c r="H105" s="1" t="s">
        <v>478</v>
      </c>
      <c r="I105" s="1" t="str">
        <f>CONCATENATE(H105,"-",$J$4,", ",$J$19)</f>
        <v>1700-strieborná , Elegant II</v>
      </c>
      <c r="Z105" s="1" t="b">
        <f t="shared" si="7"/>
        <v>1</v>
      </c>
    </row>
    <row r="106" spans="1:26" ht="15" customHeight="1" x14ac:dyDescent="0.25">
      <c r="A106" s="53">
        <v>318660</v>
      </c>
      <c r="B106" s="52"/>
      <c r="C106" s="1" t="str">
        <f>CONCATENATE(H106,"-",$J$4,", ",$J$19)</f>
        <v>2350-strieborná , Elegant II</v>
      </c>
      <c r="D106" s="53">
        <v>318660</v>
      </c>
      <c r="E106" s="52" t="str">
        <f>+VLOOKUP(A106,cennik!$A:$G,2,FALSE)</f>
        <v>SEVROLL 04303 maska Elegant II 2,35m strieborná</v>
      </c>
      <c r="F106" s="52" t="str">
        <f>+VLOOKUP(A106,cennik!A:B,2,FALSE)</f>
        <v>SEVROLL 04303 maska Elegant II 2,35m strieborná</v>
      </c>
      <c r="G106" s="1" t="e">
        <f>+VLOOKUP(A106,#REF!,4,FALSE)</f>
        <v>#REF!</v>
      </c>
      <c r="H106" s="1" t="s">
        <v>479</v>
      </c>
      <c r="I106" s="1" t="str">
        <f>CONCATENATE(H106,"-",$J$4,", ",$J$19)</f>
        <v>2350-strieborná , Elegant II</v>
      </c>
      <c r="Z106" s="1" t="b">
        <f t="shared" si="7"/>
        <v>1</v>
      </c>
    </row>
    <row r="107" spans="1:26" ht="15" customHeight="1" x14ac:dyDescent="0.25">
      <c r="A107" s="53">
        <v>345408</v>
      </c>
      <c r="B107" s="52"/>
      <c r="C107" s="1" t="str">
        <f>CONCATENATE(H107,"-",$J$4,", ",$J$19)</f>
        <v>3000-strieborná , Elegant II</v>
      </c>
      <c r="D107" s="53">
        <v>345408</v>
      </c>
      <c r="E107" s="52" t="str">
        <f>+VLOOKUP(A107,cennik!$A:$G,2,FALSE)</f>
        <v>SEVROLL 04304 maska Elegant II 3m strieborná</v>
      </c>
      <c r="F107" s="52" t="str">
        <f>+VLOOKUP(A107,cennik!A:B,2,FALSE)</f>
        <v>SEVROLL 04304 maska Elegant II 3m strieborná</v>
      </c>
      <c r="G107" s="1" t="e">
        <f>+VLOOKUP(A107,#REF!,4,FALSE)</f>
        <v>#REF!</v>
      </c>
      <c r="H107" s="1" t="s">
        <v>480</v>
      </c>
      <c r="I107" s="1" t="str">
        <f>CONCATENATE(H107,"-",$J$4,", ",$J$19)</f>
        <v>3000-strieborná , Elegant II</v>
      </c>
      <c r="Z107" s="1" t="b">
        <f t="shared" si="7"/>
        <v>1</v>
      </c>
    </row>
    <row r="108" spans="1:26" ht="15" customHeight="1" x14ac:dyDescent="0.25">
      <c r="A108" s="53">
        <v>345776</v>
      </c>
      <c r="B108" s="52"/>
      <c r="C108" s="1" t="str">
        <f>CONCATENATE(H108,"-",$J$4,", ",$J$19)</f>
        <v>4050-strieborná , Elegant II</v>
      </c>
      <c r="D108" s="53">
        <v>345776</v>
      </c>
      <c r="E108" s="52" t="str">
        <f>+VLOOKUP(A108,cennik!$A:$G,2,FALSE)</f>
        <v>SEVROLL 04305 maska Elegant II 4,05m strieborná</v>
      </c>
      <c r="F108" s="52" t="str">
        <f>+VLOOKUP(A108,cennik!A:B,2,FALSE)</f>
        <v>SEVROLL 04305 maska Elegant II 4,05m strieborná</v>
      </c>
      <c r="G108" s="1" t="e">
        <f>+VLOOKUP(A108,#REF!,4,FALSE)</f>
        <v>#REF!</v>
      </c>
      <c r="H108" s="1" t="s">
        <v>481</v>
      </c>
      <c r="I108" s="1" t="str">
        <f>CONCATENATE(H108,"-",$J$4,", ",$J$19)</f>
        <v>4050-strieborná , Elegant II</v>
      </c>
      <c r="Z108" s="1" t="b">
        <f t="shared" si="7"/>
        <v>1</v>
      </c>
    </row>
    <row r="109" spans="1:26" ht="15" customHeight="1" x14ac:dyDescent="0.25">
      <c r="A109" s="183">
        <v>346118</v>
      </c>
      <c r="B109" s="52"/>
      <c r="C109" s="1" t="str">
        <f>CONCATENATE(H109,"-",$J$4,", ",$J$19)</f>
        <v>6000-strieborná , Elegant II</v>
      </c>
      <c r="D109" s="183">
        <v>346118</v>
      </c>
      <c r="E109" s="52" t="str">
        <f>+VLOOKUP(A109,cennik!$A:$G,2,FALSE)</f>
        <v>SEVROLL 04307 maska Elegant II 6m strieborná</v>
      </c>
      <c r="F109" s="52" t="str">
        <f>+VLOOKUP(A109,cennik!A:B,2,FALSE)</f>
        <v>SEVROLL 04307 maska Elegant II 6m strieborná</v>
      </c>
      <c r="H109" s="1">
        <v>6000</v>
      </c>
      <c r="I109" s="1" t="str">
        <f>CONCATENATE(H109,"-",$J$4,", ",$J$19)</f>
        <v>6000-strieborná , Elegant II</v>
      </c>
      <c r="Z109" s="1" t="b">
        <f t="shared" si="7"/>
        <v>1</v>
      </c>
    </row>
    <row r="110" spans="1:26" ht="15" customHeight="1" x14ac:dyDescent="0.25">
      <c r="A110" s="53">
        <v>318655</v>
      </c>
      <c r="B110" s="52"/>
      <c r="C110" s="1" t="str">
        <f>CONCATENATE(H110,"-",$J$6,", ",$J$19)</f>
        <v>1700-oliva, Elegant II</v>
      </c>
      <c r="D110" s="53">
        <v>318655</v>
      </c>
      <c r="E110" s="52" t="str">
        <f>+VLOOKUP(A110,cennik!$A:$G,2,FALSE)</f>
        <v>SEVROLL 04296 maska Elegant II 1,7m oliva</v>
      </c>
      <c r="F110" s="52" t="str">
        <f>+VLOOKUP(A110,cennik!A:B,2,FALSE)</f>
        <v>SEVROLL 04296 maska Elegant II 1,7m oliva</v>
      </c>
      <c r="G110" s="1" t="e">
        <f>+VLOOKUP(A110,#REF!,4,FALSE)</f>
        <v>#REF!</v>
      </c>
      <c r="H110" s="1" t="s">
        <v>478</v>
      </c>
      <c r="I110" s="1" t="str">
        <f>CONCATENATE(H110,"-",$J$6,", ",$J$19)</f>
        <v>1700-oliva, Elegant II</v>
      </c>
      <c r="Z110" s="1" t="b">
        <f t="shared" si="7"/>
        <v>1</v>
      </c>
    </row>
    <row r="111" spans="1:26" ht="15" customHeight="1" x14ac:dyDescent="0.25">
      <c r="A111" s="53">
        <v>318658</v>
      </c>
      <c r="B111" s="52"/>
      <c r="C111" s="1" t="str">
        <f>CONCATENATE(H111,"-",$J$6,", ",$J$19)</f>
        <v>2350-oliva, Elegant II</v>
      </c>
      <c r="D111" s="53">
        <v>318658</v>
      </c>
      <c r="E111" s="52" t="str">
        <f>+VLOOKUP(A111,cennik!$A:$G,2,FALSE)</f>
        <v>SEVROLL 04297 maska Elegant II 2,35m oliva</v>
      </c>
      <c r="F111" s="52" t="str">
        <f>+VLOOKUP(A111,cennik!A:B,2,FALSE)</f>
        <v>SEVROLL 04297 maska Elegant II 2,35m oliva</v>
      </c>
      <c r="G111" s="1" t="e">
        <f>+VLOOKUP(A111,#REF!,4,FALSE)</f>
        <v>#REF!</v>
      </c>
      <c r="H111" s="1" t="s">
        <v>479</v>
      </c>
      <c r="I111" s="1" t="str">
        <f>CONCATENATE(H111,"-",$J$6,", ",$J$19)</f>
        <v>2350-oliva, Elegant II</v>
      </c>
      <c r="Z111" s="1" t="b">
        <f t="shared" si="7"/>
        <v>1</v>
      </c>
    </row>
    <row r="112" spans="1:26" ht="15" customHeight="1" x14ac:dyDescent="0.25">
      <c r="A112" s="53">
        <v>345409</v>
      </c>
      <c r="B112" s="52"/>
      <c r="C112" s="1" t="str">
        <f>CONCATENATE(H112,"-",$J$6,", ",$J$19)</f>
        <v>3000-oliva, Elegant II</v>
      </c>
      <c r="D112" s="53">
        <v>345409</v>
      </c>
      <c r="E112" s="52" t="str">
        <f>+VLOOKUP(A112,cennik!$A:$G,2,FALSE)</f>
        <v>SEVROLL 04298 maska Elegant II 3m oliva</v>
      </c>
      <c r="F112" s="52" t="str">
        <f>+VLOOKUP(A112,cennik!A:B,2,FALSE)</f>
        <v>SEVROLL 04298 maska Elegant II 3m oliva</v>
      </c>
      <c r="G112" s="1" t="e">
        <f>+VLOOKUP(A112,#REF!,4,FALSE)</f>
        <v>#REF!</v>
      </c>
      <c r="H112" s="1" t="s">
        <v>480</v>
      </c>
      <c r="I112" s="1" t="str">
        <f>CONCATENATE(H112,"-",$J$6,", ",$J$19)</f>
        <v>3000-oliva, Elegant II</v>
      </c>
      <c r="Z112" s="1" t="b">
        <f t="shared" si="7"/>
        <v>1</v>
      </c>
    </row>
    <row r="113" spans="1:26" ht="15" customHeight="1" x14ac:dyDescent="0.25">
      <c r="A113" s="53">
        <v>345777</v>
      </c>
      <c r="B113" s="52"/>
      <c r="C113" s="1" t="str">
        <f>CONCATENATE(H113,"-",$J$6,", ",$J$19)</f>
        <v>4050-oliva, Elegant II</v>
      </c>
      <c r="D113" s="53">
        <v>345777</v>
      </c>
      <c r="E113" s="52" t="str">
        <f>+VLOOKUP(A113,cennik!$A:$G,2,FALSE)</f>
        <v>SEVROLL 04299 maska Elegant II 4,05m oliva</v>
      </c>
      <c r="F113" s="52" t="str">
        <f>+VLOOKUP(A113,cennik!A:B,2,FALSE)</f>
        <v>SEVROLL 04299 maska Elegant II 4,05m oliva</v>
      </c>
      <c r="G113" s="1" t="e">
        <f>+VLOOKUP(A113,#REF!,4,FALSE)</f>
        <v>#REF!</v>
      </c>
      <c r="H113" s="1" t="s">
        <v>481</v>
      </c>
      <c r="I113" s="1" t="str">
        <f>CONCATENATE(H113,"-",$J$6,", ",$J$19)</f>
        <v>4050-oliva, Elegant II</v>
      </c>
      <c r="Z113" s="1" t="b">
        <f t="shared" si="7"/>
        <v>1</v>
      </c>
    </row>
    <row r="114" spans="1:26" ht="15" customHeight="1" x14ac:dyDescent="0.25">
      <c r="A114" s="53">
        <v>346119</v>
      </c>
      <c r="B114" s="52"/>
      <c r="C114" s="1" t="str">
        <f>CONCATENATE(H114,"-",$J$6,", ",$J$19)</f>
        <v>6000-oliva, Elegant II</v>
      </c>
      <c r="D114" s="53">
        <v>346119</v>
      </c>
      <c r="E114" s="52" t="str">
        <f>+VLOOKUP(A114,cennik!$A:$G,2,FALSE)</f>
        <v>SEVROLL 04301 maska Elegant II 6m oliva</v>
      </c>
      <c r="F114" s="52" t="str">
        <f>+VLOOKUP(A114,cennik!A:B,2,FALSE)</f>
        <v>SEVROLL 04301 maska Elegant II 6m oliva</v>
      </c>
      <c r="H114" s="1">
        <v>6000</v>
      </c>
      <c r="I114" s="1" t="str">
        <f>CONCATENATE(H114,"-",$J$6,", ",$J$19)</f>
        <v>6000-oliva, Elegant II</v>
      </c>
      <c r="Z114" s="1" t="b">
        <f t="shared" si="7"/>
        <v>1</v>
      </c>
    </row>
    <row r="115" spans="1:26" ht="15" customHeight="1" x14ac:dyDescent="0.25">
      <c r="A115" s="53">
        <v>345401</v>
      </c>
      <c r="B115" s="52"/>
      <c r="C115" s="1" t="str">
        <f>CONCATENATE(H115,"-",$J$7,", ",$J$19)</f>
        <v>1700-oliva kartáčovaná, Elegant II</v>
      </c>
      <c r="D115" s="53">
        <v>345401</v>
      </c>
      <c r="E115" s="52" t="str">
        <f>+VLOOKUP(A115,cennik!$A:$G,2,FALSE)</f>
        <v>SEVROLL 04348-Y maska Elegant II 1,7m oliva kartáčovaná</v>
      </c>
      <c r="F115" s="52" t="str">
        <f>+VLOOKUP(A115,cennik!A:B,2,FALSE)</f>
        <v>SEVROLL 04348-Y maska Elegant II 1,7m oliva kartáčovaná</v>
      </c>
      <c r="H115" s="1">
        <v>1700</v>
      </c>
      <c r="I115" s="1" t="str">
        <f>CONCATENATE(H115,"-",$J$7,", ",$J$19)</f>
        <v>1700-oliva kartáčovaná, Elegant II</v>
      </c>
      <c r="Z115" s="1" t="b">
        <f t="shared" si="7"/>
        <v>1</v>
      </c>
    </row>
    <row r="116" spans="1:26" ht="15" customHeight="1" x14ac:dyDescent="0.25">
      <c r="A116" s="53">
        <v>345404</v>
      </c>
      <c r="B116" s="52"/>
      <c r="C116" s="1" t="str">
        <f>CONCATENATE(H116,"-",$J$7,", ",$J$19)</f>
        <v>2350-oliva kartáčovaná, Elegant II</v>
      </c>
      <c r="D116" s="53">
        <v>345404</v>
      </c>
      <c r="E116" s="52" t="str">
        <f>+VLOOKUP(A116,cennik!$A:$G,2,FALSE)</f>
        <v>SEVROLL 04349-Y maska Elegant II 2,35m oliva kartáčovaná</v>
      </c>
      <c r="F116" s="52" t="str">
        <f>+VLOOKUP(A116,cennik!A:B,2,FALSE)</f>
        <v>SEVROLL 04349-Y maska Elegant II 2,35m oliva kartáčovaná</v>
      </c>
      <c r="H116" s="1">
        <v>2350</v>
      </c>
      <c r="I116" s="1" t="str">
        <f>CONCATENATE(H116,"-",$J$7,", ",$J$19)</f>
        <v>2350-oliva kartáčovaná, Elegant II</v>
      </c>
      <c r="Z116" s="1" t="b">
        <f t="shared" si="7"/>
        <v>1</v>
      </c>
    </row>
    <row r="117" spans="1:26" ht="15" customHeight="1" x14ac:dyDescent="0.25">
      <c r="A117" s="53">
        <v>345410</v>
      </c>
      <c r="B117" s="52"/>
      <c r="C117" s="1" t="str">
        <f>CONCATENATE(H117,"-",$J$7,", ",$J$19)</f>
        <v>3000-oliva kartáčovaná, Elegant II</v>
      </c>
      <c r="D117" s="53">
        <v>345410</v>
      </c>
      <c r="E117" s="52" t="str">
        <f>+VLOOKUP(A117,cennik!$A:$G,2,FALSE)</f>
        <v>SEVROLL 04350-Y maska Elegant II 3m oliva kartáčovaná</v>
      </c>
      <c r="F117" s="52" t="str">
        <f>+VLOOKUP(A117,cennik!A:B,2,FALSE)</f>
        <v>SEVROLL 04350-Y maska Elegant II 3m oliva kartáčovaná</v>
      </c>
      <c r="H117" s="1">
        <v>3000</v>
      </c>
      <c r="I117" s="1" t="str">
        <f>CONCATENATE(H117,"-",$J$7,", ",$J$19)</f>
        <v>3000-oliva kartáčovaná, Elegant II</v>
      </c>
      <c r="Z117" s="1" t="b">
        <f t="shared" si="7"/>
        <v>1</v>
      </c>
    </row>
    <row r="118" spans="1:26" ht="15" customHeight="1" x14ac:dyDescent="0.25">
      <c r="A118" s="53">
        <v>346114</v>
      </c>
      <c r="B118" s="52"/>
      <c r="C118" s="1" t="str">
        <f>CONCATENATE(H118,"-",$J$7,", ",$J$19)</f>
        <v>4050-oliva kartáčovaná, Elegant II</v>
      </c>
      <c r="D118" s="53">
        <v>346114</v>
      </c>
      <c r="E118" s="52" t="str">
        <f>+VLOOKUP(A118,cennik!$A:$G,2,FALSE)</f>
        <v>SEVROLL 04351-Y maska Elegant II 4,05m oliva kartáčovaná</v>
      </c>
      <c r="F118" s="52" t="str">
        <f>+VLOOKUP(A118,cennik!A:B,2,FALSE)</f>
        <v>SEVROLL 04351-Y maska Elegant II 4,05m oliva kartáčovaná</v>
      </c>
      <c r="H118" s="1">
        <v>4050</v>
      </c>
      <c r="I118" s="1" t="str">
        <f>CONCATENATE(H118,"-",$J$7,", ",$J$19)</f>
        <v>4050-oliva kartáčovaná, Elegant II</v>
      </c>
      <c r="Z118" s="1" t="b">
        <f t="shared" si="7"/>
        <v>1</v>
      </c>
    </row>
    <row r="119" spans="1:26" ht="15" customHeight="1" x14ac:dyDescent="0.25">
      <c r="A119" s="53">
        <v>346120</v>
      </c>
      <c r="B119" s="52"/>
      <c r="C119" s="1" t="str">
        <f>CONCATENATE(H119,"-",$J$7,", ",$J$19)</f>
        <v>6000-oliva kartáčovaná, Elegant II</v>
      </c>
      <c r="D119" s="53">
        <v>346120</v>
      </c>
      <c r="E119" s="52" t="str">
        <f>+VLOOKUP(A119,cennik!$A:$G,2,FALSE)</f>
        <v>SEVROLL 04352-Y maska Elegant II 6m oliva kartáčovaná</v>
      </c>
      <c r="F119" s="52" t="str">
        <f>+VLOOKUP(A119,cennik!A:B,2,FALSE)</f>
        <v>SEVROLL 04352-Y maska Elegant II 6m oliva kartáčovaná</v>
      </c>
      <c r="H119" s="1">
        <v>6000</v>
      </c>
      <c r="I119" s="1" t="str">
        <f>CONCATENATE(H119,"-",$J$7,", ",$J$19)</f>
        <v>6000-oliva kartáčovaná, Elegant II</v>
      </c>
      <c r="Z119" s="1" t="b">
        <f t="shared" si="7"/>
        <v>1</v>
      </c>
    </row>
    <row r="120" spans="1:26" ht="15" customHeight="1" x14ac:dyDescent="0.25">
      <c r="A120" s="53">
        <v>345402</v>
      </c>
      <c r="B120" s="52"/>
      <c r="C120" s="1" t="str">
        <f>CONCATENATE(H120,"-",$J$8,", ",$J$19)</f>
        <v>1700-kart. tm. oliva, Elegant II</v>
      </c>
      <c r="D120" s="53">
        <v>345402</v>
      </c>
      <c r="E120" s="52" t="e">
        <f>+VLOOKUP(A120,cennik!$A:$G,2,FALSE)</f>
        <v>#REF!</v>
      </c>
      <c r="F120" s="52" t="e">
        <f>+VLOOKUP(A120,cennik!A:B,2,FALSE)</f>
        <v>#REF!</v>
      </c>
      <c r="H120" s="1">
        <v>1700</v>
      </c>
      <c r="I120" s="1" t="str">
        <f>CONCATENATE(H120,"-",$J$8,", ",$J$19)</f>
        <v>1700-kart. tm. oliva, Elegant II</v>
      </c>
      <c r="Z120" s="1" t="b">
        <f t="shared" si="7"/>
        <v>1</v>
      </c>
    </row>
    <row r="121" spans="1:26" ht="15" customHeight="1" x14ac:dyDescent="0.25">
      <c r="A121" s="53">
        <v>345405</v>
      </c>
      <c r="B121" s="52"/>
      <c r="C121" s="1" t="str">
        <f>CONCATENATE(H121,"-",$J$8,", ",$J$19)</f>
        <v>2350-kart. tm. oliva, Elegant II</v>
      </c>
      <c r="D121" s="53">
        <v>345405</v>
      </c>
      <c r="E121" s="52" t="str">
        <f>+VLOOKUP(A121,cennik!$A:$G,2,FALSE)</f>
        <v>SEVROLL 04359 maska Elegant II 2,35 oliva tmavá kartáčovaná</v>
      </c>
      <c r="F121" s="52" t="str">
        <f>+VLOOKUP(A121,cennik!A:B,2,FALSE)</f>
        <v>SEVROLL 04359 maska Elegant II 2,35 oliva tmavá kartáčovaná</v>
      </c>
      <c r="H121" s="1">
        <v>2350</v>
      </c>
      <c r="I121" s="1" t="str">
        <f>CONCATENATE(H121,"-",$J$8,", ",$J$19)</f>
        <v>2350-kart. tm. oliva, Elegant II</v>
      </c>
      <c r="Z121" s="1" t="b">
        <f t="shared" si="7"/>
        <v>1</v>
      </c>
    </row>
    <row r="122" spans="1:26" ht="15" customHeight="1" x14ac:dyDescent="0.25">
      <c r="A122" s="53">
        <v>345411</v>
      </c>
      <c r="B122" s="52"/>
      <c r="C122" s="1" t="str">
        <f>CONCATENATE(H122,"-",$J$8,", ",$J$19)</f>
        <v>3000-kart. tm. oliva, Elegant II</v>
      </c>
      <c r="D122" s="53">
        <v>345411</v>
      </c>
      <c r="E122" s="52" t="str">
        <f>+VLOOKUP(A122,cennik!$A:$G,2,FALSE)</f>
        <v>SEVROLL 04360 maska Elegant II 3m oliva tmavá kartáčovaná</v>
      </c>
      <c r="F122" s="52" t="str">
        <f>+VLOOKUP(A122,cennik!A:B,2,FALSE)</f>
        <v>SEVROLL 04360 maska Elegant II 3m oliva tmavá kartáčovaná</v>
      </c>
      <c r="H122" s="1">
        <v>3000</v>
      </c>
      <c r="I122" s="1" t="str">
        <f>CONCATENATE(H122,"-",$J$8,", ",$J$19)</f>
        <v>3000-kart. tm. oliva, Elegant II</v>
      </c>
      <c r="Z122" s="1" t="b">
        <f t="shared" si="7"/>
        <v>1</v>
      </c>
    </row>
    <row r="123" spans="1:26" ht="15" customHeight="1" x14ac:dyDescent="0.25">
      <c r="A123" s="53">
        <v>346115</v>
      </c>
      <c r="B123" s="52"/>
      <c r="C123" s="1" t="str">
        <f>CONCATENATE(H123,"-",$J$8,", ",$J$19)</f>
        <v>4050-kart. tm. oliva, Elegant II</v>
      </c>
      <c r="D123" s="53">
        <v>346115</v>
      </c>
      <c r="E123" s="52" t="str">
        <f>+VLOOKUP(A123,cennik!$A:$G,2,FALSE)</f>
        <v>SEVROLL 04361 maska Elegant II 4,05m oliva tmavá kartáčovaná</v>
      </c>
      <c r="F123" s="52" t="str">
        <f>+VLOOKUP(A123,cennik!A:B,2,FALSE)</f>
        <v>SEVROLL 04361 maska Elegant II 4,05m oliva tmavá kartáčovaná</v>
      </c>
      <c r="H123" s="1">
        <v>4050</v>
      </c>
      <c r="I123" s="1" t="str">
        <f>CONCATENATE(H123,"-",$J$8,", ",$J$19)</f>
        <v>4050-kart. tm. oliva, Elegant II</v>
      </c>
      <c r="Z123" s="1" t="b">
        <f t="shared" si="7"/>
        <v>1</v>
      </c>
    </row>
    <row r="124" spans="1:26" ht="15" customHeight="1" x14ac:dyDescent="0.25">
      <c r="A124" s="53">
        <v>346121</v>
      </c>
      <c r="B124" s="52"/>
      <c r="C124" s="1" t="str">
        <f>CONCATENATE(H124,"-",$J$8,", ",$J$19)</f>
        <v>6000-kart. tm. oliva, Elegant II</v>
      </c>
      <c r="D124" s="53">
        <v>346121</v>
      </c>
      <c r="E124" s="52" t="str">
        <f>+VLOOKUP(A124,cennik!$A:$G,2,FALSE)</f>
        <v>SEVROLL 04362 maska Elegant II 6m oliva tmavá kartáčovaná</v>
      </c>
      <c r="F124" s="52" t="str">
        <f>+VLOOKUP(A124,cennik!A:B,2,FALSE)</f>
        <v>SEVROLL 04362 maska Elegant II 6m oliva tmavá kartáčovaná</v>
      </c>
      <c r="H124" s="1">
        <v>6000</v>
      </c>
      <c r="I124" s="1" t="str">
        <f>CONCATENATE(H124,"-",$J$8,", ",$J$19)</f>
        <v>6000-kart. tm. oliva, Elegant II</v>
      </c>
      <c r="Z124" s="1" t="b">
        <f t="shared" si="7"/>
        <v>1</v>
      </c>
    </row>
    <row r="125" spans="1:26" ht="15" customHeight="1" x14ac:dyDescent="0.25">
      <c r="A125" s="53">
        <v>345403</v>
      </c>
      <c r="B125" s="52"/>
      <c r="C125" s="1" t="str">
        <f>CONCATENATE(H125,"-",$J$9,", ",$J$19)</f>
        <v>1700-kart. čierna, Elegant II</v>
      </c>
      <c r="D125" s="53">
        <v>345403</v>
      </c>
      <c r="E125" s="52" t="str">
        <f>+VLOOKUP(A125,cennik!$A:$G,2,FALSE)</f>
        <v>SEVROLL uholník K2 1,7m čierna kartáčovaná</v>
      </c>
      <c r="F125" s="52" t="str">
        <f>+VLOOKUP(A125,cennik!A:B,2,FALSE)</f>
        <v>SEVROLL uholník K2 1,7m čierna kartáčovaná</v>
      </c>
      <c r="H125" s="1">
        <v>1700</v>
      </c>
      <c r="I125" s="1" t="str">
        <f>CONCATENATE(H125,"-",$J$9,", ",$J$19)</f>
        <v>1700-kart. čierna, Elegant II</v>
      </c>
      <c r="Z125" s="1" t="b">
        <f t="shared" si="7"/>
        <v>1</v>
      </c>
    </row>
    <row r="126" spans="1:26" ht="15" customHeight="1" x14ac:dyDescent="0.25">
      <c r="A126" s="53">
        <v>345407</v>
      </c>
      <c r="B126" s="52"/>
      <c r="C126" s="1" t="str">
        <f>CONCATENATE(H126,"-",$J$9,", ",$J$19)</f>
        <v>2350-kart. čierna, Elegant II</v>
      </c>
      <c r="D126" s="53">
        <v>345407</v>
      </c>
      <c r="E126" s="52" t="str">
        <f>+VLOOKUP(A126,cennik!$A:$G,2,FALSE)</f>
        <v>SEVROLL 04354 maska Elegant II 2,35m čierna  kartáčovaná</v>
      </c>
      <c r="F126" s="52" t="str">
        <f>+VLOOKUP(A126,cennik!A:B,2,FALSE)</f>
        <v>SEVROLL 04354 maska Elegant II 2,35m čierna  kartáčovaná</v>
      </c>
      <c r="H126" s="1">
        <v>2350</v>
      </c>
      <c r="I126" s="1" t="str">
        <f>CONCATENATE(H126,"-",$J$9,", ",$J$19)</f>
        <v>2350-kart. čierna, Elegant II</v>
      </c>
      <c r="Z126" s="1" t="b">
        <f t="shared" si="7"/>
        <v>1</v>
      </c>
    </row>
    <row r="127" spans="1:26" ht="15" customHeight="1" x14ac:dyDescent="0.25">
      <c r="A127" s="53">
        <v>345412</v>
      </c>
      <c r="B127" s="52"/>
      <c r="C127" s="1" t="str">
        <f>CONCATENATE(H127,"-",$J$9,", ",$J$19)</f>
        <v>3000-kart. čierna, Elegant II</v>
      </c>
      <c r="D127" s="53">
        <v>345412</v>
      </c>
      <c r="E127" s="52" t="str">
        <f>+VLOOKUP(A127,cennik!$A:$G,2,FALSE)</f>
        <v>SEVROLL 04355 maska Elegant II 3m čierna  kartáčovaná</v>
      </c>
      <c r="F127" s="52" t="str">
        <f>+VLOOKUP(A127,cennik!A:B,2,FALSE)</f>
        <v>SEVROLL 04355 maska Elegant II 3m čierna  kartáčovaná</v>
      </c>
      <c r="H127" s="1">
        <v>3000</v>
      </c>
      <c r="I127" s="1" t="str">
        <f>CONCATENATE(H127,"-",$J$9,", ",$J$19)</f>
        <v>3000-kart. čierna, Elegant II</v>
      </c>
      <c r="Z127" s="1" t="b">
        <f t="shared" si="7"/>
        <v>1</v>
      </c>
    </row>
    <row r="128" spans="1:26" ht="15" customHeight="1" x14ac:dyDescent="0.25">
      <c r="A128" s="53">
        <v>346116</v>
      </c>
      <c r="B128" s="52"/>
      <c r="C128" s="1" t="str">
        <f>CONCATENATE(H128,"-",$J$9,", ",$J$19)</f>
        <v>4050-kart. čierna, Elegant II</v>
      </c>
      <c r="D128" s="53">
        <v>346116</v>
      </c>
      <c r="E128" s="52" t="str">
        <f>+VLOOKUP(A128,cennik!$A:$G,2,FALSE)</f>
        <v>SEVROLL 04356 maska Elegant II 4,05m čierna  kartáčovaná</v>
      </c>
      <c r="F128" s="52" t="str">
        <f>+VLOOKUP(A128,cennik!A:B,2,FALSE)</f>
        <v>SEVROLL 04356 maska Elegant II 4,05m čierna  kartáčovaná</v>
      </c>
      <c r="H128" s="1">
        <v>4050</v>
      </c>
      <c r="I128" s="1" t="str">
        <f>CONCATENATE(H128,"-",$J$9,", ",$J$19)</f>
        <v>4050-kart. čierna, Elegant II</v>
      </c>
      <c r="Z128" s="1" t="b">
        <f t="shared" si="7"/>
        <v>1</v>
      </c>
    </row>
    <row r="129" spans="1:26" ht="15" customHeight="1" x14ac:dyDescent="0.25">
      <c r="A129" s="53">
        <v>346122</v>
      </c>
      <c r="B129" s="52"/>
      <c r="C129" s="1" t="str">
        <f>CONCATENATE(H129,"-",$J$9,", ",$J$19)</f>
        <v>6000-kart. čierna, Elegant II</v>
      </c>
      <c r="D129" s="53">
        <v>346122</v>
      </c>
      <c r="E129" s="52" t="str">
        <f>+VLOOKUP(A129,cennik!$A:$G,2,FALSE)</f>
        <v>SEVROLL 04357 maska Elegant II 6m čierna kartáčovaná</v>
      </c>
      <c r="F129" s="52" t="str">
        <f>+VLOOKUP(A129,cennik!A:B,2,FALSE)</f>
        <v>SEVROLL 04357 maska Elegant II 6m čierna kartáčovaná</v>
      </c>
      <c r="H129" s="1">
        <v>6000</v>
      </c>
      <c r="I129" s="1" t="str">
        <f>CONCATENATE(H129,"-",$J$9,", ",$J$19)</f>
        <v>6000-kart. čierna, Elegant II</v>
      </c>
      <c r="Z129" s="1" t="b">
        <f t="shared" si="7"/>
        <v>1</v>
      </c>
    </row>
    <row r="130" spans="1:26" ht="15" customHeight="1" x14ac:dyDescent="0.25">
      <c r="A130" s="53">
        <v>318656</v>
      </c>
      <c r="B130" s="52"/>
      <c r="C130" s="1" t="str">
        <f>CONCATENATE(H130,"-",$J$15,", ",$J$19)</f>
        <v>1700-biela lesk, Elegant II</v>
      </c>
      <c r="D130" s="53">
        <v>318656</v>
      </c>
      <c r="E130" s="52" t="str">
        <f>+VLOOKUP(A130,cennik!$A:$G,2,FALSE)</f>
        <v>SEVROLL 04313 maska Elegant II 1,7m biela lesk</v>
      </c>
      <c r="F130" s="52" t="str">
        <f>+VLOOKUP(A130,cennik!A:B,2,FALSE)</f>
        <v>SEVROLL 04313 maska Elegant II 1,7m biela lesk</v>
      </c>
      <c r="H130" s="1">
        <v>1700</v>
      </c>
      <c r="I130" s="1" t="str">
        <f>CONCATENATE(H130,"-",$J$15,", ",$J$19)</f>
        <v>1700-biela lesk, Elegant II</v>
      </c>
      <c r="Z130" s="1" t="b">
        <f t="shared" si="7"/>
        <v>1</v>
      </c>
    </row>
    <row r="131" spans="1:26" ht="15" customHeight="1" x14ac:dyDescent="0.25">
      <c r="A131" s="53">
        <v>318659</v>
      </c>
      <c r="B131" s="52"/>
      <c r="C131" s="1" t="str">
        <f>CONCATENATE(H131,"-",$J$15,", ",$J$19)</f>
        <v>2350-biela lesk, Elegant II</v>
      </c>
      <c r="D131" s="53">
        <v>318659</v>
      </c>
      <c r="E131" s="52" t="str">
        <f>+VLOOKUP(A131,cennik!$A:$G,2,FALSE)</f>
        <v>SEVROLL 04314 maska Elegant II 2,35m biela lesk</v>
      </c>
      <c r="F131" s="52" t="str">
        <f>+VLOOKUP(A131,cennik!A:B,2,FALSE)</f>
        <v>SEVROLL 04314 maska Elegant II 2,35m biela lesk</v>
      </c>
      <c r="H131" s="1">
        <v>2350</v>
      </c>
      <c r="I131" s="1" t="str">
        <f>CONCATENATE(H131,"-",$J$15,", ",$J$19)</f>
        <v>2350-biela lesk, Elegant II</v>
      </c>
      <c r="Z131" s="1" t="b">
        <f t="shared" si="7"/>
        <v>1</v>
      </c>
    </row>
    <row r="132" spans="1:26" ht="15" customHeight="1" x14ac:dyDescent="0.25">
      <c r="A132" s="53">
        <v>345413</v>
      </c>
      <c r="B132" s="52"/>
      <c r="C132" s="1" t="str">
        <f>CONCATENATE(H132,"-",$J$15,", ",$J$19)</f>
        <v>3000-biela lesk, Elegant II</v>
      </c>
      <c r="D132" s="53">
        <v>345413</v>
      </c>
      <c r="E132" s="52" t="str">
        <f>+VLOOKUP(A132,cennik!$A:$G,2,FALSE)</f>
        <v>SEVROLL 04315 maska Elegant II 3m biela lesk</v>
      </c>
      <c r="F132" s="52" t="str">
        <f>+VLOOKUP(A132,cennik!A:B,2,FALSE)</f>
        <v>SEVROLL 04315 maska Elegant II 3m biela lesk</v>
      </c>
      <c r="H132" s="1">
        <v>3000</v>
      </c>
      <c r="I132" s="1" t="str">
        <f>CONCATENATE(H132,"-",$J$15,", ",$J$19)</f>
        <v>3000-biela lesk, Elegant II</v>
      </c>
      <c r="Z132" s="1" t="b">
        <f t="shared" si="7"/>
        <v>1</v>
      </c>
    </row>
    <row r="133" spans="1:26" ht="15" customHeight="1" x14ac:dyDescent="0.25">
      <c r="A133" s="53">
        <v>346117</v>
      </c>
      <c r="B133" s="52"/>
      <c r="C133" s="1" t="str">
        <f>CONCATENATE(H133,"-",$J$15,", ",$J$19)</f>
        <v>4050-biela lesk, Elegant II</v>
      </c>
      <c r="D133" s="53">
        <v>346117</v>
      </c>
      <c r="E133" s="52" t="str">
        <f>+VLOOKUP(A133,cennik!$A:$G,2,FALSE)</f>
        <v>SEVROLL 04316 maska Elegant II 4,05m biela lesk</v>
      </c>
      <c r="F133" s="52" t="str">
        <f>+VLOOKUP(A133,cennik!A:B,2,FALSE)</f>
        <v>SEVROLL 04316 maska Elegant II 4,05m biela lesk</v>
      </c>
      <c r="H133" s="1">
        <v>4050</v>
      </c>
      <c r="I133" s="1" t="str">
        <f>CONCATENATE(H133,"-",$J$15,", ",$J$19)</f>
        <v>4050-biela lesk, Elegant II</v>
      </c>
      <c r="Z133" s="1" t="b">
        <f t="shared" si="7"/>
        <v>1</v>
      </c>
    </row>
    <row r="134" spans="1:26" ht="15" customHeight="1" x14ac:dyDescent="0.25">
      <c r="A134" s="53">
        <v>346123</v>
      </c>
      <c r="B134" s="52"/>
      <c r="C134" s="1" t="str">
        <f>CONCATENATE(H134,"-",$J$15,", ",$J$19)</f>
        <v>6000-biela lesk, Elegant II</v>
      </c>
      <c r="D134" s="53">
        <v>346123</v>
      </c>
      <c r="E134" s="52" t="str">
        <f>+VLOOKUP(A134,cennik!$A:$G,2,FALSE)</f>
        <v>SEVROLL 04317 maska Elegant II 6m biela lesk</v>
      </c>
      <c r="F134" s="52" t="str">
        <f>+VLOOKUP(A134,cennik!A:B,2,FALSE)</f>
        <v>SEVROLL 04317 maska Elegant II 6m biela lesk</v>
      </c>
      <c r="H134" s="1">
        <v>6000</v>
      </c>
      <c r="I134" s="1" t="str">
        <f>CONCATENATE(H134,"-",$J$15,", ",$J$19)</f>
        <v>6000-biela lesk, Elegant II</v>
      </c>
      <c r="Z134" s="1" t="b">
        <f t="shared" si="7"/>
        <v>1</v>
      </c>
    </row>
    <row r="135" spans="1:26" ht="15" customHeight="1" x14ac:dyDescent="0.25">
      <c r="A135" s="53">
        <v>318638</v>
      </c>
      <c r="B135" s="52"/>
      <c r="C135" s="1" t="str">
        <f>CONCATENATE(H135,"-",$J$5,", ",$J$19)</f>
        <v>1700-zlatá, Elegant II</v>
      </c>
      <c r="D135" s="53">
        <v>318638</v>
      </c>
      <c r="E135" s="52" t="str">
        <f>+VLOOKUP(A135,cennik!$A:$G,2,FALSE)</f>
        <v>SEVROLL maska Elegant II 1,7m zlatá</v>
      </c>
      <c r="F135" s="52" t="str">
        <f>+VLOOKUP(A135,cennik!A:B,2,FALSE)</f>
        <v>SEVROLL maska Elegant II 1,7m zlatá</v>
      </c>
      <c r="H135" s="1" t="s">
        <v>478</v>
      </c>
      <c r="I135" s="1" t="str">
        <f>CONCATENATE(H135,"-",$J$5,", ",$J$19)</f>
        <v>1700-zlatá, Elegant II</v>
      </c>
      <c r="Z135" s="1" t="b">
        <f t="shared" ref="Z135:Z198" si="16">A135=D135</f>
        <v>1</v>
      </c>
    </row>
    <row r="136" spans="1:26" ht="15" customHeight="1" x14ac:dyDescent="0.25">
      <c r="A136" s="53">
        <v>318643</v>
      </c>
      <c r="B136" s="52"/>
      <c r="C136" s="1" t="str">
        <f>CONCATENATE(H136,"-",$J$5,", ",$J$19)</f>
        <v>2350-zlatá, Elegant II</v>
      </c>
      <c r="D136" s="53">
        <v>318643</v>
      </c>
      <c r="E136" s="52" t="str">
        <f>+VLOOKUP(A136,cennik!$A:$G,2,FALSE)</f>
        <v>SEVROLL maska Elegant II 2,35m zlatá</v>
      </c>
      <c r="F136" s="52" t="str">
        <f>+VLOOKUP(A136,cennik!A:B,2,FALSE)</f>
        <v>SEVROLL maska Elegant II 2,35m zlatá</v>
      </c>
      <c r="H136" s="1" t="s">
        <v>479</v>
      </c>
      <c r="I136" s="1" t="str">
        <f>CONCATENATE(H136,"-",$J$5,", ",$J$19)</f>
        <v>2350-zlatá, Elegant II</v>
      </c>
      <c r="Z136" s="1" t="b">
        <f t="shared" si="16"/>
        <v>1</v>
      </c>
    </row>
    <row r="137" spans="1:26" ht="15" customHeight="1" x14ac:dyDescent="0.25">
      <c r="A137" s="53">
        <v>318644</v>
      </c>
      <c r="B137" s="52"/>
      <c r="C137" s="1" t="str">
        <f>CONCATENATE(H137,"-",$J$5,", ",$J$19)</f>
        <v>3000-zlatá, Elegant II</v>
      </c>
      <c r="D137" s="53">
        <v>318644</v>
      </c>
      <c r="E137" s="52" t="str">
        <f>+VLOOKUP(A137,cennik!$A:$G,2,FALSE)</f>
        <v>SEVROLL maska Elegant II 3m zlatá</v>
      </c>
      <c r="F137" s="52" t="str">
        <f>+VLOOKUP(A137,cennik!A:B,2,FALSE)</f>
        <v>SEVROLL maska Elegant II 3m zlatá</v>
      </c>
      <c r="H137" s="1" t="s">
        <v>480</v>
      </c>
      <c r="I137" s="1" t="str">
        <f>CONCATENATE(H137,"-",$J$5,", ",$J$19)</f>
        <v>3000-zlatá, Elegant II</v>
      </c>
      <c r="Z137" s="1" t="b">
        <f t="shared" si="16"/>
        <v>1</v>
      </c>
    </row>
    <row r="138" spans="1:26" ht="15" customHeight="1" x14ac:dyDescent="0.25">
      <c r="A138" s="53">
        <v>318645</v>
      </c>
      <c r="B138" s="52"/>
      <c r="C138" s="1" t="str">
        <f>CONCATENATE(H138,"-",$J$5,", ",$J$19)</f>
        <v>4050-zlatá, Elegant II</v>
      </c>
      <c r="D138" s="53">
        <v>318645</v>
      </c>
      <c r="E138" s="52" t="str">
        <f>+VLOOKUP(A138,cennik!$A:$G,2,FALSE)</f>
        <v>SEVROLL maska Elegant II 4,05m zlatá</v>
      </c>
      <c r="F138" s="52" t="str">
        <f>+VLOOKUP(A138,cennik!A:B,2,FALSE)</f>
        <v>SEVROLL maska Elegant II 4,05m zlatá</v>
      </c>
      <c r="H138" s="1" t="s">
        <v>481</v>
      </c>
      <c r="I138" s="1" t="str">
        <f>CONCATENATE(H138,"-",$J$5,", ",$J$19)</f>
        <v>4050-zlatá, Elegant II</v>
      </c>
      <c r="Z138" s="1" t="b">
        <f t="shared" si="16"/>
        <v>1</v>
      </c>
    </row>
    <row r="139" spans="1:26" ht="15" customHeight="1" x14ac:dyDescent="0.25">
      <c r="A139" s="53">
        <v>318646</v>
      </c>
      <c r="B139" s="52"/>
      <c r="C139" s="1" t="str">
        <f>CONCATENATE(H139,"-",$J$5,", ",$J$19)</f>
        <v>6000-zlatá, Elegant II</v>
      </c>
      <c r="D139" s="53">
        <v>318646</v>
      </c>
      <c r="E139" s="52" t="str">
        <f>+VLOOKUP(A139,cennik!$A:$G,2,FALSE)</f>
        <v>SEVROLL 04312 maska ??Elegant II 6m zlatá</v>
      </c>
      <c r="F139" s="52" t="str">
        <f>+VLOOKUP(A139,cennik!A:B,2,FALSE)</f>
        <v>SEVROLL 04312 maska ??Elegant II 6m zlatá</v>
      </c>
      <c r="H139" s="1">
        <v>6000</v>
      </c>
      <c r="I139" s="1" t="str">
        <f>CONCATENATE(H139,"-",$J$5,", ",$J$19)</f>
        <v>6000-zlatá, Elegant II</v>
      </c>
      <c r="Z139" s="1" t="b">
        <f t="shared" si="16"/>
        <v>1</v>
      </c>
    </row>
    <row r="140" spans="1:26" ht="15" customHeight="1" x14ac:dyDescent="0.25">
      <c r="A140" s="53" t="s">
        <v>117</v>
      </c>
      <c r="B140" s="52"/>
      <c r="C140" s="1" t="str">
        <f>CONCATENATE(H140,"-",$J$4,", ",$J$21)</f>
        <v>1700-strieborná , Gemini</v>
      </c>
      <c r="D140" s="53" t="s">
        <v>117</v>
      </c>
      <c r="E140" s="52" t="e">
        <f>+VLOOKUP(A140,cennik!$A:$G,2,FALSE)</f>
        <v>#N/A</v>
      </c>
      <c r="F140" s="52" t="e">
        <f>+VLOOKUP(A140,cennik!A:B,2,FALSE)</f>
        <v>#N/A</v>
      </c>
      <c r="G140" s="1" t="e">
        <f>+VLOOKUP(A140,#REF!,4,FALSE)</f>
        <v>#REF!</v>
      </c>
      <c r="H140" s="1" t="s">
        <v>478</v>
      </c>
      <c r="I140" s="1" t="str">
        <f>CONCATENATE(H140,"-",$J$4,", ",$J$21)</f>
        <v>1700-strieborná , Gemini</v>
      </c>
      <c r="Z140" s="1" t="b">
        <f t="shared" si="16"/>
        <v>1</v>
      </c>
    </row>
    <row r="141" spans="1:26" ht="15" customHeight="1" x14ac:dyDescent="0.25">
      <c r="A141" s="53" t="s">
        <v>117</v>
      </c>
      <c r="B141" s="52"/>
      <c r="C141" s="1" t="str">
        <f>CONCATENATE(H141,"-",$J$4,", ",$J$21)</f>
        <v>2350-strieborná , Gemini</v>
      </c>
      <c r="D141" s="53" t="s">
        <v>117</v>
      </c>
      <c r="E141" s="52" t="e">
        <f>+VLOOKUP(A141,cennik!$A:$G,2,FALSE)</f>
        <v>#N/A</v>
      </c>
      <c r="F141" s="52" t="e">
        <f>+VLOOKUP(A141,cennik!A:B,2,FALSE)</f>
        <v>#N/A</v>
      </c>
      <c r="H141" s="1" t="s">
        <v>479</v>
      </c>
      <c r="I141" s="1" t="str">
        <f>CONCATENATE(H141,"-",$J$4,", ",$J$21)</f>
        <v>2350-strieborná , Gemini</v>
      </c>
      <c r="Z141" s="1" t="b">
        <f t="shared" si="16"/>
        <v>1</v>
      </c>
    </row>
    <row r="142" spans="1:26" ht="15" customHeight="1" x14ac:dyDescent="0.25">
      <c r="A142" s="53" t="s">
        <v>117</v>
      </c>
      <c r="B142" s="52"/>
      <c r="C142" s="1" t="str">
        <f>CONCATENATE(H142,"-",$J$4,", ",$J$21)</f>
        <v>3000-strieborná , Gemini</v>
      </c>
      <c r="D142" s="53" t="s">
        <v>117</v>
      </c>
      <c r="E142" s="52" t="e">
        <f>+VLOOKUP(A142,cennik!$A:$G,2,FALSE)</f>
        <v>#N/A</v>
      </c>
      <c r="F142" s="52" t="e">
        <f>+VLOOKUP(A142,cennik!A:B,2,FALSE)</f>
        <v>#N/A</v>
      </c>
      <c r="H142" s="1" t="s">
        <v>480</v>
      </c>
      <c r="I142" s="1" t="str">
        <f>CONCATENATE(H142,"-",$J$4,", ",$J$21)</f>
        <v>3000-strieborná , Gemini</v>
      </c>
      <c r="Z142" s="1" t="b">
        <f t="shared" si="16"/>
        <v>1</v>
      </c>
    </row>
    <row r="143" spans="1:26" ht="15" customHeight="1" x14ac:dyDescent="0.25">
      <c r="A143" s="53" t="s">
        <v>117</v>
      </c>
      <c r="B143" s="52"/>
      <c r="C143" s="1" t="str">
        <f>CONCATENATE(H143,"-",$J$4,", ",$J$21)</f>
        <v>4050-strieborná , Gemini</v>
      </c>
      <c r="D143" s="53" t="s">
        <v>117</v>
      </c>
      <c r="E143" s="52" t="e">
        <f>+VLOOKUP(A143,cennik!$A:$G,2,FALSE)</f>
        <v>#N/A</v>
      </c>
      <c r="F143" s="52" t="e">
        <f>+VLOOKUP(A143,cennik!A:B,2,FALSE)</f>
        <v>#N/A</v>
      </c>
      <c r="H143" s="1" t="s">
        <v>481</v>
      </c>
      <c r="I143" s="1" t="str">
        <f>CONCATENATE(H143,"-",$J$4,", ",$J$21)</f>
        <v>4050-strieborná , Gemini</v>
      </c>
      <c r="Z143" s="1" t="b">
        <f t="shared" si="16"/>
        <v>1</v>
      </c>
    </row>
    <row r="144" spans="1:26" ht="15" customHeight="1" x14ac:dyDescent="0.25">
      <c r="A144" s="53" t="s">
        <v>117</v>
      </c>
      <c r="B144" s="52"/>
      <c r="C144" s="1" t="str">
        <f>CONCATENATE(H144,"-",$J$4,", ",$J$21)</f>
        <v>6000-strieborná , Gemini</v>
      </c>
      <c r="D144" s="53" t="s">
        <v>117</v>
      </c>
      <c r="E144" s="52" t="e">
        <f>+VLOOKUP(A144,cennik!$A:$G,2,FALSE)</f>
        <v>#N/A</v>
      </c>
      <c r="F144" s="52" t="e">
        <f>+VLOOKUP(A144,cennik!A:B,2,FALSE)</f>
        <v>#N/A</v>
      </c>
      <c r="H144" s="1">
        <v>6000</v>
      </c>
      <c r="I144" s="1" t="str">
        <f>CONCATENATE(H144,"-",$J$4,", ",$J$21)</f>
        <v>6000-strieborná , Gemini</v>
      </c>
      <c r="Z144" s="1" t="b">
        <f t="shared" si="16"/>
        <v>1</v>
      </c>
    </row>
    <row r="145" spans="1:26" ht="15" customHeight="1" x14ac:dyDescent="0.25">
      <c r="A145" s="53" t="s">
        <v>117</v>
      </c>
      <c r="B145" s="52"/>
      <c r="C145" s="1" t="str">
        <f>CONCATENATE(H145,"-",$J$5,", ",$J$21)</f>
        <v>1700-zlatá, Gemini</v>
      </c>
      <c r="D145" s="53" t="s">
        <v>117</v>
      </c>
      <c r="E145" s="52" t="e">
        <f>+VLOOKUP(A145,cennik!$A:$G,2,FALSE)</f>
        <v>#N/A</v>
      </c>
      <c r="F145" s="52" t="e">
        <f>+VLOOKUP(A145,cennik!A:B,2,FALSE)</f>
        <v>#N/A</v>
      </c>
      <c r="G145" s="1" t="e">
        <f>+VLOOKUP(A145,#REF!,4,FALSE)</f>
        <v>#REF!</v>
      </c>
      <c r="H145" s="1" t="s">
        <v>478</v>
      </c>
      <c r="I145" s="1" t="str">
        <f>CONCATENATE(H145,"-",$J$5,", ",$J$21)</f>
        <v>1700-zlatá, Gemini</v>
      </c>
      <c r="Z145" s="1" t="b">
        <f t="shared" si="16"/>
        <v>1</v>
      </c>
    </row>
    <row r="146" spans="1:26" ht="15" customHeight="1" x14ac:dyDescent="0.25">
      <c r="A146" s="53" t="s">
        <v>117</v>
      </c>
      <c r="B146" s="52"/>
      <c r="C146" s="1" t="str">
        <f>CONCATENATE(H146,"-",$J$5,", ",$J$21)</f>
        <v>2350-zlatá, Gemini</v>
      </c>
      <c r="D146" s="53" t="s">
        <v>117</v>
      </c>
      <c r="E146" s="52" t="e">
        <f>+VLOOKUP(A146,cennik!$A:$G,2,FALSE)</f>
        <v>#N/A</v>
      </c>
      <c r="F146" s="52" t="e">
        <f>+VLOOKUP(A146,cennik!A:B,2,FALSE)</f>
        <v>#N/A</v>
      </c>
      <c r="H146" s="1" t="s">
        <v>479</v>
      </c>
      <c r="I146" s="1" t="str">
        <f>CONCATENATE(H146,"-",$J$5,", ",$J$21)</f>
        <v>2350-zlatá, Gemini</v>
      </c>
      <c r="Z146" s="1" t="b">
        <f t="shared" si="16"/>
        <v>1</v>
      </c>
    </row>
    <row r="147" spans="1:26" ht="15" customHeight="1" x14ac:dyDescent="0.25">
      <c r="A147" s="53" t="s">
        <v>117</v>
      </c>
      <c r="B147" s="52"/>
      <c r="C147" s="1" t="str">
        <f>CONCATENATE(H147,"-",$J$5,", ",$J$21)</f>
        <v>3000-zlatá, Gemini</v>
      </c>
      <c r="D147" s="53" t="s">
        <v>117</v>
      </c>
      <c r="E147" s="52" t="e">
        <f>+VLOOKUP(A147,cennik!$A:$G,2,FALSE)</f>
        <v>#N/A</v>
      </c>
      <c r="F147" s="52" t="e">
        <f>+VLOOKUP(A147,cennik!A:B,2,FALSE)</f>
        <v>#N/A</v>
      </c>
      <c r="H147" s="1" t="s">
        <v>480</v>
      </c>
      <c r="I147" s="1" t="str">
        <f>CONCATENATE(H147,"-",$J$5,", ",$J$21)</f>
        <v>3000-zlatá, Gemini</v>
      </c>
      <c r="Z147" s="1" t="b">
        <f t="shared" si="16"/>
        <v>1</v>
      </c>
    </row>
    <row r="148" spans="1:26" ht="15" customHeight="1" x14ac:dyDescent="0.25">
      <c r="A148" s="53" t="s">
        <v>117</v>
      </c>
      <c r="B148" s="52"/>
      <c r="C148" s="1" t="str">
        <f>CONCATENATE(H148,"-",$J$5,", ",$J$21)</f>
        <v>4050-zlatá, Gemini</v>
      </c>
      <c r="D148" s="53" t="s">
        <v>117</v>
      </c>
      <c r="E148" s="52" t="e">
        <f>+VLOOKUP(A148,cennik!$A:$G,2,FALSE)</f>
        <v>#N/A</v>
      </c>
      <c r="F148" s="52" t="e">
        <f>+VLOOKUP(A148,cennik!A:B,2,FALSE)</f>
        <v>#N/A</v>
      </c>
      <c r="H148" s="1" t="s">
        <v>481</v>
      </c>
      <c r="I148" s="1" t="str">
        <f>CONCATENATE(H148,"-",$J$5,", ",$J$21)</f>
        <v>4050-zlatá, Gemini</v>
      </c>
      <c r="Z148" s="1" t="b">
        <f t="shared" si="16"/>
        <v>1</v>
      </c>
    </row>
    <row r="149" spans="1:26" ht="15" customHeight="1" x14ac:dyDescent="0.25">
      <c r="A149" s="53" t="s">
        <v>117</v>
      </c>
      <c r="B149" s="52"/>
      <c r="C149" s="1" t="str">
        <f>CONCATENATE(H149,"-",$J$5,", ",$J$21)</f>
        <v>6000-zlatá, Gemini</v>
      </c>
      <c r="D149" s="53" t="s">
        <v>117</v>
      </c>
      <c r="E149" s="52" t="e">
        <f>+VLOOKUP(A149,cennik!$A:$G,2,FALSE)</f>
        <v>#N/A</v>
      </c>
      <c r="F149" s="52" t="e">
        <f>+VLOOKUP(A149,cennik!A:B,2,FALSE)</f>
        <v>#N/A</v>
      </c>
      <c r="H149" s="1">
        <v>6000</v>
      </c>
      <c r="I149" s="1" t="str">
        <f>CONCATENATE(H149,"-",$J$5,", ",$J$21)</f>
        <v>6000-zlatá, Gemini</v>
      </c>
      <c r="Z149" s="1" t="b">
        <f t="shared" si="16"/>
        <v>1</v>
      </c>
    </row>
    <row r="150" spans="1:26" ht="15" customHeight="1" x14ac:dyDescent="0.25">
      <c r="A150" s="53" t="s">
        <v>117</v>
      </c>
      <c r="B150" s="52"/>
      <c r="C150" s="1" t="str">
        <f>CONCATENATE(H150,"-",$J$6,", ",$J$21)</f>
        <v>1700-oliva, Gemini</v>
      </c>
      <c r="D150" s="53" t="s">
        <v>117</v>
      </c>
      <c r="E150" s="52" t="e">
        <f>+VLOOKUP(A150,cennik!$A:$G,2,FALSE)</f>
        <v>#N/A</v>
      </c>
      <c r="F150" s="52" t="e">
        <f>+VLOOKUP(A150,cennik!A:B,2,FALSE)</f>
        <v>#N/A</v>
      </c>
      <c r="G150" s="1" t="e">
        <f>+VLOOKUP(A150,#REF!,4,FALSE)</f>
        <v>#REF!</v>
      </c>
      <c r="H150" s="1" t="s">
        <v>478</v>
      </c>
      <c r="I150" s="1" t="str">
        <f>CONCATENATE(H150,"-",$J$6,", ",$J$21)</f>
        <v>1700-oliva, Gemini</v>
      </c>
      <c r="Z150" s="1" t="b">
        <f t="shared" si="16"/>
        <v>1</v>
      </c>
    </row>
    <row r="151" spans="1:26" ht="15" customHeight="1" x14ac:dyDescent="0.25">
      <c r="A151" s="53" t="s">
        <v>117</v>
      </c>
      <c r="B151" s="52"/>
      <c r="C151" s="1" t="str">
        <f>CONCATENATE(H151,"-",$J$6,", ",$J$21)</f>
        <v>2350-oliva, Gemini</v>
      </c>
      <c r="D151" s="53" t="s">
        <v>117</v>
      </c>
      <c r="E151" s="52" t="e">
        <f>+VLOOKUP(A151,cennik!$A:$G,2,FALSE)</f>
        <v>#N/A</v>
      </c>
      <c r="F151" s="52" t="e">
        <f>+VLOOKUP(A151,cennik!A:B,2,FALSE)</f>
        <v>#N/A</v>
      </c>
      <c r="H151" s="1" t="s">
        <v>479</v>
      </c>
      <c r="I151" s="1" t="str">
        <f>CONCATENATE(H151,"-",$J$6,", ",$J$21)</f>
        <v>2350-oliva, Gemini</v>
      </c>
      <c r="Z151" s="1" t="b">
        <f t="shared" si="16"/>
        <v>1</v>
      </c>
    </row>
    <row r="152" spans="1:26" ht="15" customHeight="1" x14ac:dyDescent="0.25">
      <c r="A152" s="53" t="s">
        <v>117</v>
      </c>
      <c r="B152" s="52"/>
      <c r="C152" s="1" t="str">
        <f>CONCATENATE(H152,"-",$J$6,", ",$J$21)</f>
        <v>3000-oliva, Gemini</v>
      </c>
      <c r="D152" s="53" t="s">
        <v>117</v>
      </c>
      <c r="E152" s="52" t="e">
        <f>+VLOOKUP(A152,cennik!$A:$G,2,FALSE)</f>
        <v>#N/A</v>
      </c>
      <c r="F152" s="52" t="e">
        <f>+VLOOKUP(A152,cennik!A:B,2,FALSE)</f>
        <v>#N/A</v>
      </c>
      <c r="H152" s="1" t="s">
        <v>480</v>
      </c>
      <c r="I152" s="1" t="str">
        <f>CONCATENATE(H152,"-",$J$6,", ",$J$21)</f>
        <v>3000-oliva, Gemini</v>
      </c>
      <c r="Z152" s="1" t="b">
        <f t="shared" si="16"/>
        <v>1</v>
      </c>
    </row>
    <row r="153" spans="1:26" ht="15" customHeight="1" x14ac:dyDescent="0.25">
      <c r="A153" s="53" t="s">
        <v>117</v>
      </c>
      <c r="B153" s="52"/>
      <c r="C153" s="1" t="str">
        <f>CONCATENATE(H153,"-",$J$6,", ",$J$21)</f>
        <v>4050-oliva, Gemini</v>
      </c>
      <c r="D153" s="53" t="s">
        <v>117</v>
      </c>
      <c r="E153" s="52" t="e">
        <f>+VLOOKUP(A153,cennik!$A:$G,2,FALSE)</f>
        <v>#N/A</v>
      </c>
      <c r="F153" s="52" t="e">
        <f>+VLOOKUP(A153,cennik!A:B,2,FALSE)</f>
        <v>#N/A</v>
      </c>
      <c r="H153" s="1" t="s">
        <v>481</v>
      </c>
      <c r="I153" s="1" t="str">
        <f>CONCATENATE(H153,"-",$J$6,", ",$J$21)</f>
        <v>4050-oliva, Gemini</v>
      </c>
      <c r="Z153" s="1" t="b">
        <f t="shared" si="16"/>
        <v>1</v>
      </c>
    </row>
    <row r="154" spans="1:26" ht="15" customHeight="1" x14ac:dyDescent="0.25">
      <c r="A154" s="53" t="s">
        <v>117</v>
      </c>
      <c r="B154" s="52"/>
      <c r="C154" s="1" t="str">
        <f>CONCATENATE(H154,"-",$J$6,", ",$J$21)</f>
        <v>6000-oliva, Gemini</v>
      </c>
      <c r="D154" s="53" t="s">
        <v>117</v>
      </c>
      <c r="E154" s="52" t="e">
        <f>+VLOOKUP(A154,cennik!$A:$G,2,FALSE)</f>
        <v>#N/A</v>
      </c>
      <c r="F154" s="52" t="e">
        <f>+VLOOKUP(A154,cennik!A:B,2,FALSE)</f>
        <v>#N/A</v>
      </c>
      <c r="H154" s="1">
        <v>6000</v>
      </c>
      <c r="I154" s="1" t="str">
        <f>CONCATENATE(H154,"-",$J$6,", ",$J$21)</f>
        <v>6000-oliva, Gemini</v>
      </c>
      <c r="Z154" s="1" t="b">
        <f t="shared" si="16"/>
        <v>1</v>
      </c>
    </row>
    <row r="155" spans="1:26" ht="15" customHeight="1" x14ac:dyDescent="0.25">
      <c r="A155" s="53" t="s">
        <v>117</v>
      </c>
      <c r="B155" s="52"/>
      <c r="C155" s="1" t="str">
        <f>CONCATENATE(H155,"-",$J$7,", ",$J$21)</f>
        <v>1700-oliva kartáčovaná, Gemini</v>
      </c>
      <c r="D155" s="53" t="s">
        <v>117</v>
      </c>
      <c r="E155" s="52" t="e">
        <f>+VLOOKUP(A155,cennik!$A:$G,2,FALSE)</f>
        <v>#N/A</v>
      </c>
      <c r="F155" s="52" t="e">
        <f>+VLOOKUP(A155,cennik!A:B,2,FALSE)</f>
        <v>#N/A</v>
      </c>
      <c r="G155" s="1" t="e">
        <f>+VLOOKUP(A155,#REF!,4,FALSE)</f>
        <v>#REF!</v>
      </c>
      <c r="H155" s="1" t="s">
        <v>478</v>
      </c>
      <c r="I155" s="1" t="str">
        <f>CONCATENATE(H155,"-",$J$7,", ",$J$21)</f>
        <v>1700-oliva kartáčovaná, Gemini</v>
      </c>
      <c r="Z155" s="1" t="b">
        <f t="shared" si="16"/>
        <v>1</v>
      </c>
    </row>
    <row r="156" spans="1:26" ht="15" customHeight="1" x14ac:dyDescent="0.25">
      <c r="A156" s="53" t="s">
        <v>117</v>
      </c>
      <c r="B156" s="52"/>
      <c r="C156" s="1" t="str">
        <f>CONCATENATE(H156,"-",$J$7,", ",$J$21)</f>
        <v>2350-oliva kartáčovaná, Gemini</v>
      </c>
      <c r="D156" s="53" t="s">
        <v>117</v>
      </c>
      <c r="E156" s="52" t="e">
        <f>+VLOOKUP(A156,cennik!$A:$G,2,FALSE)</f>
        <v>#N/A</v>
      </c>
      <c r="F156" s="52" t="e">
        <f>+VLOOKUP(A156,cennik!A:B,2,FALSE)</f>
        <v>#N/A</v>
      </c>
      <c r="H156" s="1" t="s">
        <v>479</v>
      </c>
      <c r="I156" s="1" t="str">
        <f>CONCATENATE(H156,"-",$J$7,", ",$J$21)</f>
        <v>2350-oliva kartáčovaná, Gemini</v>
      </c>
      <c r="Z156" s="1" t="b">
        <f t="shared" si="16"/>
        <v>1</v>
      </c>
    </row>
    <row r="157" spans="1:26" ht="15" customHeight="1" x14ac:dyDescent="0.25">
      <c r="A157" s="53" t="s">
        <v>117</v>
      </c>
      <c r="B157" s="52"/>
      <c r="C157" s="1" t="str">
        <f>CONCATENATE(H157,"-",$J$7,", ",$J$21)</f>
        <v>3000-oliva kartáčovaná, Gemini</v>
      </c>
      <c r="D157" s="53" t="s">
        <v>117</v>
      </c>
      <c r="E157" s="52" t="e">
        <f>+VLOOKUP(A157,cennik!$A:$G,2,FALSE)</f>
        <v>#N/A</v>
      </c>
      <c r="F157" s="52" t="e">
        <f>+VLOOKUP(A157,cennik!A:B,2,FALSE)</f>
        <v>#N/A</v>
      </c>
      <c r="H157" s="1" t="s">
        <v>480</v>
      </c>
      <c r="I157" s="1" t="str">
        <f>CONCATENATE(H157,"-",$J$7,", ",$J$21)</f>
        <v>3000-oliva kartáčovaná, Gemini</v>
      </c>
      <c r="Z157" s="1" t="b">
        <f t="shared" si="16"/>
        <v>1</v>
      </c>
    </row>
    <row r="158" spans="1:26" ht="15" customHeight="1" x14ac:dyDescent="0.25">
      <c r="A158" s="53" t="s">
        <v>117</v>
      </c>
      <c r="B158" s="52"/>
      <c r="C158" s="1" t="str">
        <f>CONCATENATE(H158,"-",$J$7,", ",$J$21)</f>
        <v>4050-oliva kartáčovaná, Gemini</v>
      </c>
      <c r="D158" s="53" t="s">
        <v>117</v>
      </c>
      <c r="E158" s="52" t="e">
        <f>+VLOOKUP(A158,cennik!$A:$G,2,FALSE)</f>
        <v>#N/A</v>
      </c>
      <c r="F158" s="52" t="e">
        <f>+VLOOKUP(A158,cennik!A:B,2,FALSE)</f>
        <v>#N/A</v>
      </c>
      <c r="H158" s="1" t="s">
        <v>481</v>
      </c>
      <c r="I158" s="1" t="str">
        <f>CONCATENATE(H158,"-",$J$7,", ",$J$21)</f>
        <v>4050-oliva kartáčovaná, Gemini</v>
      </c>
      <c r="Z158" s="1" t="b">
        <f t="shared" si="16"/>
        <v>1</v>
      </c>
    </row>
    <row r="159" spans="1:26" ht="15" customHeight="1" x14ac:dyDescent="0.25">
      <c r="A159" s="53" t="s">
        <v>117</v>
      </c>
      <c r="B159" s="52"/>
      <c r="C159" s="1" t="str">
        <f>CONCATENATE(H159,"-",$J$7,", ",$J$21)</f>
        <v>6000-oliva kartáčovaná, Gemini</v>
      </c>
      <c r="D159" s="53" t="s">
        <v>117</v>
      </c>
      <c r="E159" s="52" t="e">
        <f>+VLOOKUP(A159,cennik!$A:$G,2,FALSE)</f>
        <v>#N/A</v>
      </c>
      <c r="F159" s="52" t="e">
        <f>+VLOOKUP(A159,cennik!A:B,2,FALSE)</f>
        <v>#N/A</v>
      </c>
      <c r="H159" s="1">
        <v>6000</v>
      </c>
      <c r="I159" s="1" t="str">
        <f>CONCATENATE(H159,"-",$J$7,", ",$J$21)</f>
        <v>6000-oliva kartáčovaná, Gemini</v>
      </c>
      <c r="Z159" s="1" t="b">
        <f t="shared" si="16"/>
        <v>1</v>
      </c>
    </row>
    <row r="160" spans="1:26" ht="15" customHeight="1" x14ac:dyDescent="0.25">
      <c r="A160" s="53" t="s">
        <v>117</v>
      </c>
      <c r="B160" s="52"/>
      <c r="C160" s="1" t="str">
        <f>CONCATENATE(H160,"-",$J$8,", ",$J$21)</f>
        <v>1700-kart. tm. oliva, Gemini</v>
      </c>
      <c r="D160" s="53" t="s">
        <v>117</v>
      </c>
      <c r="E160" s="52" t="e">
        <f>+VLOOKUP(A160,cennik!$A:$G,2,FALSE)</f>
        <v>#N/A</v>
      </c>
      <c r="F160" s="52" t="e">
        <f>+VLOOKUP(A160,cennik!A:B,2,FALSE)</f>
        <v>#N/A</v>
      </c>
      <c r="G160" s="1" t="e">
        <f>+VLOOKUP(A160,#REF!,4,FALSE)</f>
        <v>#REF!</v>
      </c>
      <c r="H160" s="1" t="s">
        <v>478</v>
      </c>
      <c r="I160" s="1" t="str">
        <f>CONCATENATE(H160,"-",$J$8,", ",$J$21)</f>
        <v>1700-kart. tm. oliva, Gemini</v>
      </c>
      <c r="Z160" s="1" t="b">
        <f t="shared" si="16"/>
        <v>1</v>
      </c>
    </row>
    <row r="161" spans="1:26" ht="15" customHeight="1" x14ac:dyDescent="0.25">
      <c r="A161" s="53" t="s">
        <v>117</v>
      </c>
      <c r="B161" s="52"/>
      <c r="C161" s="1" t="str">
        <f>CONCATENATE(H161,"-",$J$8,", ",$J$21)</f>
        <v>2350-kart. tm. oliva, Gemini</v>
      </c>
      <c r="D161" s="53" t="s">
        <v>117</v>
      </c>
      <c r="E161" s="52" t="e">
        <f>+VLOOKUP(A161,cennik!$A:$G,2,FALSE)</f>
        <v>#N/A</v>
      </c>
      <c r="F161" s="52" t="e">
        <f>+VLOOKUP(A161,cennik!A:B,2,FALSE)</f>
        <v>#N/A</v>
      </c>
      <c r="H161" s="1" t="s">
        <v>479</v>
      </c>
      <c r="I161" s="1" t="str">
        <f>CONCATENATE(H161,"-",$J$8,", ",$J$21)</f>
        <v>2350-kart. tm. oliva, Gemini</v>
      </c>
      <c r="Z161" s="1" t="b">
        <f t="shared" si="16"/>
        <v>1</v>
      </c>
    </row>
    <row r="162" spans="1:26" ht="15" customHeight="1" x14ac:dyDescent="0.25">
      <c r="A162" s="53" t="s">
        <v>117</v>
      </c>
      <c r="B162" s="52"/>
      <c r="C162" s="1" t="str">
        <f>CONCATENATE(H162,"-",$J$8,", ",$J$21)</f>
        <v>3000-kart. tm. oliva, Gemini</v>
      </c>
      <c r="D162" s="53" t="s">
        <v>117</v>
      </c>
      <c r="E162" s="52" t="e">
        <f>+VLOOKUP(A162,cennik!$A:$G,2,FALSE)</f>
        <v>#N/A</v>
      </c>
      <c r="F162" s="52" t="e">
        <f>+VLOOKUP(A162,cennik!A:B,2,FALSE)</f>
        <v>#N/A</v>
      </c>
      <c r="H162" s="1" t="s">
        <v>480</v>
      </c>
      <c r="I162" s="1" t="str">
        <f>CONCATENATE(H162,"-",$J$8,", ",$J$21)</f>
        <v>3000-kart. tm. oliva, Gemini</v>
      </c>
      <c r="Z162" s="1" t="b">
        <f t="shared" si="16"/>
        <v>1</v>
      </c>
    </row>
    <row r="163" spans="1:26" ht="15" customHeight="1" x14ac:dyDescent="0.25">
      <c r="A163" s="53" t="s">
        <v>117</v>
      </c>
      <c r="B163" s="52"/>
      <c r="C163" s="1" t="str">
        <f>CONCATENATE(H163,"-",$J$8,", ",$J$21)</f>
        <v>4050-kart. tm. oliva, Gemini</v>
      </c>
      <c r="D163" s="53" t="s">
        <v>117</v>
      </c>
      <c r="E163" s="52" t="e">
        <f>+VLOOKUP(A163,cennik!$A:$G,2,FALSE)</f>
        <v>#N/A</v>
      </c>
      <c r="F163" s="52" t="e">
        <f>+VLOOKUP(A163,cennik!A:B,2,FALSE)</f>
        <v>#N/A</v>
      </c>
      <c r="H163" s="1" t="s">
        <v>481</v>
      </c>
      <c r="I163" s="1" t="str">
        <f>CONCATENATE(H163,"-",$J$8,", ",$J$21)</f>
        <v>4050-kart. tm. oliva, Gemini</v>
      </c>
      <c r="Z163" s="1" t="b">
        <f t="shared" si="16"/>
        <v>1</v>
      </c>
    </row>
    <row r="164" spans="1:26" ht="15" customHeight="1" x14ac:dyDescent="0.25">
      <c r="A164" s="53" t="s">
        <v>117</v>
      </c>
      <c r="B164" s="52"/>
      <c r="C164" s="1" t="str">
        <f>CONCATENATE(H164,"-",$J$8,", ",$J$21)</f>
        <v>6000-kart. tm. oliva, Gemini</v>
      </c>
      <c r="D164" s="53" t="s">
        <v>117</v>
      </c>
      <c r="E164" s="52" t="e">
        <f>+VLOOKUP(A164,cennik!$A:$G,2,FALSE)</f>
        <v>#N/A</v>
      </c>
      <c r="F164" s="52" t="e">
        <f>+VLOOKUP(A164,cennik!A:B,2,FALSE)</f>
        <v>#N/A</v>
      </c>
      <c r="H164" s="1">
        <v>6000</v>
      </c>
      <c r="I164" s="1" t="str">
        <f>CONCATENATE(H164,"-",$J$8,", ",$J$21)</f>
        <v>6000-kart. tm. oliva, Gemini</v>
      </c>
      <c r="Z164" s="1" t="b">
        <f t="shared" si="16"/>
        <v>1</v>
      </c>
    </row>
    <row r="165" spans="1:26" ht="15" customHeight="1" x14ac:dyDescent="0.25">
      <c r="A165" s="53" t="s">
        <v>117</v>
      </c>
      <c r="B165" s="52"/>
      <c r="C165" s="1" t="str">
        <f>CONCATENATE(H165,"-",$J$9,", ",$J$21)</f>
        <v>1700-kart. čierna, Gemini</v>
      </c>
      <c r="D165" s="53" t="s">
        <v>117</v>
      </c>
      <c r="E165" s="52" t="e">
        <f>+VLOOKUP(A165,cennik!$A:$G,2,FALSE)</f>
        <v>#N/A</v>
      </c>
      <c r="F165" s="52" t="e">
        <f>+VLOOKUP(A165,cennik!A:B,2,FALSE)</f>
        <v>#N/A</v>
      </c>
      <c r="G165" s="1" t="e">
        <f>+VLOOKUP(A165,#REF!,4,FALSE)</f>
        <v>#REF!</v>
      </c>
      <c r="H165" s="1" t="s">
        <v>478</v>
      </c>
      <c r="I165" s="1" t="str">
        <f>CONCATENATE(H165,"-",$J$9,", ",$J$21)</f>
        <v>1700-kart. čierna, Gemini</v>
      </c>
      <c r="Z165" s="1" t="b">
        <f t="shared" si="16"/>
        <v>1</v>
      </c>
    </row>
    <row r="166" spans="1:26" ht="15" customHeight="1" x14ac:dyDescent="0.25">
      <c r="A166" s="53" t="s">
        <v>117</v>
      </c>
      <c r="B166" s="52"/>
      <c r="C166" s="1" t="str">
        <f>CONCATENATE(H166,"-",$J$9,", ",$J$21)</f>
        <v>2350-kart. čierna, Gemini</v>
      </c>
      <c r="D166" s="53" t="s">
        <v>117</v>
      </c>
      <c r="E166" s="52" t="e">
        <f>+VLOOKUP(A166,cennik!$A:$G,2,FALSE)</f>
        <v>#N/A</v>
      </c>
      <c r="F166" s="52" t="e">
        <f>+VLOOKUP(A166,cennik!A:B,2,FALSE)</f>
        <v>#N/A</v>
      </c>
      <c r="H166" s="1" t="s">
        <v>479</v>
      </c>
      <c r="I166" s="1" t="str">
        <f>CONCATENATE(H166,"-",$J$9,", ",$J$21)</f>
        <v>2350-kart. čierna, Gemini</v>
      </c>
      <c r="Z166" s="1" t="b">
        <f t="shared" si="16"/>
        <v>1</v>
      </c>
    </row>
    <row r="167" spans="1:26" ht="15" customHeight="1" x14ac:dyDescent="0.25">
      <c r="A167" s="53" t="s">
        <v>117</v>
      </c>
      <c r="B167" s="52"/>
      <c r="C167" s="1" t="str">
        <f>CONCATENATE(H167,"-",$J$9,", ",$J$21)</f>
        <v>3000-kart. čierna, Gemini</v>
      </c>
      <c r="D167" s="53" t="s">
        <v>117</v>
      </c>
      <c r="E167" s="52" t="e">
        <f>+VLOOKUP(A167,cennik!$A:$G,2,FALSE)</f>
        <v>#N/A</v>
      </c>
      <c r="F167" s="52" t="e">
        <f>+VLOOKUP(A167,cennik!A:B,2,FALSE)</f>
        <v>#N/A</v>
      </c>
      <c r="H167" s="1" t="s">
        <v>480</v>
      </c>
      <c r="I167" s="1" t="str">
        <f>CONCATENATE(H167,"-",$J$9,", ",$J$21)</f>
        <v>3000-kart. čierna, Gemini</v>
      </c>
      <c r="Z167" s="1" t="b">
        <f t="shared" si="16"/>
        <v>1</v>
      </c>
    </row>
    <row r="168" spans="1:26" ht="15" customHeight="1" x14ac:dyDescent="0.25">
      <c r="A168" s="53" t="s">
        <v>117</v>
      </c>
      <c r="B168" s="52"/>
      <c r="C168" s="1" t="str">
        <f>CONCATENATE(H168,"-",$J$9,", ",$J$21)</f>
        <v>4050-kart. čierna, Gemini</v>
      </c>
      <c r="D168" s="53" t="s">
        <v>117</v>
      </c>
      <c r="E168" s="52" t="e">
        <f>+VLOOKUP(A168,cennik!$A:$G,2,FALSE)</f>
        <v>#N/A</v>
      </c>
      <c r="F168" s="52" t="e">
        <f>+VLOOKUP(A168,cennik!A:B,2,FALSE)</f>
        <v>#N/A</v>
      </c>
      <c r="H168" s="1" t="s">
        <v>481</v>
      </c>
      <c r="I168" s="1" t="str">
        <f>CONCATENATE(H168,"-",$J$9,", ",$J$21)</f>
        <v>4050-kart. čierna, Gemini</v>
      </c>
      <c r="Z168" s="1" t="b">
        <f t="shared" si="16"/>
        <v>1</v>
      </c>
    </row>
    <row r="169" spans="1:26" ht="15" customHeight="1" x14ac:dyDescent="0.25">
      <c r="A169" s="53" t="s">
        <v>117</v>
      </c>
      <c r="B169" s="52"/>
      <c r="C169" s="1" t="str">
        <f>CONCATENATE(H169,"-",$J$9,", ",$J$21)</f>
        <v>6000-kart. čierna, Gemini</v>
      </c>
      <c r="D169" s="53" t="s">
        <v>117</v>
      </c>
      <c r="E169" s="52" t="e">
        <f>+VLOOKUP(A169,cennik!$A:$G,2,FALSE)</f>
        <v>#N/A</v>
      </c>
      <c r="F169" s="52" t="e">
        <f>+VLOOKUP(A169,cennik!A:B,2,FALSE)</f>
        <v>#N/A</v>
      </c>
      <c r="H169" s="1">
        <v>6000</v>
      </c>
      <c r="I169" s="1" t="str">
        <f>CONCATENATE(H169,"-",$J$9,", ",$J$21)</f>
        <v>6000-kart. čierna, Gemini</v>
      </c>
      <c r="Z169" s="1" t="b">
        <f t="shared" si="16"/>
        <v>1</v>
      </c>
    </row>
    <row r="170" spans="1:26" ht="15" customHeight="1" x14ac:dyDescent="0.25">
      <c r="A170" s="53" t="s">
        <v>117</v>
      </c>
      <c r="B170" s="52"/>
      <c r="C170" s="1" t="str">
        <f>CONCATENATE(H170,"-",$J$15,", ",$J$21)</f>
        <v>1700-biela lesk, Gemini</v>
      </c>
      <c r="D170" s="53" t="s">
        <v>117</v>
      </c>
      <c r="E170" s="52" t="e">
        <f>+VLOOKUP(A170,cennik!$A:$G,2,FALSE)</f>
        <v>#N/A</v>
      </c>
      <c r="F170" s="52" t="e">
        <f>+VLOOKUP(A170,cennik!A:B,2,FALSE)</f>
        <v>#N/A</v>
      </c>
      <c r="G170" s="1" t="e">
        <f>+VLOOKUP(A170,#REF!,4,FALSE)</f>
        <v>#REF!</v>
      </c>
      <c r="H170" s="1" t="s">
        <v>478</v>
      </c>
      <c r="I170" s="1" t="str">
        <f>CONCATENATE(H170,"-",$J$15,", ",$J$21)</f>
        <v>1700-biela lesk, Gemini</v>
      </c>
      <c r="Z170" s="1" t="b">
        <f t="shared" si="16"/>
        <v>1</v>
      </c>
    </row>
    <row r="171" spans="1:26" ht="15" customHeight="1" x14ac:dyDescent="0.25">
      <c r="A171" s="53" t="s">
        <v>117</v>
      </c>
      <c r="B171" s="52"/>
      <c r="C171" s="1" t="str">
        <f>CONCATENATE(H171,"-",$J$15,", ",$J$21)</f>
        <v>2350-biela lesk, Gemini</v>
      </c>
      <c r="D171" s="53" t="s">
        <v>117</v>
      </c>
      <c r="E171" s="52" t="e">
        <f>+VLOOKUP(A171,cennik!$A:$G,2,FALSE)</f>
        <v>#N/A</v>
      </c>
      <c r="F171" s="52" t="e">
        <f>+VLOOKUP(A171,cennik!A:B,2,FALSE)</f>
        <v>#N/A</v>
      </c>
      <c r="H171" s="1" t="s">
        <v>479</v>
      </c>
      <c r="I171" s="1" t="str">
        <f>CONCATENATE(H171,"-",$J$15,", ",$J$21)</f>
        <v>2350-biela lesk, Gemini</v>
      </c>
      <c r="Z171" s="1" t="b">
        <f t="shared" si="16"/>
        <v>1</v>
      </c>
    </row>
    <row r="172" spans="1:26" ht="15" customHeight="1" x14ac:dyDescent="0.25">
      <c r="A172" s="53" t="s">
        <v>117</v>
      </c>
      <c r="B172" s="52"/>
      <c r="C172" s="1" t="str">
        <f>CONCATENATE(H172,"-",$J$15,", ",$J$21)</f>
        <v>3000-biela lesk, Gemini</v>
      </c>
      <c r="D172" s="53" t="s">
        <v>117</v>
      </c>
      <c r="E172" s="52" t="e">
        <f>+VLOOKUP(A172,cennik!$A:$G,2,FALSE)</f>
        <v>#N/A</v>
      </c>
      <c r="F172" s="52" t="e">
        <f>+VLOOKUP(A172,cennik!A:B,2,FALSE)</f>
        <v>#N/A</v>
      </c>
      <c r="H172" s="1" t="s">
        <v>480</v>
      </c>
      <c r="I172" s="1" t="str">
        <f>CONCATENATE(H172,"-",$J$15,", ",$J$21)</f>
        <v>3000-biela lesk, Gemini</v>
      </c>
      <c r="Z172" s="1" t="b">
        <f t="shared" si="16"/>
        <v>1</v>
      </c>
    </row>
    <row r="173" spans="1:26" ht="15" customHeight="1" x14ac:dyDescent="0.25">
      <c r="A173" s="53" t="s">
        <v>117</v>
      </c>
      <c r="B173" s="52"/>
      <c r="C173" s="1" t="str">
        <f>CONCATENATE(H173,"-",$J$15,", ",$J$21)</f>
        <v>4050-biela lesk, Gemini</v>
      </c>
      <c r="D173" s="53" t="s">
        <v>117</v>
      </c>
      <c r="E173" s="52" t="e">
        <f>+VLOOKUP(A173,cennik!$A:$G,2,FALSE)</f>
        <v>#N/A</v>
      </c>
      <c r="F173" s="52" t="e">
        <f>+VLOOKUP(A173,cennik!A:B,2,FALSE)</f>
        <v>#N/A</v>
      </c>
      <c r="H173" s="1" t="s">
        <v>481</v>
      </c>
      <c r="I173" s="1" t="str">
        <f>CONCATENATE(H173,"-",$J$15,", ",$J$21)</f>
        <v>4050-biela lesk, Gemini</v>
      </c>
      <c r="Z173" s="1" t="b">
        <f t="shared" si="16"/>
        <v>1</v>
      </c>
    </row>
    <row r="174" spans="1:26" ht="15" customHeight="1" x14ac:dyDescent="0.25">
      <c r="A174" s="53" t="s">
        <v>117</v>
      </c>
      <c r="B174" s="52"/>
      <c r="C174" s="1" t="str">
        <f>CONCATENATE(H174,"-",$J$15,", ",$J$21)</f>
        <v>6000-biela lesk, Gemini</v>
      </c>
      <c r="D174" s="53" t="s">
        <v>117</v>
      </c>
      <c r="E174" s="52" t="e">
        <f>+VLOOKUP(A174,cennik!$A:$G,2,FALSE)</f>
        <v>#N/A</v>
      </c>
      <c r="F174" s="52" t="e">
        <f>+VLOOKUP(A174,cennik!A:B,2,FALSE)</f>
        <v>#N/A</v>
      </c>
      <c r="H174" s="1">
        <v>6000</v>
      </c>
      <c r="I174" s="1" t="str">
        <f>CONCATENATE(H174,"-",$J$15,", ",$J$21)</f>
        <v>6000-biela lesk, Gemini</v>
      </c>
      <c r="Z174" s="1" t="b">
        <f t="shared" si="16"/>
        <v>1</v>
      </c>
    </row>
    <row r="175" spans="1:26" ht="15" customHeight="1" x14ac:dyDescent="0.25">
      <c r="A175" s="540">
        <v>405427</v>
      </c>
      <c r="B175" s="539"/>
      <c r="C175" s="1" t="str">
        <f>CONCATENATE(H175,"-",$J$16,", ",$J$19)</f>
        <v>1700-čierna lesk, Elegant II</v>
      </c>
      <c r="D175" s="540">
        <v>405427</v>
      </c>
      <c r="E175" s="541" t="str">
        <f>+VLOOKUP(A175,cennik!$A:$G,2,FALSE)</f>
        <v>SEVROLL 05167 maska Elegant II 1,7m čierna lesk</v>
      </c>
      <c r="F175" s="541" t="str">
        <f>+VLOOKUP(A175,cennik!A:B,2,FALSE)</f>
        <v>SEVROLL 05167 maska Elegant II 1,7m čierna lesk</v>
      </c>
      <c r="G175" s="539"/>
      <c r="H175" s="539">
        <v>1700</v>
      </c>
      <c r="I175" s="1" t="str">
        <f>CONCATENATE(H175,"-",$J$16,", ",$J$19)</f>
        <v>1700-čierna lesk, Elegant II</v>
      </c>
      <c r="Z175" s="1" t="b">
        <f t="shared" si="16"/>
        <v>1</v>
      </c>
    </row>
    <row r="176" spans="1:26" ht="15" customHeight="1" x14ac:dyDescent="0.25">
      <c r="A176" s="540">
        <v>398553</v>
      </c>
      <c r="B176" s="539"/>
      <c r="C176" s="1" t="str">
        <f t="shared" ref="C176:C179" si="17">CONCATENATE(H176,"-",$J$16,", ",$J$19)</f>
        <v>2350-čierna lesk, Elegant II</v>
      </c>
      <c r="D176" s="540">
        <v>398553</v>
      </c>
      <c r="E176" s="541" t="str">
        <f>+VLOOKUP(A176,cennik!$A:$G,2,FALSE)</f>
        <v>SEVROLL 05168 maska Elegant II 2,35m čierna lesk</v>
      </c>
      <c r="F176" s="541" t="str">
        <f>+VLOOKUP(A176,cennik!A:B,2,FALSE)</f>
        <v>SEVROLL 05168 maska Elegant II 2,35m čierna lesk</v>
      </c>
      <c r="G176" s="539"/>
      <c r="H176" s="539">
        <v>2350</v>
      </c>
      <c r="I176" s="1" t="str">
        <f t="shared" ref="I176:I179" si="18">CONCATENATE(H176,"-",$J$16,", ",$J$19)</f>
        <v>2350-čierna lesk, Elegant II</v>
      </c>
      <c r="Z176" s="1" t="b">
        <f t="shared" si="16"/>
        <v>1</v>
      </c>
    </row>
    <row r="177" spans="1:26" ht="15" customHeight="1" x14ac:dyDescent="0.25">
      <c r="A177" s="540">
        <v>405428</v>
      </c>
      <c r="B177" s="539"/>
      <c r="C177" s="1" t="str">
        <f t="shared" si="17"/>
        <v>3000-čierna lesk, Elegant II</v>
      </c>
      <c r="D177" s="540">
        <v>405428</v>
      </c>
      <c r="E177" s="541" t="str">
        <f>+VLOOKUP(A177,cennik!$A:$G,2,FALSE)</f>
        <v>SEVROLL 05169 maska Elegant II 3m čierna lesk</v>
      </c>
      <c r="F177" s="541" t="str">
        <f>+VLOOKUP(A177,cennik!A:B,2,FALSE)</f>
        <v>SEVROLL 05169 maska Elegant II 3m čierna lesk</v>
      </c>
      <c r="G177" s="539"/>
      <c r="H177" s="539">
        <v>3000</v>
      </c>
      <c r="I177" s="1" t="str">
        <f t="shared" si="18"/>
        <v>3000-čierna lesk, Elegant II</v>
      </c>
      <c r="Z177" s="1" t="b">
        <f t="shared" si="16"/>
        <v>1</v>
      </c>
    </row>
    <row r="178" spans="1:26" ht="15" customHeight="1" x14ac:dyDescent="0.25">
      <c r="A178" s="540">
        <v>405429</v>
      </c>
      <c r="B178" s="539"/>
      <c r="C178" s="1" t="str">
        <f t="shared" si="17"/>
        <v>4050-čierna lesk, Elegant II</v>
      </c>
      <c r="D178" s="540">
        <v>405429</v>
      </c>
      <c r="E178" s="541" t="str">
        <f>+VLOOKUP(A178,cennik!$A:$G,2,FALSE)</f>
        <v>SEVROLL 05170 maska Elegant II 4,05m čierna lesk</v>
      </c>
      <c r="F178" s="541" t="str">
        <f>+VLOOKUP(A178,cennik!A:B,2,FALSE)</f>
        <v>SEVROLL 05170 maska Elegant II 4,05m čierna lesk</v>
      </c>
      <c r="G178" s="539"/>
      <c r="H178" s="539">
        <v>4050</v>
      </c>
      <c r="I178" s="1" t="str">
        <f t="shared" si="18"/>
        <v>4050-čierna lesk, Elegant II</v>
      </c>
      <c r="Z178" s="1" t="b">
        <f t="shared" si="16"/>
        <v>1</v>
      </c>
    </row>
    <row r="179" spans="1:26" ht="15" customHeight="1" x14ac:dyDescent="0.25">
      <c r="A179" s="540">
        <v>405430</v>
      </c>
      <c r="B179" s="539"/>
      <c r="C179" s="1" t="str">
        <f t="shared" si="17"/>
        <v>6000-čierna lesk, Elegant II</v>
      </c>
      <c r="D179" s="540">
        <v>405430</v>
      </c>
      <c r="E179" s="541" t="str">
        <f>+VLOOKUP(A179,cennik!$A:$G,2,FALSE)</f>
        <v>SEVROLL 05171 maska Elegant II 6m čierna lesk</v>
      </c>
      <c r="F179" s="541" t="str">
        <f>+VLOOKUP(A179,cennik!A:B,2,FALSE)</f>
        <v>SEVROLL 05171 maska Elegant II 6m čierna lesk</v>
      </c>
      <c r="G179" s="539"/>
      <c r="H179" s="539">
        <v>6000</v>
      </c>
      <c r="I179" s="1" t="str">
        <f t="shared" si="18"/>
        <v>6000-čierna lesk, Elegant II</v>
      </c>
      <c r="Z179" s="1" t="b">
        <f t="shared" si="16"/>
        <v>1</v>
      </c>
    </row>
    <row r="180" spans="1:26" ht="15" customHeight="1" x14ac:dyDescent="0.25">
      <c r="A180" s="540">
        <v>496356</v>
      </c>
      <c r="B180" s="539"/>
      <c r="C180" s="1" t="str">
        <f>CONCATENATE(H180,"-",$J$12,", ",$J$19)</f>
        <v>1700-grafit, Elegant II</v>
      </c>
      <c r="D180" s="540">
        <v>496356</v>
      </c>
      <c r="E180" s="541" t="str">
        <f>+VLOOKUP(A180,cennik!$A:$G,2,FALSE)</f>
        <v>SEVROLL 06048 maska Elegant II 1,7m grafit</v>
      </c>
      <c r="F180" s="541" t="str">
        <f>+VLOOKUP(A180,cennik!A:B,2,FALSE)</f>
        <v>SEVROLL 06048 maska Elegant II 1,7m grafit</v>
      </c>
      <c r="G180" s="539"/>
      <c r="H180" s="539">
        <v>1700</v>
      </c>
      <c r="I180" s="1" t="str">
        <f>CONCATENATE(H180,"-",$J$12,", ",$J$19)</f>
        <v>1700-grafit, Elegant II</v>
      </c>
      <c r="Z180" s="1" t="b">
        <f t="shared" si="16"/>
        <v>1</v>
      </c>
    </row>
    <row r="181" spans="1:26" ht="15" customHeight="1" x14ac:dyDescent="0.25">
      <c r="A181" s="540">
        <v>494693</v>
      </c>
      <c r="B181" s="539"/>
      <c r="C181" s="1" t="str">
        <f t="shared" ref="C181:C184" si="19">CONCATENATE(H181,"-",$J$12,", ",$J$19)</f>
        <v>2350-grafit, Elegant II</v>
      </c>
      <c r="D181" s="540">
        <v>494693</v>
      </c>
      <c r="E181" s="541" t="str">
        <f>+VLOOKUP(A181,cennik!$A:$G,2,FALSE)</f>
        <v>SEVROLL 06049 maska Elegant II 2,35m grafit</v>
      </c>
      <c r="F181" s="541" t="str">
        <f>+VLOOKUP(A181,cennik!A:B,2,FALSE)</f>
        <v>SEVROLL 06049 maska Elegant II 2,35m grafit</v>
      </c>
      <c r="G181" s="539"/>
      <c r="H181" s="539">
        <v>2350</v>
      </c>
      <c r="I181" s="1" t="str">
        <f t="shared" ref="I181:I184" si="20">CONCATENATE(H181,"-",$J$12,", ",$J$19)</f>
        <v>2350-grafit, Elegant II</v>
      </c>
      <c r="Z181" s="1" t="b">
        <f t="shared" si="16"/>
        <v>1</v>
      </c>
    </row>
    <row r="182" spans="1:26" ht="15" customHeight="1" x14ac:dyDescent="0.25">
      <c r="A182" s="540">
        <v>494740</v>
      </c>
      <c r="B182" s="539"/>
      <c r="C182" s="1" t="str">
        <f t="shared" si="19"/>
        <v>3000-grafit, Elegant II</v>
      </c>
      <c r="D182" s="540">
        <v>494740</v>
      </c>
      <c r="E182" s="541" t="str">
        <f>+VLOOKUP(A182,cennik!$A:$G,2,FALSE)</f>
        <v>SEVROLL 06050 maska Elegant II 3m grafit</v>
      </c>
      <c r="F182" s="541" t="str">
        <f>+VLOOKUP(A182,cennik!A:B,2,FALSE)</f>
        <v>SEVROLL 06050 maska Elegant II 3m grafit</v>
      </c>
      <c r="G182" s="539"/>
      <c r="H182" s="539">
        <v>3000</v>
      </c>
      <c r="I182" s="1" t="str">
        <f t="shared" si="20"/>
        <v>3000-grafit, Elegant II</v>
      </c>
      <c r="Z182" s="1" t="b">
        <f t="shared" si="16"/>
        <v>1</v>
      </c>
    </row>
    <row r="183" spans="1:26" ht="15" customHeight="1" x14ac:dyDescent="0.25">
      <c r="A183" s="540">
        <v>494703</v>
      </c>
      <c r="B183" s="539"/>
      <c r="C183" s="1" t="str">
        <f t="shared" si="19"/>
        <v>4050-grafit, Elegant II</v>
      </c>
      <c r="D183" s="540">
        <v>494703</v>
      </c>
      <c r="E183" s="541" t="str">
        <f>+VLOOKUP(A183,cennik!$A:$G,2,FALSE)</f>
        <v>SEVROLL 06051 maska Elegant II 4,05m grafit</v>
      </c>
      <c r="F183" s="541" t="str">
        <f>+VLOOKUP(A183,cennik!A:B,2,FALSE)</f>
        <v>SEVROLL 06051 maska Elegant II 4,05m grafit</v>
      </c>
      <c r="G183" s="539"/>
      <c r="H183" s="539">
        <v>4050</v>
      </c>
      <c r="I183" s="1" t="str">
        <f t="shared" si="20"/>
        <v>4050-grafit, Elegant II</v>
      </c>
      <c r="Z183" s="1" t="b">
        <f t="shared" si="16"/>
        <v>1</v>
      </c>
    </row>
    <row r="184" spans="1:26" ht="15" customHeight="1" x14ac:dyDescent="0.25">
      <c r="A184" s="540">
        <v>496357</v>
      </c>
      <c r="B184" s="539"/>
      <c r="C184" s="1" t="str">
        <f t="shared" si="19"/>
        <v>6000-grafit, Elegant II</v>
      </c>
      <c r="D184" s="540">
        <v>496357</v>
      </c>
      <c r="E184" s="541" t="str">
        <f>+VLOOKUP(A184,cennik!$A:$G,2,FALSE)</f>
        <v>SEVROLL 06052 maska Elegant II 6m grafit</v>
      </c>
      <c r="F184" s="541" t="str">
        <f>+VLOOKUP(A184,cennik!A:B,2,FALSE)</f>
        <v>SEVROLL 06052 maska Elegant II 6m grafit</v>
      </c>
      <c r="G184" s="539"/>
      <c r="H184" s="539">
        <v>6000</v>
      </c>
      <c r="I184" s="1" t="str">
        <f t="shared" si="20"/>
        <v>6000-grafit, Elegant II</v>
      </c>
      <c r="Z184" s="1" t="b">
        <f t="shared" si="16"/>
        <v>1</v>
      </c>
    </row>
    <row r="185" spans="1:26" ht="15" customHeight="1" x14ac:dyDescent="0.25">
      <c r="A185" s="540">
        <v>452751</v>
      </c>
      <c r="B185" s="539"/>
      <c r="C185" s="1" t="str">
        <f>CONCATENATE(H185,"-",$J$17,", ",$J$19)</f>
        <v>1700-čierna mat, Elegant II</v>
      </c>
      <c r="D185" s="540">
        <v>452751</v>
      </c>
      <c r="E185" s="541" t="str">
        <f>+VLOOKUP(A185,cennik!$A:$G,2,FALSE)</f>
        <v>SEVROLL 05317 maska Elegant II 1,7m čierna mat</v>
      </c>
      <c r="F185" s="541" t="str">
        <f>+VLOOKUP(A185,cennik!A:B,2,FALSE)</f>
        <v>SEVROLL 05317 maska Elegant II 1,7m čierna mat</v>
      </c>
      <c r="G185" s="539"/>
      <c r="H185" s="539">
        <v>1700</v>
      </c>
      <c r="I185" s="1" t="str">
        <f>CONCATENATE(H185,"-",$J$17,", ",$J$19)</f>
        <v>1700-čierna mat, Elegant II</v>
      </c>
      <c r="Z185" s="1" t="b">
        <f t="shared" si="16"/>
        <v>1</v>
      </c>
    </row>
    <row r="186" spans="1:26" ht="15" customHeight="1" x14ac:dyDescent="0.25">
      <c r="A186" s="539">
        <v>409679</v>
      </c>
      <c r="B186" s="539"/>
      <c r="C186" s="1" t="str">
        <f t="shared" ref="C186:C189" si="21">CONCATENATE(H186,"-",$J$17,", ",$J$19)</f>
        <v>2350-čierna mat, Elegant II</v>
      </c>
      <c r="D186" s="539">
        <v>409679</v>
      </c>
      <c r="E186" s="541" t="str">
        <f>+VLOOKUP(A186,cennik!$A:$G,2,FALSE)</f>
        <v>SEVROLL 05318 maska Elegant II 2,35m čierna mat</v>
      </c>
      <c r="F186" s="541" t="str">
        <f>+VLOOKUP(A186,cennik!A:B,2,FALSE)</f>
        <v>SEVROLL 05318 maska Elegant II 2,35m čierna mat</v>
      </c>
      <c r="G186" s="539"/>
      <c r="H186" s="539">
        <v>2350</v>
      </c>
      <c r="I186" s="1" t="str">
        <f t="shared" ref="I186:I189" si="22">CONCATENATE(H186,"-",$J$17,", ",$J$19)</f>
        <v>2350-čierna mat, Elegant II</v>
      </c>
      <c r="Z186" s="1" t="b">
        <f t="shared" si="16"/>
        <v>1</v>
      </c>
    </row>
    <row r="187" spans="1:26" ht="15" customHeight="1" x14ac:dyDescent="0.25">
      <c r="A187" s="539">
        <v>414086</v>
      </c>
      <c r="B187" s="539"/>
      <c r="C187" s="1" t="str">
        <f t="shared" si="21"/>
        <v>3000-čierna mat, Elegant II</v>
      </c>
      <c r="D187" s="539">
        <v>414086</v>
      </c>
      <c r="E187" s="541" t="str">
        <f>+VLOOKUP(A187,cennik!$A:$G,2,FALSE)</f>
        <v>SEVROLL 05319 maska Elegant II 3m čierna mat</v>
      </c>
      <c r="F187" s="541" t="str">
        <f>+VLOOKUP(A187,cennik!A:B,2,FALSE)</f>
        <v>SEVROLL 05319 maska Elegant II 3m čierna mat</v>
      </c>
      <c r="G187" s="539"/>
      <c r="H187" s="539">
        <v>3000</v>
      </c>
      <c r="I187" s="1" t="str">
        <f t="shared" si="22"/>
        <v>3000-čierna mat, Elegant II</v>
      </c>
      <c r="Z187" s="1" t="b">
        <f t="shared" si="16"/>
        <v>1</v>
      </c>
    </row>
    <row r="188" spans="1:26" ht="15" customHeight="1" x14ac:dyDescent="0.25">
      <c r="A188" s="539">
        <v>409680</v>
      </c>
      <c r="B188" s="539"/>
      <c r="C188" s="1" t="str">
        <f t="shared" si="21"/>
        <v>4050-čierna mat, Elegant II</v>
      </c>
      <c r="D188" s="539">
        <v>409680</v>
      </c>
      <c r="E188" s="541" t="str">
        <f>+VLOOKUP(A188,cennik!$A:$G,2,FALSE)</f>
        <v>SEVROLL 05320 maska Elegant II 4,05m čierna mat</v>
      </c>
      <c r="F188" s="541" t="str">
        <f>+VLOOKUP(A188,cennik!A:B,2,FALSE)</f>
        <v>SEVROLL 05320 maska Elegant II 4,05m čierna mat</v>
      </c>
      <c r="G188" s="539"/>
      <c r="H188" s="539">
        <v>4050</v>
      </c>
      <c r="I188" s="1" t="str">
        <f t="shared" si="22"/>
        <v>4050-čierna mat, Elegant II</v>
      </c>
      <c r="Z188" s="1" t="b">
        <f t="shared" si="16"/>
        <v>1</v>
      </c>
    </row>
    <row r="189" spans="1:26" ht="15" customHeight="1" x14ac:dyDescent="0.25">
      <c r="A189" s="540">
        <v>452757</v>
      </c>
      <c r="B189" s="539"/>
      <c r="C189" s="1" t="str">
        <f t="shared" si="21"/>
        <v>6000-čierna mat, Elegant II</v>
      </c>
      <c r="D189" s="540">
        <v>452757</v>
      </c>
      <c r="E189" s="541" t="str">
        <f>+VLOOKUP(A189,cennik!$A:$G,2,FALSE)</f>
        <v>SEVROLL 05321 maska Elegant II 6m čierna mat</v>
      </c>
      <c r="F189" s="541" t="str">
        <f>+VLOOKUP(A189,cennik!A:B,2,FALSE)</f>
        <v>SEVROLL 05321 maska Elegant II 6m čierna mat</v>
      </c>
      <c r="G189" s="539"/>
      <c r="H189" s="539">
        <v>6000</v>
      </c>
      <c r="I189" s="1" t="str">
        <f t="shared" si="22"/>
        <v>6000-čierna mat, Elegant II</v>
      </c>
      <c r="Z189" s="1" t="b">
        <f t="shared" si="16"/>
        <v>1</v>
      </c>
    </row>
    <row r="190" spans="1:26" s="559" customFormat="1" ht="15" customHeight="1" x14ac:dyDescent="0.25">
      <c r="A190" s="558">
        <v>394831</v>
      </c>
      <c r="C190" s="1" t="str">
        <f>CONCATENATE(H190,"-",$J$18,", ",$J$19)</f>
        <v>6000-biela mat, Elegant II</v>
      </c>
      <c r="D190" s="558">
        <v>394831</v>
      </c>
      <c r="E190" s="541" t="str">
        <f>+VLOOKUP(A190,cennik!$A:$G,2,FALSE)</f>
        <v>SEVROLL 05166 maska Elegant II 6m biela mat</v>
      </c>
      <c r="F190" s="541" t="str">
        <f>+VLOOKUP(A190,cennik!A:B,2,FALSE)</f>
        <v>SEVROLL 05166 maska Elegant II 6m biela mat</v>
      </c>
      <c r="H190" s="559">
        <v>6000</v>
      </c>
      <c r="I190" s="1" t="str">
        <f>CONCATENATE(H190,"-",$J$18,", ",$J$19)</f>
        <v>6000-biela mat, Elegant II</v>
      </c>
      <c r="Z190" s="1" t="b">
        <f t="shared" si="16"/>
        <v>1</v>
      </c>
    </row>
    <row r="191" spans="1:26" s="559" customFormat="1" ht="15" customHeight="1" x14ac:dyDescent="0.25">
      <c r="A191" s="558">
        <v>394848</v>
      </c>
      <c r="C191" s="1" t="str">
        <f t="shared" ref="C191:C194" si="23">CONCATENATE(H191,"-",$J$18,", ",$J$19)</f>
        <v>1700-biela mat, Elegant II</v>
      </c>
      <c r="D191" s="558">
        <v>394848</v>
      </c>
      <c r="E191" s="541" t="str">
        <f>+VLOOKUP(A191,cennik!$A:$G,2,FALSE)</f>
        <v>SEVROLL 05163 maska Elegant II 1,7m biely mat</v>
      </c>
      <c r="F191" s="541" t="str">
        <f>+VLOOKUP(A191,cennik!A:B,2,FALSE)</f>
        <v>SEVROLL 05163 maska Elegant II 1,7m biely mat</v>
      </c>
      <c r="H191" s="559">
        <v>1700</v>
      </c>
      <c r="I191" s="1" t="str">
        <f t="shared" ref="I191:I194" si="24">CONCATENATE(H191,"-",$J$18,", ",$J$19)</f>
        <v>1700-biela mat, Elegant II</v>
      </c>
      <c r="Z191" s="1" t="b">
        <f t="shared" si="16"/>
        <v>1</v>
      </c>
    </row>
    <row r="192" spans="1:26" s="559" customFormat="1" ht="15" customHeight="1" x14ac:dyDescent="0.25">
      <c r="A192" s="558">
        <v>395039</v>
      </c>
      <c r="C192" s="1" t="str">
        <f t="shared" si="23"/>
        <v>2350-biela mat, Elegant II</v>
      </c>
      <c r="D192" s="558">
        <v>395039</v>
      </c>
      <c r="E192" s="541" t="str">
        <f>+VLOOKUP(A192,cennik!$A:$G,2,FALSE)</f>
        <v>SEVROLL 05164 maska Elegant II 2,35m biela mat</v>
      </c>
      <c r="F192" s="541" t="str">
        <f>+VLOOKUP(A192,cennik!A:B,2,FALSE)</f>
        <v>SEVROLL 05164 maska Elegant II 2,35m biela mat</v>
      </c>
      <c r="H192" s="559">
        <v>2350</v>
      </c>
      <c r="I192" s="1" t="str">
        <f t="shared" si="24"/>
        <v>2350-biela mat, Elegant II</v>
      </c>
      <c r="Z192" s="1" t="b">
        <f t="shared" si="16"/>
        <v>1</v>
      </c>
    </row>
    <row r="193" spans="1:26" s="559" customFormat="1" ht="15" customHeight="1" x14ac:dyDescent="0.25">
      <c r="A193" s="558">
        <v>395041</v>
      </c>
      <c r="C193" s="1" t="str">
        <f t="shared" si="23"/>
        <v>3000-biela mat, Elegant II</v>
      </c>
      <c r="D193" s="558">
        <v>395041</v>
      </c>
      <c r="E193" s="541" t="str">
        <f>+VLOOKUP(A193,cennik!$A:$G,2,FALSE)</f>
        <v>SEVROLL 04438 maska Elegant II 3m biela mat</v>
      </c>
      <c r="F193" s="541" t="str">
        <f>+VLOOKUP(A193,cennik!A:B,2,FALSE)</f>
        <v>SEVROLL 04438 maska Elegant II 3m biela mat</v>
      </c>
      <c r="H193" s="559">
        <v>3000</v>
      </c>
      <c r="I193" s="1" t="str">
        <f t="shared" si="24"/>
        <v>3000-biela mat, Elegant II</v>
      </c>
      <c r="Z193" s="1" t="b">
        <f t="shared" si="16"/>
        <v>1</v>
      </c>
    </row>
    <row r="194" spans="1:26" s="559" customFormat="1" ht="15" customHeight="1" x14ac:dyDescent="0.25">
      <c r="A194" s="558">
        <v>395042</v>
      </c>
      <c r="C194" s="1" t="str">
        <f t="shared" si="23"/>
        <v>4050-biela mat, Elegant II</v>
      </c>
      <c r="D194" s="558">
        <v>395042</v>
      </c>
      <c r="E194" s="541" t="str">
        <f>+VLOOKUP(A194,cennik!$A:$G,2,FALSE)</f>
        <v>SEVROLL 05165 maska Elegant II 4,05m biela mat</v>
      </c>
      <c r="F194" s="541" t="str">
        <f>+VLOOKUP(A194,cennik!A:B,2,FALSE)</f>
        <v>SEVROLL 05165 maska Elegant II 4,05m biela mat</v>
      </c>
      <c r="H194" s="559">
        <v>4050</v>
      </c>
      <c r="I194" s="1" t="str">
        <f t="shared" si="24"/>
        <v>4050-biela mat, Elegant II</v>
      </c>
      <c r="Z194" s="1" t="b">
        <f t="shared" si="16"/>
        <v>1</v>
      </c>
    </row>
    <row r="195" spans="1:26" ht="15" customHeight="1" x14ac:dyDescent="0.25">
      <c r="A195" s="53"/>
      <c r="B195" s="52" t="s">
        <v>21</v>
      </c>
      <c r="D195" s="53"/>
      <c r="E195" s="52"/>
      <c r="F195" s="52"/>
      <c r="G195" s="1" t="e">
        <f>+VLOOKUP(A195,#REF!,4,FALSE)</f>
        <v>#REF!</v>
      </c>
      <c r="H195" s="1" t="s">
        <v>71</v>
      </c>
      <c r="Z195" s="1" t="b">
        <f t="shared" si="16"/>
        <v>1</v>
      </c>
    </row>
    <row r="196" spans="1:26" ht="15" customHeight="1" x14ac:dyDescent="0.25">
      <c r="A196" s="53">
        <v>89106</v>
      </c>
      <c r="B196" s="52"/>
      <c r="C196" s="1" t="str">
        <f>CONCATENATE(H196,"-",$J$4)</f>
        <v xml:space="preserve">1700-strieborná </v>
      </c>
      <c r="D196" s="53">
        <v>89106</v>
      </c>
      <c r="E196" s="52" t="str">
        <f>+VLOOKUP(A196,cennik!$A:$G,2,FALSE)</f>
        <v>SEVROLL 01023 Gemini horné vedenie 1,7m strieborná</v>
      </c>
      <c r="F196" s="52" t="str">
        <f>+VLOOKUP(A196,cennik!A:B,2,FALSE)</f>
        <v>SEVROLL 01023 Gemini horné vedenie 1,7m strieborná</v>
      </c>
      <c r="G196" s="1" t="e">
        <f>+VLOOKUP(A196,#REF!,4,FALSE)</f>
        <v>#REF!</v>
      </c>
      <c r="H196" s="1">
        <v>1700</v>
      </c>
      <c r="I196" s="1" t="str">
        <f>CONCATENATE(H196,"-",$J$4)</f>
        <v xml:space="preserve">1700-strieborná </v>
      </c>
      <c r="Z196" s="1" t="b">
        <f t="shared" si="16"/>
        <v>1</v>
      </c>
    </row>
    <row r="197" spans="1:26" ht="15" customHeight="1" x14ac:dyDescent="0.25">
      <c r="A197" s="53">
        <v>89109</v>
      </c>
      <c r="B197" s="52"/>
      <c r="C197" s="1" t="str">
        <f>CONCATENATE(H197,"-",$J$4)</f>
        <v xml:space="preserve">2350-strieborná </v>
      </c>
      <c r="D197" s="53">
        <v>89109</v>
      </c>
      <c r="E197" s="52" t="str">
        <f>+VLOOKUP(A197,cennik!$A:$G,2,FALSE)</f>
        <v>SEVROLL 01025 Gemini horné vedenie 2,35m strieborná</v>
      </c>
      <c r="F197" s="52" t="str">
        <f>+VLOOKUP(A197,cennik!A:B,2,FALSE)</f>
        <v>SEVROLL 01025 Gemini horné vedenie 2,35m strieborná</v>
      </c>
      <c r="G197" s="1" t="e">
        <f>+VLOOKUP(A197,#REF!,4,FALSE)</f>
        <v>#REF!</v>
      </c>
      <c r="H197" s="1">
        <v>2350</v>
      </c>
      <c r="I197" s="1" t="str">
        <f>CONCATENATE(H197,"-",$J$4)</f>
        <v xml:space="preserve">2350-strieborná </v>
      </c>
      <c r="Z197" s="1" t="b">
        <f t="shared" si="16"/>
        <v>1</v>
      </c>
    </row>
    <row r="198" spans="1:26" ht="15" customHeight="1" x14ac:dyDescent="0.25">
      <c r="A198" s="53">
        <v>89112</v>
      </c>
      <c r="B198" s="52"/>
      <c r="C198" s="1" t="str">
        <f>CONCATENATE(H198,"-",$J$4)</f>
        <v xml:space="preserve">3000-strieborná </v>
      </c>
      <c r="D198" s="53">
        <v>89112</v>
      </c>
      <c r="E198" s="52" t="str">
        <f>+VLOOKUP(A198,cennik!$A:$G,2,FALSE)</f>
        <v>SEVROLL 01462 Gemini horné vedenie 3m strieborná</v>
      </c>
      <c r="F198" s="52" t="str">
        <f>+VLOOKUP(A198,cennik!A:B,2,FALSE)</f>
        <v>SEVROLL 01462 Gemini horné vedenie 3m strieborná</v>
      </c>
      <c r="G198" s="1" t="e">
        <f>+VLOOKUP(A198,#REF!,4,FALSE)</f>
        <v>#REF!</v>
      </c>
      <c r="H198" s="1">
        <v>3000</v>
      </c>
      <c r="I198" s="1" t="str">
        <f>CONCATENATE(H198,"-",$J$4)</f>
        <v xml:space="preserve">3000-strieborná </v>
      </c>
      <c r="Z198" s="1" t="b">
        <f t="shared" si="16"/>
        <v>1</v>
      </c>
    </row>
    <row r="199" spans="1:26" ht="15" customHeight="1" x14ac:dyDescent="0.25">
      <c r="A199" s="53">
        <v>89115</v>
      </c>
      <c r="B199" s="52"/>
      <c r="C199" s="1" t="str">
        <f>CONCATENATE(H199,"-",$J$4)</f>
        <v xml:space="preserve">4050-strieborná </v>
      </c>
      <c r="D199" s="53">
        <v>89115</v>
      </c>
      <c r="E199" s="52" t="str">
        <f>+VLOOKUP(A199,cennik!$A:$G,2,FALSE)</f>
        <v>SEVROLL 01469 Gemini horné vedenie 4,05m strieborná</v>
      </c>
      <c r="F199" s="52" t="str">
        <f>+VLOOKUP(A199,cennik!A:B,2,FALSE)</f>
        <v>SEVROLL 01469 Gemini horné vedenie 4,05m strieborná</v>
      </c>
      <c r="G199" s="1" t="e">
        <f>+VLOOKUP(A199,#REF!,4,FALSE)</f>
        <v>#REF!</v>
      </c>
      <c r="H199" s="1">
        <v>4050</v>
      </c>
      <c r="I199" s="1" t="str">
        <f>CONCATENATE(H199,"-",$J$4)</f>
        <v xml:space="preserve">4050-strieborná </v>
      </c>
      <c r="Z199" s="1" t="b">
        <f t="shared" ref="Z199:Z267" si="25">A199=D199</f>
        <v>1</v>
      </c>
    </row>
    <row r="200" spans="1:26" ht="15" customHeight="1" x14ac:dyDescent="0.25">
      <c r="A200" s="53">
        <v>134933</v>
      </c>
      <c r="B200" s="52"/>
      <c r="C200" s="1" t="str">
        <f>CONCATENATE(H200,"-",$J$4)</f>
        <v xml:space="preserve">6000-strieborná </v>
      </c>
      <c r="D200" s="53">
        <v>134933</v>
      </c>
      <c r="E200" s="52" t="str">
        <f>+VLOOKUP(A200,cennik!$A:$G,2,FALSE)</f>
        <v>SEVROLL 01391 Gemini horné vedenie 6m strieborná</v>
      </c>
      <c r="F200" s="52" t="str">
        <f>+VLOOKUP(A200,cennik!A:B,2,FALSE)</f>
        <v>SEVROLL 01391 Gemini horné vedenie 6m strieborná</v>
      </c>
      <c r="H200" s="1">
        <v>6000</v>
      </c>
      <c r="I200" s="1" t="str">
        <f>CONCATENATE(H200,"-",$J$4)</f>
        <v xml:space="preserve">6000-strieborná </v>
      </c>
      <c r="Z200" s="1" t="b">
        <f t="shared" si="25"/>
        <v>1</v>
      </c>
    </row>
    <row r="201" spans="1:26" ht="15" customHeight="1" x14ac:dyDescent="0.25">
      <c r="A201" s="53">
        <v>89104</v>
      </c>
      <c r="B201" s="52"/>
      <c r="C201" s="1" t="str">
        <f>CONCATENATE(H201,"-",$J$5)</f>
        <v>1700-zlatá</v>
      </c>
      <c r="D201" s="53">
        <v>89104</v>
      </c>
      <c r="E201" s="52" t="str">
        <f>+VLOOKUP(A201,cennik!$A:$G,2,FALSE)</f>
        <v>SEVROLL 01030 Gemini horné vedenie 1,7m zlatá</v>
      </c>
      <c r="F201" s="52" t="str">
        <f>+VLOOKUP(A201,cennik!A:B,2,FALSE)</f>
        <v>SEVROLL 01030 Gemini horné vedenie 1,7m zlatá</v>
      </c>
      <c r="G201" s="1" t="e">
        <f>+VLOOKUP(A201,#REF!,4,FALSE)</f>
        <v>#REF!</v>
      </c>
      <c r="H201" s="1">
        <v>1700</v>
      </c>
      <c r="I201" s="1" t="str">
        <f>CONCATENATE(H201,"-",$J$5)</f>
        <v>1700-zlatá</v>
      </c>
      <c r="Z201" s="1" t="b">
        <f t="shared" si="25"/>
        <v>1</v>
      </c>
    </row>
    <row r="202" spans="1:26" ht="15" customHeight="1" x14ac:dyDescent="0.25">
      <c r="A202" s="53">
        <v>89107</v>
      </c>
      <c r="B202" s="52"/>
      <c r="C202" s="1" t="str">
        <f>CONCATENATE(H202,"-",$J$5)</f>
        <v>2350-zlatá</v>
      </c>
      <c r="D202" s="53">
        <v>89107</v>
      </c>
      <c r="E202" s="52" t="str">
        <f>+VLOOKUP(A202,cennik!$A:$G,2,FALSE)</f>
        <v>SEVROLL 01032 Gemini horné vedenie 2,35m zlatá</v>
      </c>
      <c r="F202" s="52" t="str">
        <f>+VLOOKUP(A202,cennik!A:B,2,FALSE)</f>
        <v>SEVROLL 01032 Gemini horné vedenie 2,35m zlatá</v>
      </c>
      <c r="G202" s="1" t="e">
        <f>+VLOOKUP(A202,#REF!,4,FALSE)</f>
        <v>#REF!</v>
      </c>
      <c r="H202" s="1">
        <v>2350</v>
      </c>
      <c r="I202" s="1" t="str">
        <f>CONCATENATE(H202,"-",$J$5)</f>
        <v>2350-zlatá</v>
      </c>
      <c r="Z202" s="1" t="b">
        <f t="shared" si="25"/>
        <v>1</v>
      </c>
    </row>
    <row r="203" spans="1:26" ht="15" customHeight="1" x14ac:dyDescent="0.25">
      <c r="A203" s="53">
        <v>89110</v>
      </c>
      <c r="B203" s="52"/>
      <c r="C203" s="1" t="str">
        <f>CONCATENATE(H203,"-",$J$5)</f>
        <v>3000-zlatá</v>
      </c>
      <c r="D203" s="53">
        <v>89110</v>
      </c>
      <c r="E203" s="52" t="str">
        <f>+VLOOKUP(A203,cennik!$A:$G,2,FALSE)</f>
        <v>SEVROLL 01011 Gemini horné vedenie 3m zlatá</v>
      </c>
      <c r="F203" s="52" t="str">
        <f>+VLOOKUP(A203,cennik!A:B,2,FALSE)</f>
        <v>SEVROLL 01011 Gemini horné vedenie 3m zlatá</v>
      </c>
      <c r="G203" s="1" t="e">
        <f>+VLOOKUP(A203,#REF!,4,FALSE)</f>
        <v>#REF!</v>
      </c>
      <c r="H203" s="1">
        <v>3000</v>
      </c>
      <c r="I203" s="1" t="str">
        <f>CONCATENATE(H203,"-",$J$5)</f>
        <v>3000-zlatá</v>
      </c>
      <c r="Z203" s="1" t="b">
        <f t="shared" si="25"/>
        <v>1</v>
      </c>
    </row>
    <row r="204" spans="1:26" ht="15" customHeight="1" x14ac:dyDescent="0.25">
      <c r="A204" s="53">
        <v>89113</v>
      </c>
      <c r="B204" s="52"/>
      <c r="C204" s="1" t="str">
        <f>CONCATENATE(H204,"-",$J$5)</f>
        <v>4050-zlatá</v>
      </c>
      <c r="D204" s="53">
        <v>89113</v>
      </c>
      <c r="E204" s="52" t="str">
        <f>+VLOOKUP(A204,cennik!$A:$G,2,FALSE)</f>
        <v>SEVROLL 01462  Gemini horné vedenie 4,05m zlatá</v>
      </c>
      <c r="F204" s="52" t="str">
        <f>+VLOOKUP(A204,cennik!A:B,2,FALSE)</f>
        <v>SEVROLL 01462  Gemini horné vedenie 4,05m zlatá</v>
      </c>
      <c r="G204" s="1" t="e">
        <f>+VLOOKUP(A204,#REF!,4,FALSE)</f>
        <v>#REF!</v>
      </c>
      <c r="H204" s="1">
        <v>4050</v>
      </c>
      <c r="I204" s="1" t="str">
        <f>CONCATENATE(H204,"-",$J$5)</f>
        <v>4050-zlatá</v>
      </c>
      <c r="Z204" s="1" t="b">
        <f t="shared" si="25"/>
        <v>1</v>
      </c>
    </row>
    <row r="205" spans="1:26" ht="15" customHeight="1" x14ac:dyDescent="0.25">
      <c r="A205" s="53">
        <v>134935</v>
      </c>
      <c r="B205" s="52"/>
      <c r="C205" s="1" t="str">
        <f>CONCATENATE(H205,"-",$J$5)</f>
        <v>6000-zlatá</v>
      </c>
      <c r="D205" s="53">
        <v>134935</v>
      </c>
      <c r="E205" s="52" t="str">
        <f>+VLOOKUP(A205,cennik!$A:$G,2,FALSE)</f>
        <v>SEVROLL 01392 Gemini horné vedenie 6m zlatá</v>
      </c>
      <c r="F205" s="52" t="str">
        <f>+VLOOKUP(A205,cennik!A:B,2,FALSE)</f>
        <v>SEVROLL 01392 Gemini horné vedenie 6m zlatá</v>
      </c>
      <c r="H205" s="1">
        <v>6000</v>
      </c>
      <c r="I205" s="1" t="str">
        <f>CONCATENATE(H205,"-",$J$5)</f>
        <v>6000-zlatá</v>
      </c>
      <c r="Z205" s="1" t="b">
        <f t="shared" si="25"/>
        <v>1</v>
      </c>
    </row>
    <row r="206" spans="1:26" ht="15" customHeight="1" x14ac:dyDescent="0.25">
      <c r="A206" s="53">
        <v>409670</v>
      </c>
      <c r="B206" s="52"/>
      <c r="C206" s="1" t="str">
        <f>CONCATENATE(H206,"-",$J$17)</f>
        <v>2350-čierna mat</v>
      </c>
      <c r="D206" s="53">
        <v>409670</v>
      </c>
      <c r="E206" s="52" t="str">
        <f>+VLOOKUP(A206,cennik!$A:$G,2,FALSE)</f>
        <v>SEVROLL 05314 Gemini horné vedenie 2,35m čierna mat</v>
      </c>
      <c r="F206" s="52" t="str">
        <f>+VLOOKUP(A206,cennik!A:B,2,FALSE)</f>
        <v>SEVROLL 05314 Gemini horné vedenie 2,35m čierna mat</v>
      </c>
      <c r="H206" s="1">
        <v>2350</v>
      </c>
      <c r="I206" s="1" t="str">
        <f>CONCATENATE(H206,"-",$J$17)</f>
        <v>2350-čierna mat</v>
      </c>
      <c r="Z206" s="1" t="b">
        <f t="shared" si="25"/>
        <v>1</v>
      </c>
    </row>
    <row r="207" spans="1:26" ht="15" customHeight="1" x14ac:dyDescent="0.25">
      <c r="A207" s="53">
        <v>409674</v>
      </c>
      <c r="B207" s="52"/>
      <c r="C207" s="1" t="str">
        <f>CONCATENATE(H207,"-",$J$17)</f>
        <v>4050-čierna mat</v>
      </c>
      <c r="D207" s="53">
        <v>409674</v>
      </c>
      <c r="E207" s="52" t="str">
        <f>+VLOOKUP(A207,cennik!$A:$G,2,FALSE)</f>
        <v>SEVROLL 04835 Gemini horné vedenie  4,05m čierna mat</v>
      </c>
      <c r="F207" s="52" t="str">
        <f>+VLOOKUP(A207,cennik!A:B,2,FALSE)</f>
        <v>SEVROLL 04835 Gemini horné vedenie  4,05m čierna mat</v>
      </c>
      <c r="G207" s="52" t="e">
        <f>+VLOOKUP(C207,cennik!$A:$G,2,FALSE)</f>
        <v>#N/A</v>
      </c>
      <c r="H207" s="1">
        <v>4050</v>
      </c>
      <c r="I207" s="1" t="str">
        <f>CONCATENATE(H207,"-",$J$17)</f>
        <v>4050-čierna mat</v>
      </c>
      <c r="Z207" s="1" t="b">
        <f t="shared" si="25"/>
        <v>1</v>
      </c>
    </row>
    <row r="208" spans="1:26" ht="15" customHeight="1" x14ac:dyDescent="0.25">
      <c r="A208" s="53">
        <v>412229</v>
      </c>
      <c r="B208" s="52"/>
      <c r="C208" s="1" t="str">
        <f t="shared" ref="C208:C210" si="26">CONCATENATE(H208,"-",$J$17)</f>
        <v>3000-čierna mat</v>
      </c>
      <c r="D208" s="53">
        <v>412229</v>
      </c>
      <c r="E208" s="52" t="str">
        <f>+VLOOKUP(A208,cennik!$A:$G,2,FALSE)</f>
        <v>SEVROLL 05315 Gemini horné vedenie 3m čierna mat</v>
      </c>
      <c r="F208" s="52" t="str">
        <f>+VLOOKUP(A208,cennik!A:B,2,FALSE)</f>
        <v>SEVROLL 05315 Gemini horné vedenie 3m čierna mat</v>
      </c>
      <c r="H208" s="1">
        <v>3000</v>
      </c>
      <c r="I208" s="1" t="str">
        <f t="shared" ref="I208:I210" si="27">CONCATENATE(H208,"-",$J$17)</f>
        <v>3000-čierna mat</v>
      </c>
      <c r="Z208" s="1" t="b">
        <f t="shared" si="25"/>
        <v>1</v>
      </c>
    </row>
    <row r="209" spans="1:26" ht="15" customHeight="1" x14ac:dyDescent="0.25">
      <c r="A209" s="53">
        <v>422008</v>
      </c>
      <c r="B209" s="52"/>
      <c r="C209" s="1" t="str">
        <f t="shared" si="26"/>
        <v>1700-čierna mat</v>
      </c>
      <c r="D209" s="53">
        <v>422008</v>
      </c>
      <c r="E209" s="52" t="str">
        <f>+VLOOKUP(A209,cennik!$A:$G,2,FALSE)</f>
        <v>SEVROLL 05313 Gemini horné vedenie 1,7m čierna mat</v>
      </c>
      <c r="F209" s="52" t="str">
        <f>+VLOOKUP(A209,cennik!A:B,2,FALSE)</f>
        <v>SEVROLL 05313 Gemini horné vedenie 1,7m čierna mat</v>
      </c>
      <c r="H209" s="1">
        <v>1700</v>
      </c>
      <c r="I209" s="1" t="str">
        <f t="shared" si="27"/>
        <v>1700-čierna mat</v>
      </c>
      <c r="Z209" s="1" t="b">
        <f t="shared" si="25"/>
        <v>1</v>
      </c>
    </row>
    <row r="210" spans="1:26" ht="15" customHeight="1" x14ac:dyDescent="0.25">
      <c r="A210" s="53">
        <v>452736</v>
      </c>
      <c r="B210" s="52"/>
      <c r="C210" s="1" t="str">
        <f t="shared" si="26"/>
        <v>6000-čierna mat</v>
      </c>
      <c r="D210" s="53">
        <v>452736</v>
      </c>
      <c r="E210" s="52" t="str">
        <f>+VLOOKUP(A210,cennik!$A:$G,2,FALSE)</f>
        <v>SEVROLL 05316 Gemini horné vedenie 6m čierna mat</v>
      </c>
      <c r="F210" s="52" t="str">
        <f>+VLOOKUP(A210,cennik!A:B,2,FALSE)</f>
        <v>SEVROLL 05316 Gemini horné vedenie 6m čierna mat</v>
      </c>
      <c r="H210" s="1">
        <v>6000</v>
      </c>
      <c r="I210" s="1" t="str">
        <f t="shared" si="27"/>
        <v>6000-čierna mat</v>
      </c>
      <c r="Z210" s="1" t="b">
        <f t="shared" si="25"/>
        <v>1</v>
      </c>
    </row>
    <row r="211" spans="1:26" ht="15" customHeight="1" x14ac:dyDescent="0.25">
      <c r="A211" s="53">
        <v>89105</v>
      </c>
      <c r="B211" s="52"/>
      <c r="C211" s="1" t="str">
        <f>CONCATENATE(H211,"-",$J$6)</f>
        <v>1700-oliva</v>
      </c>
      <c r="D211" s="53">
        <v>89105</v>
      </c>
      <c r="E211" s="52" t="str">
        <f>+VLOOKUP(A211,cennik!$A:$G,2,FALSE)</f>
        <v>SEVROLL 01008 Gemini horné vedenie 1,7m oliva</v>
      </c>
      <c r="F211" s="52" t="str">
        <f>+VLOOKUP(A211,cennik!A:B,2,FALSE)</f>
        <v>SEVROLL 01008 Gemini horné vedenie 1,7m oliva</v>
      </c>
      <c r="G211" s="1" t="e">
        <f>+VLOOKUP(A211,#REF!,4,FALSE)</f>
        <v>#REF!</v>
      </c>
      <c r="H211" s="1">
        <v>1700</v>
      </c>
      <c r="I211" s="1" t="str">
        <f>CONCATENATE(H211,"-",$J$6)</f>
        <v>1700-oliva</v>
      </c>
      <c r="Z211" s="1" t="b">
        <f t="shared" si="25"/>
        <v>1</v>
      </c>
    </row>
    <row r="212" spans="1:26" ht="15" customHeight="1" x14ac:dyDescent="0.25">
      <c r="A212" s="53">
        <v>89108</v>
      </c>
      <c r="B212" s="52"/>
      <c r="C212" s="1" t="str">
        <f>CONCATENATE(H212,"-",$J$6)</f>
        <v>2350-oliva</v>
      </c>
      <c r="D212" s="53">
        <v>89108</v>
      </c>
      <c r="E212" s="52" t="str">
        <f>+VLOOKUP(A212,cennik!$A:$G,2,FALSE)</f>
        <v>SEVROLL 01010 Gemini horné vedenie 2,35m oliva</v>
      </c>
      <c r="F212" s="52" t="str">
        <f>+VLOOKUP(A212,cennik!A:B,2,FALSE)</f>
        <v>SEVROLL 01010 Gemini horné vedenie 2,35m oliva</v>
      </c>
      <c r="G212" s="1" t="e">
        <f>+VLOOKUP(A212,#REF!,4,FALSE)</f>
        <v>#REF!</v>
      </c>
      <c r="H212" s="1">
        <v>2350</v>
      </c>
      <c r="I212" s="1" t="str">
        <f>CONCATENATE(H212,"-",$J$6)</f>
        <v>2350-oliva</v>
      </c>
      <c r="Z212" s="1" t="b">
        <f t="shared" si="25"/>
        <v>1</v>
      </c>
    </row>
    <row r="213" spans="1:26" ht="15" customHeight="1" x14ac:dyDescent="0.25">
      <c r="A213" s="53">
        <v>89111</v>
      </c>
      <c r="B213" s="52"/>
      <c r="C213" s="1" t="str">
        <f>CONCATENATE(H213,"-",$J$6)</f>
        <v>3000-oliva</v>
      </c>
      <c r="D213" s="53">
        <v>89111</v>
      </c>
      <c r="E213" s="52" t="str">
        <f>+VLOOKUP(A213,cennik!$A:$G,2,FALSE)</f>
        <v>SEVROLL 01011 Gemini horné vedenie 3m oliva</v>
      </c>
      <c r="F213" s="52" t="str">
        <f>+VLOOKUP(A213,cennik!A:B,2,FALSE)</f>
        <v>SEVROLL 01011 Gemini horné vedenie 3m oliva</v>
      </c>
      <c r="G213" s="1" t="e">
        <f>+VLOOKUP(A213,#REF!,4,FALSE)</f>
        <v>#REF!</v>
      </c>
      <c r="H213" s="1">
        <v>3000</v>
      </c>
      <c r="I213" s="1" t="str">
        <f>CONCATENATE(H213,"-",$J$6)</f>
        <v>3000-oliva</v>
      </c>
      <c r="Z213" s="1" t="b">
        <f t="shared" si="25"/>
        <v>1</v>
      </c>
    </row>
    <row r="214" spans="1:26" ht="15" customHeight="1" x14ac:dyDescent="0.25">
      <c r="A214" s="53">
        <v>89114</v>
      </c>
      <c r="B214" s="52"/>
      <c r="C214" s="1" t="str">
        <f>CONCATENATE(H214,"-",$J$6)</f>
        <v>4050-oliva</v>
      </c>
      <c r="D214" s="53">
        <v>89114</v>
      </c>
      <c r="E214" s="52" t="str">
        <f>+VLOOKUP(A214,cennik!$A:$G,2,FALSE)</f>
        <v>SEVROLL 01439 Gemini horné vedenie 4,05m oliva</v>
      </c>
      <c r="F214" s="52" t="str">
        <f>+VLOOKUP(A214,cennik!A:B,2,FALSE)</f>
        <v>SEVROLL 01439 Gemini horné vedenie 4,05m oliva</v>
      </c>
      <c r="G214" s="1" t="e">
        <f>+VLOOKUP(A214,#REF!,4,FALSE)</f>
        <v>#REF!</v>
      </c>
      <c r="H214" s="1">
        <v>4050</v>
      </c>
      <c r="I214" s="1" t="str">
        <f>CONCATENATE(H214,"-",$J$6)</f>
        <v>4050-oliva</v>
      </c>
      <c r="Z214" s="1" t="b">
        <f t="shared" si="25"/>
        <v>1</v>
      </c>
    </row>
    <row r="215" spans="1:26" ht="15" customHeight="1" x14ac:dyDescent="0.25">
      <c r="A215" s="53">
        <v>134934</v>
      </c>
      <c r="B215" s="52"/>
      <c r="C215" s="1" t="str">
        <f>CONCATENATE(H215,"-",$J$6)</f>
        <v>6000-oliva</v>
      </c>
      <c r="D215" s="53">
        <v>134934</v>
      </c>
      <c r="E215" s="52" t="str">
        <f>+VLOOKUP(A215,cennik!$A:$G,2,FALSE)</f>
        <v>SEVROLL Gemini horné vedenie 6m oliva</v>
      </c>
      <c r="F215" s="52" t="str">
        <f>+VLOOKUP(A215,cennik!A:B,2,FALSE)</f>
        <v>SEVROLL Gemini horné vedenie 6m oliva</v>
      </c>
      <c r="H215" s="1">
        <v>6000</v>
      </c>
      <c r="I215" s="1" t="str">
        <f>CONCATENATE(H215,"-",$J$6)</f>
        <v>6000-oliva</v>
      </c>
      <c r="Z215" s="1" t="b">
        <f t="shared" si="25"/>
        <v>1</v>
      </c>
    </row>
    <row r="216" spans="1:26" ht="15" customHeight="1" x14ac:dyDescent="0.25">
      <c r="A216" s="53">
        <v>119459</v>
      </c>
      <c r="B216" s="52"/>
      <c r="C216" s="1" t="str">
        <f>CONCATENATE(H216,"-",$J$7)</f>
        <v>1700-oliva kartáčovaná</v>
      </c>
      <c r="D216" s="53">
        <v>119459</v>
      </c>
      <c r="E216" s="52" t="str">
        <f>+VLOOKUP(A216,cennik!$A:$G,2,FALSE)</f>
        <v>SEVROLL Gemini HORNÉ VEDENIE 1,70M OLIVA</v>
      </c>
      <c r="F216" s="52" t="str">
        <f>+VLOOKUP(A216,cennik!A:B,2,FALSE)</f>
        <v>SEVROLL Gemini HORNÉ VEDENIE 1,70M OLIVA</v>
      </c>
      <c r="H216" s="1">
        <v>1700</v>
      </c>
      <c r="I216" s="1" t="str">
        <f>CONCATENATE(H216,"-",$J$7)</f>
        <v>1700-oliva kartáčovaná</v>
      </c>
      <c r="Z216" s="1" t="b">
        <f t="shared" si="25"/>
        <v>1</v>
      </c>
    </row>
    <row r="217" spans="1:26" ht="15" customHeight="1" x14ac:dyDescent="0.25">
      <c r="A217" s="53">
        <v>120864</v>
      </c>
      <c r="B217" s="52"/>
      <c r="C217" s="1" t="str">
        <f>CONCATENATE(H217,"-",$J$7)</f>
        <v>2350-oliva kartáčovaná</v>
      </c>
      <c r="D217" s="53">
        <v>120864</v>
      </c>
      <c r="E217" s="52" t="str">
        <f>+VLOOKUP(A217,cennik!$A:$G,2,FALSE)</f>
        <v>SEVROLL Gemini horné vedenie 2,35M OLIVA</v>
      </c>
      <c r="F217" s="52" t="str">
        <f>+VLOOKUP(A217,cennik!A:B,2,FALSE)</f>
        <v>SEVROLL Gemini horné vedenie 2,35M OLIVA</v>
      </c>
      <c r="H217" s="1">
        <v>2350</v>
      </c>
      <c r="I217" s="1" t="str">
        <f>CONCATENATE(H217,"-",$J$7)</f>
        <v>2350-oliva kartáčovaná</v>
      </c>
      <c r="Z217" s="1" t="b">
        <f t="shared" si="25"/>
        <v>1</v>
      </c>
    </row>
    <row r="218" spans="1:26" ht="15" customHeight="1" x14ac:dyDescent="0.25">
      <c r="A218" s="53">
        <v>120865</v>
      </c>
      <c r="B218" s="52"/>
      <c r="C218" s="1" t="str">
        <f>CONCATENATE(H218,"-",$J$7)</f>
        <v>3000-oliva kartáčovaná</v>
      </c>
      <c r="D218" s="53">
        <v>120865</v>
      </c>
      <c r="E218" s="52" t="str">
        <f>+VLOOKUP(A218,cennik!$A:$G,2,FALSE)</f>
        <v>SEVROLL Gemini horné vedenie 3M OLIVA KA</v>
      </c>
      <c r="F218" s="52" t="str">
        <f>+VLOOKUP(A218,cennik!A:B,2,FALSE)</f>
        <v>SEVROLL Gemini horné vedenie 3M OLIVA KA</v>
      </c>
      <c r="H218" s="1">
        <v>3000</v>
      </c>
      <c r="I218" s="1" t="str">
        <f>CONCATENATE(H218,"-",$J$7)</f>
        <v>3000-oliva kartáčovaná</v>
      </c>
      <c r="Z218" s="1" t="b">
        <f t="shared" si="25"/>
        <v>1</v>
      </c>
    </row>
    <row r="219" spans="1:26" ht="15" customHeight="1" x14ac:dyDescent="0.25">
      <c r="A219" s="53">
        <v>120867</v>
      </c>
      <c r="B219" s="52"/>
      <c r="C219" s="1" t="str">
        <f>CONCATENATE(H219,"-",$J$7)</f>
        <v>4050-oliva kartáčovaná</v>
      </c>
      <c r="D219" s="53">
        <v>120867</v>
      </c>
      <c r="E219" s="52" t="str">
        <f>+VLOOKUP(A219,cennik!$A:$G,2,FALSE)</f>
        <v>SEVROLL Gemini horné vedenie 4,05M oliva kartáčovaná</v>
      </c>
      <c r="F219" s="52" t="str">
        <f>+VLOOKUP(A219,cennik!A:B,2,FALSE)</f>
        <v>SEVROLL Gemini horné vedenie 4,05M oliva kartáčovaná</v>
      </c>
      <c r="H219" s="1">
        <v>4050</v>
      </c>
      <c r="I219" s="1" t="str">
        <f>CONCATENATE(H219,"-",$J$7)</f>
        <v>4050-oliva kartáčovaná</v>
      </c>
      <c r="Z219" s="1" t="b">
        <f t="shared" si="25"/>
        <v>1</v>
      </c>
    </row>
    <row r="220" spans="1:26" ht="15" customHeight="1" x14ac:dyDescent="0.25">
      <c r="A220" s="53">
        <v>225370</v>
      </c>
      <c r="B220" s="52"/>
      <c r="C220" s="1" t="str">
        <f>CONCATENATE(H220,"-",$J$7)</f>
        <v>6000-oliva kartáčovaná</v>
      </c>
      <c r="D220" s="53">
        <v>225370</v>
      </c>
      <c r="E220" s="52" t="str">
        <f>+VLOOKUP(A220,cennik!$A:$G,2,FALSE)</f>
        <v>SEVROLL Gemini horné vedenie 6m oliva kartáč</v>
      </c>
      <c r="F220" s="52" t="str">
        <f>+VLOOKUP(A220,cennik!A:B,2,FALSE)</f>
        <v>SEVROLL Gemini horné vedenie 6m oliva kartáč</v>
      </c>
      <c r="H220" s="1">
        <v>6000</v>
      </c>
      <c r="I220" s="1" t="str">
        <f>CONCATENATE(H220,"-",$J$7)</f>
        <v>6000-oliva kartáčovaná</v>
      </c>
      <c r="Z220" s="1" t="b">
        <f t="shared" si="25"/>
        <v>1</v>
      </c>
    </row>
    <row r="221" spans="1:26" ht="15" customHeight="1" x14ac:dyDescent="0.25">
      <c r="A221" s="53">
        <v>205162</v>
      </c>
      <c r="B221" s="52"/>
      <c r="C221" s="1" t="str">
        <f>CONCATENATE(H221,"-",$J$8)</f>
        <v>1700-kart. tm. oliva</v>
      </c>
      <c r="D221" s="53">
        <v>205162</v>
      </c>
      <c r="E221" s="52" t="str">
        <f>+VLOOKUP(A221,cennik!$A:$G,2,FALSE)</f>
        <v>SEVROLL 03119 Gemini horné vedenie 1,7m oliva tmavá kartáčovaná</v>
      </c>
      <c r="F221" s="52" t="str">
        <f>+VLOOKUP(A221,cennik!A:B,2,FALSE)</f>
        <v>SEVROLL 03119 Gemini horné vedenie 1,7m oliva tmavá kartáčovaná</v>
      </c>
      <c r="H221" s="1">
        <v>1700</v>
      </c>
      <c r="I221" s="1" t="str">
        <f>CONCATENATE(H221,"-",$J$8)</f>
        <v>1700-kart. tm. oliva</v>
      </c>
      <c r="Z221" s="1" t="b">
        <f t="shared" si="25"/>
        <v>1</v>
      </c>
    </row>
    <row r="222" spans="1:26" ht="15" customHeight="1" x14ac:dyDescent="0.25">
      <c r="A222" s="53">
        <v>205164</v>
      </c>
      <c r="B222" s="52"/>
      <c r="C222" s="1" t="str">
        <f>CONCATENATE(H222,"-",$J$8)</f>
        <v>2350-kart. tm. oliva</v>
      </c>
      <c r="D222" s="53">
        <v>205164</v>
      </c>
      <c r="E222" s="52" t="str">
        <f>+VLOOKUP(A222,cennik!$A:$G,2,FALSE)</f>
        <v>SEVROLL 03120 Gemini horné vedenie 2,35m oliva tmavá kartáčovaná</v>
      </c>
      <c r="F222" s="52" t="str">
        <f>+VLOOKUP(A222,cennik!A:B,2,FALSE)</f>
        <v>SEVROLL 03120 Gemini horné vedenie 2,35m oliva tmavá kartáčovaná</v>
      </c>
      <c r="H222" s="1">
        <v>2350</v>
      </c>
      <c r="I222" s="1" t="str">
        <f>CONCATENATE(H222,"-",$J$8)</f>
        <v>2350-kart. tm. oliva</v>
      </c>
      <c r="Z222" s="1" t="b">
        <f t="shared" si="25"/>
        <v>1</v>
      </c>
    </row>
    <row r="223" spans="1:26" ht="15" customHeight="1" x14ac:dyDescent="0.25">
      <c r="A223" s="53">
        <v>205166</v>
      </c>
      <c r="B223" s="52"/>
      <c r="C223" s="1" t="str">
        <f>CONCATENATE(H223,"-",$J$8)</f>
        <v>3000-kart. tm. oliva</v>
      </c>
      <c r="D223" s="53">
        <v>205166</v>
      </c>
      <c r="E223" s="52" t="str">
        <f>+VLOOKUP(A223,cennik!$A:$G,2,FALSE)</f>
        <v>SEVROLL 03121 Gemini horné vedenie 3m oliva tmavá kartáčovaná</v>
      </c>
      <c r="F223" s="52" t="str">
        <f>+VLOOKUP(A223,cennik!A:B,2,FALSE)</f>
        <v>SEVROLL 03121 Gemini horné vedenie 3m oliva tmavá kartáčovaná</v>
      </c>
      <c r="H223" s="1">
        <v>3000</v>
      </c>
      <c r="I223" s="1" t="str">
        <f>CONCATENATE(H223,"-",$J$8)</f>
        <v>3000-kart. tm. oliva</v>
      </c>
      <c r="Z223" s="1" t="b">
        <f t="shared" si="25"/>
        <v>1</v>
      </c>
    </row>
    <row r="224" spans="1:26" ht="15" customHeight="1" x14ac:dyDescent="0.25">
      <c r="A224" s="53">
        <v>205168</v>
      </c>
      <c r="B224" s="52"/>
      <c r="C224" s="1" t="str">
        <f>CONCATENATE(H224,"-",$J$8)</f>
        <v>4050-kart. tm. oliva</v>
      </c>
      <c r="D224" s="53">
        <v>205168</v>
      </c>
      <c r="E224" s="52" t="str">
        <f>+VLOOKUP(A224,cennik!$A:$G,2,FALSE)</f>
        <v>SEVROLL 03122 Gemini horné vedenie 4,05m oliva tmavá kartáčovaná</v>
      </c>
      <c r="F224" s="52" t="str">
        <f>+VLOOKUP(A224,cennik!A:B,2,FALSE)</f>
        <v>SEVROLL 03122 Gemini horné vedenie 4,05m oliva tmavá kartáčovaná</v>
      </c>
      <c r="H224" s="1">
        <v>4050</v>
      </c>
      <c r="I224" s="1" t="str">
        <f>CONCATENATE(H224,"-",$J$8)</f>
        <v>4050-kart. tm. oliva</v>
      </c>
      <c r="Z224" s="1" t="b">
        <f t="shared" si="25"/>
        <v>1</v>
      </c>
    </row>
    <row r="225" spans="1:26" ht="15" customHeight="1" x14ac:dyDescent="0.25">
      <c r="A225" s="53">
        <v>225371</v>
      </c>
      <c r="B225" s="52"/>
      <c r="C225" s="1" t="str">
        <f>CONCATENATE(H225,"-",$J$8)</f>
        <v>6000-kart. tm. oliva</v>
      </c>
      <c r="D225" s="53">
        <v>225371</v>
      </c>
      <c r="E225" s="52" t="str">
        <f>+VLOOKUP(A225,cennik!$A:$G,2,FALSE)</f>
        <v>SEVROLL Gemini horné vedenie 6m oliva tmavá</v>
      </c>
      <c r="F225" s="52" t="str">
        <f>+VLOOKUP(A225,cennik!A:B,2,FALSE)</f>
        <v>SEVROLL Gemini horné vedenie 6m oliva tmavá</v>
      </c>
      <c r="H225" s="1">
        <v>6000</v>
      </c>
      <c r="I225" s="1" t="str">
        <f>CONCATENATE(H225,"-",$J$8)</f>
        <v>6000-kart. tm. oliva</v>
      </c>
      <c r="Z225" s="1" t="b">
        <f t="shared" si="25"/>
        <v>1</v>
      </c>
    </row>
    <row r="226" spans="1:26" ht="15" customHeight="1" x14ac:dyDescent="0.25">
      <c r="A226" s="53">
        <v>205163</v>
      </c>
      <c r="B226" s="52"/>
      <c r="C226" s="1" t="str">
        <f>CONCATENATE(H226,"-",$J$9)</f>
        <v>1700-kart. čierna</v>
      </c>
      <c r="D226" s="53">
        <v>205163</v>
      </c>
      <c r="E226" s="52" t="str">
        <f>+VLOOKUP(A226,cennik!$A:$G,2,FALSE)</f>
        <v>SEVROLL Gemini horné vedenie 1,7m čierna kar</v>
      </c>
      <c r="F226" s="52" t="str">
        <f>+VLOOKUP(A226,cennik!A:B,2,FALSE)</f>
        <v>SEVROLL Gemini horné vedenie 1,7m čierna kar</v>
      </c>
      <c r="H226" s="1">
        <v>1700</v>
      </c>
      <c r="I226" s="1" t="str">
        <f>CONCATENATE(H226,"-",$J$9)</f>
        <v>1700-kart. čierna</v>
      </c>
      <c r="Z226" s="1" t="b">
        <f t="shared" si="25"/>
        <v>1</v>
      </c>
    </row>
    <row r="227" spans="1:26" ht="15" customHeight="1" x14ac:dyDescent="0.25">
      <c r="A227" s="53">
        <v>205165</v>
      </c>
      <c r="B227" s="52"/>
      <c r="C227" s="1" t="str">
        <f>CONCATENATE(H227,"-",$J$9)</f>
        <v>2350-kart. čierna</v>
      </c>
      <c r="D227" s="53">
        <v>205165</v>
      </c>
      <c r="E227" s="52" t="str">
        <f>+VLOOKUP(A227,cennik!$A:$G,2,FALSE)</f>
        <v>SEVROLL Gemini horné vedenie 2,35m čierna ka</v>
      </c>
      <c r="F227" s="52" t="str">
        <f>+VLOOKUP(A227,cennik!A:B,2,FALSE)</f>
        <v>SEVROLL Gemini horné vedenie 2,35m čierna ka</v>
      </c>
      <c r="H227" s="1">
        <v>2350</v>
      </c>
      <c r="I227" s="1" t="str">
        <f>CONCATENATE(H227,"-",$J$9)</f>
        <v>2350-kart. čierna</v>
      </c>
      <c r="Z227" s="1" t="b">
        <f t="shared" si="25"/>
        <v>1</v>
      </c>
    </row>
    <row r="228" spans="1:26" ht="15" customHeight="1" x14ac:dyDescent="0.25">
      <c r="A228" s="53">
        <v>205167</v>
      </c>
      <c r="B228" s="52"/>
      <c r="C228" s="1" t="str">
        <f>CONCATENATE(H228,"-",$J$9)</f>
        <v>3000-kart. čierna</v>
      </c>
      <c r="D228" s="53">
        <v>205167</v>
      </c>
      <c r="E228" s="52" t="str">
        <f>+VLOOKUP(A228,cennik!$A:$G,2,FALSE)</f>
        <v>SEVROLL Gemini horné vedenie 3m čierna kartá</v>
      </c>
      <c r="F228" s="52" t="str">
        <f>+VLOOKUP(A228,cennik!A:B,2,FALSE)</f>
        <v>SEVROLL Gemini horné vedenie 3m čierna kartá</v>
      </c>
      <c r="H228" s="1">
        <v>3000</v>
      </c>
      <c r="I228" s="1" t="str">
        <f>CONCATENATE(H228,"-",$J$9)</f>
        <v>3000-kart. čierna</v>
      </c>
      <c r="Z228" s="1" t="b">
        <f t="shared" si="25"/>
        <v>1</v>
      </c>
    </row>
    <row r="229" spans="1:26" ht="15" customHeight="1" x14ac:dyDescent="0.25">
      <c r="A229" s="53">
        <v>205169</v>
      </c>
      <c r="B229" s="52"/>
      <c r="C229" s="1" t="str">
        <f>CONCATENATE(H229,"-",$J$9)</f>
        <v>4050-kart. čierna</v>
      </c>
      <c r="D229" s="53">
        <v>205169</v>
      </c>
      <c r="E229" s="52" t="str">
        <f>+VLOOKUP(A229,cennik!$A:$G,2,FALSE)</f>
        <v>SEVROLL Gemini horné vedenie 4,05m čierna ka</v>
      </c>
      <c r="F229" s="52" t="str">
        <f>+VLOOKUP(A229,cennik!A:B,2,FALSE)</f>
        <v>SEVROLL Gemini horné vedenie 4,05m čierna ka</v>
      </c>
      <c r="H229" s="1">
        <v>4050</v>
      </c>
      <c r="I229" s="1" t="str">
        <f>CONCATENATE(H229,"-",$J$9)</f>
        <v>4050-kart. čierna</v>
      </c>
      <c r="Z229" s="1" t="b">
        <f t="shared" si="25"/>
        <v>1</v>
      </c>
    </row>
    <row r="230" spans="1:26" ht="15" customHeight="1" x14ac:dyDescent="0.25">
      <c r="A230" s="52">
        <v>225372</v>
      </c>
      <c r="B230" s="52"/>
      <c r="C230" s="1" t="str">
        <f>CONCATENATE(H230,"-",$J$9)</f>
        <v>6000-kart. čierna</v>
      </c>
      <c r="D230" s="52">
        <v>225372</v>
      </c>
      <c r="E230" s="52" t="str">
        <f>+VLOOKUP(A230,cennik!$A:$G,2,FALSE)</f>
        <v>SEVROLL Gemini horné vedenie 6m čierna kartá</v>
      </c>
      <c r="F230" s="52" t="str">
        <f>+VLOOKUP(A230,cennik!A:B,2,FALSE)</f>
        <v>SEVROLL Gemini horné vedenie 6m čierna kartá</v>
      </c>
      <c r="H230" s="1">
        <v>6000</v>
      </c>
      <c r="I230" s="1" t="str">
        <f>CONCATENATE(H230,"-",$J$9)</f>
        <v>6000-kart. čierna</v>
      </c>
      <c r="Z230" s="1" t="b">
        <f t="shared" si="25"/>
        <v>1</v>
      </c>
    </row>
    <row r="231" spans="1:26" ht="15" customHeight="1" x14ac:dyDescent="0.25">
      <c r="A231" s="53">
        <v>276751</v>
      </c>
      <c r="B231" s="52"/>
      <c r="C231" s="1" t="str">
        <f>CONCATENATE(H231,"-",$J$15)</f>
        <v>1700-biela lesk</v>
      </c>
      <c r="D231" s="53">
        <v>276751</v>
      </c>
      <c r="E231" s="52" t="str">
        <f>+VLOOKUP(A231,cennik!$A:$G,2,FALSE)</f>
        <v>SEVROLL 04059 Gemini horné vedenie  1,7m biela lesk</v>
      </c>
      <c r="F231" s="52" t="str">
        <f>+VLOOKUP(A231,cennik!A:B,2,FALSE)</f>
        <v>SEVROLL 04059 Gemini horné vedenie  1,7m biela lesk</v>
      </c>
      <c r="H231" s="1">
        <v>1700</v>
      </c>
      <c r="I231" s="1" t="str">
        <f>CONCATENATE(H231,"-",$J$15)</f>
        <v>1700-biela lesk</v>
      </c>
      <c r="Z231" s="1" t="b">
        <f t="shared" si="25"/>
        <v>1</v>
      </c>
    </row>
    <row r="232" spans="1:26" ht="15" customHeight="1" x14ac:dyDescent="0.25">
      <c r="A232" s="53">
        <v>267882</v>
      </c>
      <c r="B232" s="52"/>
      <c r="C232" s="1" t="str">
        <f>CONCATENATE(H232,"-",$J$15)</f>
        <v>2350-biela lesk</v>
      </c>
      <c r="D232" s="53">
        <v>267882</v>
      </c>
      <c r="E232" s="52" t="str">
        <f>+VLOOKUP(A232,cennik!$A:$G,2,FALSE)</f>
        <v>SEVROLL 04060 Gemini horné vedenie  2,35m biela lesk</v>
      </c>
      <c r="F232" s="52" t="str">
        <f>+VLOOKUP(A232,cennik!A:B,2,FALSE)</f>
        <v>SEVROLL 04060 Gemini horné vedenie  2,35m biela lesk</v>
      </c>
      <c r="H232" s="1">
        <v>2350</v>
      </c>
      <c r="I232" s="1" t="str">
        <f>CONCATENATE(H232,"-",$J$15)</f>
        <v>2350-biela lesk</v>
      </c>
      <c r="Z232" s="1" t="b">
        <f t="shared" si="25"/>
        <v>1</v>
      </c>
    </row>
    <row r="233" spans="1:26" ht="15" customHeight="1" x14ac:dyDescent="0.25">
      <c r="A233" s="53">
        <v>252566</v>
      </c>
      <c r="B233" s="52"/>
      <c r="C233" s="1" t="str">
        <f>CONCATENATE(H233,"-",$J$15)</f>
        <v>3000-biela lesk</v>
      </c>
      <c r="D233" s="53">
        <v>252566</v>
      </c>
      <c r="E233" s="52" t="str">
        <f>+VLOOKUP(A233,cennik!$A:$G,2,FALSE)</f>
        <v>SEVROLL 04016 Gemini horné vedenie 3m biela lesk</v>
      </c>
      <c r="F233" s="52" t="str">
        <f>+VLOOKUP(A233,cennik!A:B,2,FALSE)</f>
        <v>SEVROLL 04016 Gemini horné vedenie 3m biela lesk</v>
      </c>
      <c r="H233" s="1">
        <v>3000</v>
      </c>
      <c r="I233" s="1" t="str">
        <f>CONCATENATE(H233,"-",$J$15)</f>
        <v>3000-biela lesk</v>
      </c>
      <c r="Z233" s="1" t="b">
        <f t="shared" si="25"/>
        <v>1</v>
      </c>
    </row>
    <row r="234" spans="1:26" ht="15" customHeight="1" x14ac:dyDescent="0.25">
      <c r="A234" s="53">
        <v>276749</v>
      </c>
      <c r="B234" s="52"/>
      <c r="C234" s="1" t="str">
        <f>CONCATENATE(H234,"-",$J$15)</f>
        <v>4050-biela lesk</v>
      </c>
      <c r="D234" s="53">
        <v>276749</v>
      </c>
      <c r="E234" s="52" t="str">
        <f>+VLOOKUP(A234,cennik!$A:$G,2,FALSE)</f>
        <v>SEVROLL 04061 Gemini horné vedenie  4,05m biela lesk</v>
      </c>
      <c r="F234" s="52" t="str">
        <f>+VLOOKUP(A234,cennik!A:B,2,FALSE)</f>
        <v>SEVROLL 04061 Gemini horné vedenie  4,05m biela lesk</v>
      </c>
      <c r="H234" s="1">
        <v>4050</v>
      </c>
      <c r="I234" s="1" t="str">
        <f>CONCATENATE(H234,"-",$J$15)</f>
        <v>4050-biela lesk</v>
      </c>
      <c r="Z234" s="1" t="b">
        <f t="shared" si="25"/>
        <v>1</v>
      </c>
    </row>
    <row r="235" spans="1:26" ht="15" customHeight="1" x14ac:dyDescent="0.25">
      <c r="A235" s="53">
        <v>311586</v>
      </c>
      <c r="B235" s="52"/>
      <c r="C235" s="1" t="str">
        <f>CONCATENATE(H235,"-",$J$15)</f>
        <v>6000-biela lesk</v>
      </c>
      <c r="D235" s="53">
        <v>311586</v>
      </c>
      <c r="E235" s="52" t="str">
        <f>+VLOOKUP(A235,cennik!$A:$G,2,FALSE)</f>
        <v>SEVROLL 03206 Gemini horné vedenie 6m biela lesk</v>
      </c>
      <c r="F235" s="52" t="str">
        <f>+VLOOKUP(A235,cennik!A:B,2,FALSE)</f>
        <v>SEVROLL 03206 Gemini horné vedenie 6m biela lesk</v>
      </c>
      <c r="H235" s="1">
        <v>6000</v>
      </c>
      <c r="I235" s="1" t="str">
        <f>CONCATENATE(H235,"-",$J$15)</f>
        <v>6000-biela lesk</v>
      </c>
      <c r="Z235" s="1" t="b">
        <f t="shared" si="25"/>
        <v>1</v>
      </c>
    </row>
    <row r="236" spans="1:26" ht="15" customHeight="1" x14ac:dyDescent="0.25">
      <c r="A236" s="2">
        <v>405407</v>
      </c>
      <c r="C236" s="1" t="str">
        <f>CONCATENATE(H236,"-",$J$16)</f>
        <v>1700-čierna lesk</v>
      </c>
      <c r="D236" s="2">
        <v>405407</v>
      </c>
      <c r="E236" s="52" t="str">
        <f>+VLOOKUP(A236,cennik!$A:$G,2,FALSE)</f>
        <v>SEVROLL 05175 Gemini horné vedenie 1,7m čierna lesk</v>
      </c>
      <c r="F236" s="52" t="str">
        <f>+VLOOKUP(A236,cennik!A:B,2,FALSE)</f>
        <v>SEVROLL 05175 Gemini horné vedenie 1,7m čierna lesk</v>
      </c>
      <c r="H236" s="1">
        <v>1700</v>
      </c>
      <c r="I236" s="1" t="str">
        <f>CONCATENATE(H236,"-",$J$16)</f>
        <v>1700-čierna lesk</v>
      </c>
      <c r="Z236" s="1" t="b">
        <f t="shared" si="25"/>
        <v>1</v>
      </c>
    </row>
    <row r="237" spans="1:26" ht="15" customHeight="1" x14ac:dyDescent="0.25">
      <c r="A237" s="2">
        <v>398096</v>
      </c>
      <c r="C237" s="1" t="str">
        <f>CONCATENATE(H237,"-",$J$16)</f>
        <v>2350-čierna lesk</v>
      </c>
      <c r="D237" s="2">
        <v>398096</v>
      </c>
      <c r="E237" s="52" t="str">
        <f>+VLOOKUP(A237,cennik!$A:$G,2,FALSE)</f>
        <v>SEVROLL 05176 Gemini horné vedenie 2,35m čierna lesk</v>
      </c>
      <c r="F237" s="52" t="str">
        <f>+VLOOKUP(A237,cennik!A:B,2,FALSE)</f>
        <v>SEVROLL 05176 Gemini horné vedenie 2,35m čierna lesk</v>
      </c>
      <c r="H237" s="1">
        <v>2350</v>
      </c>
      <c r="I237" s="1" t="str">
        <f>CONCATENATE(H237,"-",$J$16)</f>
        <v>2350-čierna lesk</v>
      </c>
      <c r="Z237" s="1" t="b">
        <f t="shared" si="25"/>
        <v>1</v>
      </c>
    </row>
    <row r="238" spans="1:26" ht="15" customHeight="1" x14ac:dyDescent="0.25">
      <c r="A238" s="2">
        <v>405423</v>
      </c>
      <c r="C238" s="1" t="str">
        <f>CONCATENATE(H238,"-",$J$16)</f>
        <v>3000-čierna lesk</v>
      </c>
      <c r="D238" s="2">
        <v>405423</v>
      </c>
      <c r="E238" s="52" t="str">
        <f>+VLOOKUP(A238,cennik!$A:$G,2,FALSE)</f>
        <v>SEVROLL 05177 Gemini horné vedenie 3m čierna lesk</v>
      </c>
      <c r="F238" s="52" t="str">
        <f>+VLOOKUP(A238,cennik!A:B,2,FALSE)</f>
        <v>SEVROLL 05177 Gemini horné vedenie 3m čierna lesk</v>
      </c>
      <c r="H238" s="1">
        <v>3000</v>
      </c>
      <c r="I238" s="1" t="str">
        <f>CONCATENATE(H238,"-",$J$16)</f>
        <v>3000-čierna lesk</v>
      </c>
      <c r="Z238" s="1" t="b">
        <f t="shared" si="25"/>
        <v>1</v>
      </c>
    </row>
    <row r="239" spans="1:26" ht="15" customHeight="1" x14ac:dyDescent="0.25">
      <c r="A239" s="2">
        <v>405425</v>
      </c>
      <c r="C239" s="1" t="str">
        <f>CONCATENATE(H239,"-",$J$16)</f>
        <v>4050-čierna lesk</v>
      </c>
      <c r="D239" s="2">
        <v>405425</v>
      </c>
      <c r="E239" s="52" t="str">
        <f>+VLOOKUP(A239,cennik!$A:$G,2,FALSE)</f>
        <v>SEVROLL 05178 Gemini horné vedenie 4,05m čierna lesk</v>
      </c>
      <c r="F239" s="52" t="str">
        <f>+VLOOKUP(A239,cennik!A:B,2,FALSE)</f>
        <v>SEVROLL 05178 Gemini horné vedenie 4,05m čierna lesk</v>
      </c>
      <c r="H239" s="1">
        <v>4050</v>
      </c>
      <c r="I239" s="1" t="str">
        <f>CONCATENATE(H239,"-",$J$16)</f>
        <v>4050-čierna lesk</v>
      </c>
      <c r="Z239" s="1" t="b">
        <f t="shared" si="25"/>
        <v>1</v>
      </c>
    </row>
    <row r="240" spans="1:26" ht="15" customHeight="1" x14ac:dyDescent="0.25">
      <c r="A240" s="2">
        <v>405426</v>
      </c>
      <c r="C240" s="1" t="str">
        <f>CONCATENATE(H240,"-",$J$16)</f>
        <v>6000-čierna lesk</v>
      </c>
      <c r="D240" s="2">
        <v>405426</v>
      </c>
      <c r="E240" s="52" t="str">
        <f>+VLOOKUP(A240,cennik!$A:$G,2,FALSE)</f>
        <v>SEVROLL 05179 Gemini horné vedenie 6m čierna lesk</v>
      </c>
      <c r="F240" s="52" t="str">
        <f>+VLOOKUP(A240,cennik!A:B,2,FALSE)</f>
        <v>SEVROLL 05179 Gemini horné vedenie 6m čierna lesk</v>
      </c>
      <c r="H240" s="1">
        <v>6000</v>
      </c>
      <c r="I240" s="1" t="str">
        <f>CONCATENATE(H240,"-",$J$16)</f>
        <v>6000-čierna lesk</v>
      </c>
      <c r="Z240" s="1" t="b">
        <f t="shared" si="25"/>
        <v>1</v>
      </c>
    </row>
    <row r="241" spans="1:26" ht="15" customHeight="1" x14ac:dyDescent="0.25">
      <c r="A241" s="1">
        <v>494742</v>
      </c>
      <c r="C241" s="1" t="str">
        <f>CONCATENATE(H241,"-",$J$12)</f>
        <v>1700-grafit</v>
      </c>
      <c r="D241" s="1">
        <v>494742</v>
      </c>
      <c r="E241" s="52" t="str">
        <f>+VLOOKUP(A241,cennik!$A:$G,2,FALSE)</f>
        <v>SEVROLL 06045 Gemini horné vedenie 1,7m grafit</v>
      </c>
      <c r="F241" s="52" t="str">
        <f>+VLOOKUP(A241,cennik!A:B,2,FALSE)</f>
        <v>SEVROLL 06045 Gemini horné vedenie 1,7m grafit</v>
      </c>
      <c r="H241" s="1">
        <v>1700</v>
      </c>
      <c r="I241" s="1" t="str">
        <f>CONCATENATE(H241,"-",$J$12)</f>
        <v>1700-grafit</v>
      </c>
      <c r="Z241" s="1" t="b">
        <f t="shared" si="25"/>
        <v>1</v>
      </c>
    </row>
    <row r="242" spans="1:26" ht="15" customHeight="1" x14ac:dyDescent="0.25">
      <c r="A242" s="1">
        <v>494669</v>
      </c>
      <c r="C242" s="1" t="str">
        <f t="shared" ref="C242:C245" si="28">CONCATENATE(H242,"-",$J$12)</f>
        <v>2350-grafit</v>
      </c>
      <c r="D242" s="1">
        <v>494669</v>
      </c>
      <c r="E242" s="52" t="str">
        <f>+VLOOKUP(A242,cennik!$A:$G,2,FALSE)</f>
        <v>SEVROLL 06046 Gemini horné vedenie 2,35m grafit</v>
      </c>
      <c r="F242" s="52" t="str">
        <f>+VLOOKUP(A242,cennik!A:B,2,FALSE)</f>
        <v>SEVROLL 06046 Gemini horné vedenie 2,35m grafit</v>
      </c>
      <c r="H242" s="1">
        <v>2350</v>
      </c>
      <c r="I242" s="1" t="str">
        <f t="shared" ref="I242:I245" si="29">CONCATENATE(H242,"-",$J$12)</f>
        <v>2350-grafit</v>
      </c>
      <c r="Z242" s="1" t="b">
        <f t="shared" si="25"/>
        <v>1</v>
      </c>
    </row>
    <row r="243" spans="1:26" ht="15" customHeight="1" x14ac:dyDescent="0.25">
      <c r="A243" s="1">
        <v>494730</v>
      </c>
      <c r="C243" s="1" t="str">
        <f t="shared" si="28"/>
        <v>3000-grafit</v>
      </c>
      <c r="D243" s="1">
        <v>494730</v>
      </c>
      <c r="E243" s="52" t="str">
        <f>+VLOOKUP(A243,cennik!$A:$G,2,FALSE)</f>
        <v>SEVROLL 06022 Gemini horné vedenie 3m grafit</v>
      </c>
      <c r="F243" s="52" t="str">
        <f>+VLOOKUP(A243,cennik!A:B,2,FALSE)</f>
        <v>SEVROLL 06022 Gemini horné vedenie 3m grafit</v>
      </c>
      <c r="H243" s="1">
        <v>3000</v>
      </c>
      <c r="I243" s="1" t="str">
        <f t="shared" si="29"/>
        <v>3000-grafit</v>
      </c>
      <c r="Z243" s="1" t="b">
        <f t="shared" si="25"/>
        <v>1</v>
      </c>
    </row>
    <row r="244" spans="1:26" ht="15" customHeight="1" x14ac:dyDescent="0.25">
      <c r="A244" s="1">
        <v>494670</v>
      </c>
      <c r="C244" s="1" t="str">
        <f t="shared" si="28"/>
        <v>4050-grafit</v>
      </c>
      <c r="D244" s="1">
        <v>494670</v>
      </c>
      <c r="E244" s="52" t="str">
        <f>+VLOOKUP(A244,cennik!$A:$G,2,FALSE)</f>
        <v>SEVROLL 06023 Gemini horné vedenie  4,05m grafit</v>
      </c>
      <c r="F244" s="52" t="str">
        <f>+VLOOKUP(A244,cennik!A:B,2,FALSE)</f>
        <v>SEVROLL 06023 Gemini horné vedenie  4,05m grafit</v>
      </c>
      <c r="H244" s="1">
        <v>4050</v>
      </c>
      <c r="I244" s="1" t="str">
        <f t="shared" si="29"/>
        <v>4050-grafit</v>
      </c>
      <c r="Z244" s="1" t="b">
        <f t="shared" si="25"/>
        <v>1</v>
      </c>
    </row>
    <row r="245" spans="1:26" ht="15" customHeight="1" x14ac:dyDescent="0.25">
      <c r="A245" s="1">
        <v>495629</v>
      </c>
      <c r="C245" s="1" t="str">
        <f t="shared" si="28"/>
        <v>6000-grafit</v>
      </c>
      <c r="D245" s="1">
        <v>495629</v>
      </c>
      <c r="E245" s="52" t="str">
        <f>+VLOOKUP(A245,cennik!$A:$G,2,FALSE)</f>
        <v>SEVROLL 06047 Gemini horné vedenie 6m grafit</v>
      </c>
      <c r="F245" s="52" t="str">
        <f>+VLOOKUP(A245,cennik!A:B,2,FALSE)</f>
        <v>SEVROLL 06047 Gemini horné vedenie 6m grafit</v>
      </c>
      <c r="H245" s="1">
        <v>6000</v>
      </c>
      <c r="I245" s="1" t="str">
        <f t="shared" si="29"/>
        <v>6000-grafit</v>
      </c>
      <c r="Z245" s="1" t="b">
        <f t="shared" si="25"/>
        <v>1</v>
      </c>
    </row>
    <row r="246" spans="1:26" ht="15" customHeight="1" x14ac:dyDescent="0.25">
      <c r="A246" s="1">
        <v>394802</v>
      </c>
      <c r="C246" s="1" t="str">
        <f>CONCATENATE(H246,"-",$J$18)</f>
        <v>1700-biela mat</v>
      </c>
      <c r="D246" s="1">
        <v>394802</v>
      </c>
      <c r="E246" s="52" t="str">
        <f>+VLOOKUP(A246,cennik!$A:$G,2,FALSE)</f>
        <v>SEVROLL 05082 Gemini horné vedenie 1,7m biely mat</v>
      </c>
      <c r="F246" s="52" t="str">
        <f>+VLOOKUP(A246,cennik!A:B,2,FALSE)</f>
        <v>SEVROLL 05082 Gemini horné vedenie 1,7m biely mat</v>
      </c>
      <c r="H246" s="1">
        <v>1700</v>
      </c>
      <c r="I246" s="1" t="str">
        <f>CONCATENATE(H246,"-",$J$18)</f>
        <v>1700-biela mat</v>
      </c>
    </row>
    <row r="247" spans="1:26" ht="15" customHeight="1" x14ac:dyDescent="0.25">
      <c r="A247" s="1">
        <v>394813</v>
      </c>
      <c r="C247" s="1" t="str">
        <f t="shared" ref="C247:C250" si="30">CONCATENATE(H247,"-",$J$18)</f>
        <v>2350-biela mat</v>
      </c>
      <c r="D247" s="1">
        <v>394813</v>
      </c>
      <c r="E247" s="52" t="str">
        <f>+VLOOKUP(A247,cennik!$A:$G,2,FALSE)</f>
        <v>SEVROLL 05172 Gemini horné vedenie 2,35m biela mat</v>
      </c>
      <c r="F247" s="52" t="str">
        <f>+VLOOKUP(A247,cennik!A:B,2,FALSE)</f>
        <v>SEVROLL 05172 Gemini horné vedenie 2,35m biela mat</v>
      </c>
      <c r="H247" s="1">
        <v>2350</v>
      </c>
      <c r="I247" s="1" t="str">
        <f t="shared" ref="I247:I250" si="31">CONCATENATE(H247,"-",$J$18)</f>
        <v>2350-biela mat</v>
      </c>
    </row>
    <row r="248" spans="1:26" ht="15" customHeight="1" x14ac:dyDescent="0.25">
      <c r="A248" s="1">
        <v>233016</v>
      </c>
      <c r="C248" s="1" t="str">
        <f t="shared" si="30"/>
        <v>3000-biela mat</v>
      </c>
      <c r="D248" s="1">
        <v>233016</v>
      </c>
      <c r="E248" s="52" t="str">
        <f>+VLOOKUP(A248,cennik!$A:$G,2,FALSE)</f>
        <v>SEVROLL 03889 Gemini horné vedenie 3m biela mat</v>
      </c>
      <c r="F248" s="52" t="str">
        <f>+VLOOKUP(A248,cennik!A:B,2,FALSE)</f>
        <v>SEVROLL 03889 Gemini horné vedenie 3m biela mat</v>
      </c>
      <c r="H248" s="1">
        <v>3000</v>
      </c>
      <c r="I248" s="1" t="str">
        <f t="shared" si="31"/>
        <v>3000-biela mat</v>
      </c>
    </row>
    <row r="249" spans="1:26" ht="15" customHeight="1" x14ac:dyDescent="0.25">
      <c r="A249" s="1">
        <v>394815</v>
      </c>
      <c r="C249" s="1" t="str">
        <f t="shared" si="30"/>
        <v>4050-biela mat</v>
      </c>
      <c r="D249" s="1">
        <v>394815</v>
      </c>
      <c r="E249" s="52" t="str">
        <f>+VLOOKUP(A249,cennik!$A:$G,2,FALSE)</f>
        <v>SEVROLL 05173 Gemini horné vedenie 4,05m biela mat</v>
      </c>
      <c r="F249" s="52" t="str">
        <f>+VLOOKUP(A249,cennik!A:B,2,FALSE)</f>
        <v>SEVROLL 05173 Gemini horné vedenie 4,05m biela mat</v>
      </c>
      <c r="H249" s="1">
        <v>4050</v>
      </c>
      <c r="I249" s="1" t="str">
        <f t="shared" si="31"/>
        <v>4050-biela mat</v>
      </c>
    </row>
    <row r="250" spans="1:26" ht="15" customHeight="1" x14ac:dyDescent="0.25">
      <c r="A250" s="1">
        <v>394824</v>
      </c>
      <c r="C250" s="1" t="str">
        <f t="shared" si="30"/>
        <v>6000-biela mat</v>
      </c>
      <c r="D250" s="1">
        <v>394824</v>
      </c>
      <c r="E250" s="52" t="str">
        <f>+VLOOKUP(A250,cennik!$A:$G,2,FALSE)</f>
        <v>SEVROLL 05174 Gemini horné vedenie 6m biela mat</v>
      </c>
      <c r="F250" s="52" t="str">
        <f>+VLOOKUP(A250,cennik!A:B,2,FALSE)</f>
        <v>SEVROLL 05174 Gemini horné vedenie 6m biela mat</v>
      </c>
      <c r="H250" s="1">
        <v>6000</v>
      </c>
      <c r="I250" s="1" t="str">
        <f t="shared" si="31"/>
        <v>6000-biela mat</v>
      </c>
    </row>
    <row r="251" spans="1:26" ht="15" customHeight="1" x14ac:dyDescent="0.25">
      <c r="A251" s="1">
        <v>422008</v>
      </c>
      <c r="C251" s="1" t="str">
        <f>CONCATENATE(H251,"-",$J$17)</f>
        <v>1700-čierna mat</v>
      </c>
      <c r="D251" s="1">
        <v>422008</v>
      </c>
      <c r="E251" s="52" t="str">
        <f>+VLOOKUP(A251,cennik!$A:$G,2,FALSE)</f>
        <v>SEVROLL 05313 Gemini horné vedenie 1,7m čierna mat</v>
      </c>
      <c r="F251" s="52" t="str">
        <f>+VLOOKUP(A251,cennik!A:B,2,FALSE)</f>
        <v>SEVROLL 05313 Gemini horné vedenie 1,7m čierna mat</v>
      </c>
      <c r="H251" s="1">
        <v>1700</v>
      </c>
      <c r="I251" s="1" t="str">
        <f>CONCATENATE(H251,"-",$J$17)</f>
        <v>1700-čierna mat</v>
      </c>
      <c r="Z251" s="1" t="b">
        <f t="shared" si="25"/>
        <v>1</v>
      </c>
    </row>
    <row r="252" spans="1:26" ht="15" customHeight="1" x14ac:dyDescent="0.25">
      <c r="A252" s="1">
        <v>409670</v>
      </c>
      <c r="C252" s="1" t="str">
        <f>CONCATENATE(H252,"-",$J$17)</f>
        <v>2350-čierna mat</v>
      </c>
      <c r="D252" s="1">
        <v>409670</v>
      </c>
      <c r="E252" s="52" t="str">
        <f>+VLOOKUP(A252,cennik!$A:$G,2,FALSE)</f>
        <v>SEVROLL 05314 Gemini horné vedenie 2,35m čierna mat</v>
      </c>
      <c r="F252" s="52" t="str">
        <f>+VLOOKUP(A252,cennik!A:B,2,FALSE)</f>
        <v>SEVROLL 05314 Gemini horné vedenie 2,35m čierna mat</v>
      </c>
      <c r="H252" s="1">
        <v>2350</v>
      </c>
      <c r="I252" s="1" t="str">
        <f>CONCATENATE(H252,"-",$J$17)</f>
        <v>2350-čierna mat</v>
      </c>
      <c r="Z252" s="1" t="b">
        <f t="shared" si="25"/>
        <v>1</v>
      </c>
    </row>
    <row r="253" spans="1:26" ht="15" customHeight="1" x14ac:dyDescent="0.25">
      <c r="A253" s="1">
        <v>412229</v>
      </c>
      <c r="C253" s="1" t="str">
        <f>CONCATENATE(H253,"-",$J$17)</f>
        <v>3000-čierna mat</v>
      </c>
      <c r="D253" s="1">
        <v>412229</v>
      </c>
      <c r="E253" s="52" t="str">
        <f>+VLOOKUP(A253,cennik!$A:$G,2,FALSE)</f>
        <v>SEVROLL 05315 Gemini horné vedenie 3m čierna mat</v>
      </c>
      <c r="F253" s="52" t="str">
        <f>+VLOOKUP(A253,cennik!A:B,2,FALSE)</f>
        <v>SEVROLL 05315 Gemini horné vedenie 3m čierna mat</v>
      </c>
      <c r="H253" s="1">
        <v>3000</v>
      </c>
      <c r="I253" s="1" t="str">
        <f>CONCATENATE(H253,"-",$J$17)</f>
        <v>3000-čierna mat</v>
      </c>
      <c r="Z253" s="1" t="b">
        <f t="shared" si="25"/>
        <v>1</v>
      </c>
    </row>
    <row r="254" spans="1:26" ht="15" customHeight="1" x14ac:dyDescent="0.25">
      <c r="A254" s="2">
        <v>452736</v>
      </c>
      <c r="C254" s="1" t="str">
        <f>CONCATENATE(H254,"-",$J$17)</f>
        <v>6000-čierna mat</v>
      </c>
      <c r="D254" s="2">
        <v>452736</v>
      </c>
      <c r="E254" s="52" t="str">
        <f>+VLOOKUP(A254,cennik!$A:$G,2,FALSE)</f>
        <v>SEVROLL 05316 Gemini horné vedenie 6m čierna mat</v>
      </c>
      <c r="F254" s="52" t="str">
        <f>+VLOOKUP(A254,cennik!A:B,2,FALSE)</f>
        <v>SEVROLL 05316 Gemini horné vedenie 6m čierna mat</v>
      </c>
      <c r="H254" s="1">
        <v>6000</v>
      </c>
      <c r="I254" s="1" t="str">
        <f>CONCATENATE(H254,"-",$J$17)</f>
        <v>6000-čierna mat</v>
      </c>
      <c r="Z254" s="1" t="b">
        <f t="shared" si="25"/>
        <v>1</v>
      </c>
    </row>
    <row r="255" spans="1:26" s="559" customFormat="1" ht="15" customHeight="1" x14ac:dyDescent="0.25">
      <c r="A255" s="558">
        <v>233016</v>
      </c>
      <c r="C255" s="1" t="str">
        <f>CONCATENATE(H255,"-",$J$18)</f>
        <v>3000-biela mat</v>
      </c>
      <c r="D255" s="558">
        <v>233016</v>
      </c>
      <c r="E255" s="52" t="str">
        <f>+VLOOKUP(A255,cennik!$A:$G,2,FALSE)</f>
        <v>SEVROLL 03889 Gemini horné vedenie 3m biela mat</v>
      </c>
      <c r="F255" s="52" t="str">
        <f>+VLOOKUP(A255,cennik!A:B,2,FALSE)</f>
        <v>SEVROLL 03889 Gemini horné vedenie 3m biela mat</v>
      </c>
      <c r="H255" s="559">
        <v>3000</v>
      </c>
      <c r="I255" s="1" t="str">
        <f>CONCATENATE(H255,"-",$J$18)</f>
        <v>3000-biela mat</v>
      </c>
      <c r="Z255" s="1" t="b">
        <f t="shared" si="25"/>
        <v>1</v>
      </c>
    </row>
    <row r="256" spans="1:26" s="559" customFormat="1" ht="15" customHeight="1" x14ac:dyDescent="0.25">
      <c r="A256" s="558">
        <v>394802</v>
      </c>
      <c r="C256" s="1" t="str">
        <f t="shared" ref="C256:C259" si="32">CONCATENATE(H256,"-",$J$18)</f>
        <v>1700-biela mat</v>
      </c>
      <c r="D256" s="558">
        <v>394802</v>
      </c>
      <c r="E256" s="52" t="str">
        <f>+VLOOKUP(A256,cennik!$A:$G,2,FALSE)</f>
        <v>SEVROLL 05082 Gemini horné vedenie 1,7m biely mat</v>
      </c>
      <c r="F256" s="52" t="str">
        <f>+VLOOKUP(A256,cennik!A:B,2,FALSE)</f>
        <v>SEVROLL 05082 Gemini horné vedenie 1,7m biely mat</v>
      </c>
      <c r="H256" s="559">
        <v>1700</v>
      </c>
      <c r="I256" s="1" t="str">
        <f t="shared" ref="I256:I259" si="33">CONCATENATE(H256,"-",$J$18)</f>
        <v>1700-biela mat</v>
      </c>
      <c r="Z256" s="1" t="b">
        <f t="shared" si="25"/>
        <v>1</v>
      </c>
    </row>
    <row r="257" spans="1:26" s="559" customFormat="1" ht="15" customHeight="1" x14ac:dyDescent="0.25">
      <c r="A257" s="558">
        <v>394813</v>
      </c>
      <c r="C257" s="1" t="str">
        <f t="shared" si="32"/>
        <v>2350-biela mat</v>
      </c>
      <c r="D257" s="558">
        <v>394813</v>
      </c>
      <c r="E257" s="52" t="str">
        <f>+VLOOKUP(A257,cennik!$A:$G,2,FALSE)</f>
        <v>SEVROLL 05172 Gemini horné vedenie 2,35m biela mat</v>
      </c>
      <c r="F257" s="52" t="str">
        <f>+VLOOKUP(A257,cennik!A:B,2,FALSE)</f>
        <v>SEVROLL 05172 Gemini horné vedenie 2,35m biela mat</v>
      </c>
      <c r="H257" s="559">
        <v>2350</v>
      </c>
      <c r="I257" s="1" t="str">
        <f t="shared" si="33"/>
        <v>2350-biela mat</v>
      </c>
      <c r="Z257" s="1" t="b">
        <f t="shared" si="25"/>
        <v>1</v>
      </c>
    </row>
    <row r="258" spans="1:26" s="559" customFormat="1" ht="15" customHeight="1" x14ac:dyDescent="0.25">
      <c r="A258" s="558">
        <v>394815</v>
      </c>
      <c r="C258" s="1" t="str">
        <f t="shared" si="32"/>
        <v>4050-biela mat</v>
      </c>
      <c r="D258" s="558">
        <v>394815</v>
      </c>
      <c r="E258" s="52" t="str">
        <f>+VLOOKUP(A258,cennik!$A:$G,2,FALSE)</f>
        <v>SEVROLL 05173 Gemini horné vedenie 4,05m biela mat</v>
      </c>
      <c r="F258" s="52" t="str">
        <f>+VLOOKUP(A258,cennik!A:B,2,FALSE)</f>
        <v>SEVROLL 05173 Gemini horné vedenie 4,05m biela mat</v>
      </c>
      <c r="H258" s="559">
        <v>4050</v>
      </c>
      <c r="I258" s="1" t="str">
        <f t="shared" si="33"/>
        <v>4050-biela mat</v>
      </c>
      <c r="Z258" s="1" t="b">
        <f t="shared" si="25"/>
        <v>1</v>
      </c>
    </row>
    <row r="259" spans="1:26" s="559" customFormat="1" ht="15" customHeight="1" x14ac:dyDescent="0.25">
      <c r="A259" s="558">
        <v>394824</v>
      </c>
      <c r="C259" s="1" t="str">
        <f t="shared" si="32"/>
        <v>6000-biela mat</v>
      </c>
      <c r="D259" s="558">
        <v>394824</v>
      </c>
      <c r="E259" s="52" t="str">
        <f>+VLOOKUP(A259,cennik!$A:$G,2,FALSE)</f>
        <v>SEVROLL 05174 Gemini horné vedenie 6m biela mat</v>
      </c>
      <c r="F259" s="52" t="str">
        <f>+VLOOKUP(A259,cennik!A:B,2,FALSE)</f>
        <v>SEVROLL 05174 Gemini horné vedenie 6m biela mat</v>
      </c>
      <c r="H259" s="559">
        <v>6000</v>
      </c>
      <c r="I259" s="1" t="str">
        <f t="shared" si="33"/>
        <v>6000-biela mat</v>
      </c>
      <c r="Z259" s="1" t="b">
        <f t="shared" si="25"/>
        <v>1</v>
      </c>
    </row>
    <row r="260" spans="1:26" ht="15" customHeight="1" x14ac:dyDescent="0.25">
      <c r="A260" s="2"/>
      <c r="B260" s="176" t="s">
        <v>966</v>
      </c>
      <c r="E260" s="52"/>
      <c r="F260" s="52"/>
      <c r="Z260" s="1" t="b">
        <f t="shared" si="25"/>
        <v>1</v>
      </c>
    </row>
    <row r="261" spans="1:26" ht="15" customHeight="1" x14ac:dyDescent="0.25">
      <c r="A261" s="53">
        <v>349796</v>
      </c>
      <c r="B261" s="52"/>
      <c r="C261" s="1" t="str">
        <f>CONCATENATE(H261,"-",$J$4)</f>
        <v xml:space="preserve">1500-strieborná </v>
      </c>
      <c r="D261" s="53">
        <v>349796</v>
      </c>
      <c r="E261" s="52" t="str">
        <f>+VLOOKUP(A261,cennik!$A:$G,2,FALSE)</f>
        <v>SEVROLL 04471 Blue horné vedenie 1,5m strieborná</v>
      </c>
      <c r="F261" s="52" t="str">
        <f>+VLOOKUP(A261,cennik!A:B,2,FALSE)</f>
        <v>SEVROLL 04471 Blue horné vedenie 1,5m strieborná</v>
      </c>
      <c r="H261" s="1">
        <v>1500</v>
      </c>
      <c r="I261" s="1" t="str">
        <f>CONCATENATE(H261,"-",$J$4)</f>
        <v xml:space="preserve">1500-strieborná </v>
      </c>
      <c r="Z261" s="1" t="b">
        <f t="shared" si="25"/>
        <v>1</v>
      </c>
    </row>
    <row r="262" spans="1:26" ht="15" customHeight="1" x14ac:dyDescent="0.25">
      <c r="A262" s="53">
        <v>349475</v>
      </c>
      <c r="B262" s="52"/>
      <c r="C262" s="1" t="str">
        <f>CONCATENATE(H262,"-",$J$4)</f>
        <v xml:space="preserve">2000-strieborná </v>
      </c>
      <c r="D262" s="53">
        <v>349475</v>
      </c>
      <c r="E262" s="52" t="str">
        <f>+VLOOKUP(A262,cennik!$A:$G,2,FALSE)</f>
        <v>SEVROLL 04472 Blue horné vedenie  2m strieborná</v>
      </c>
      <c r="F262" s="52" t="str">
        <f>+VLOOKUP(A262,cennik!A:B,2,FALSE)</f>
        <v>SEVROLL 04472 Blue horné vedenie  2m strieborná</v>
      </c>
      <c r="G262" s="1" t="e">
        <f>+VLOOKUP(A262,#REF!,4,FALSE)</f>
        <v>#REF!</v>
      </c>
      <c r="H262" s="1">
        <v>2000</v>
      </c>
      <c r="I262" s="1" t="str">
        <f>CONCATENATE(H262,"-",$J$4)</f>
        <v xml:space="preserve">2000-strieborná </v>
      </c>
      <c r="Z262" s="1" t="b">
        <f t="shared" si="25"/>
        <v>1</v>
      </c>
    </row>
    <row r="263" spans="1:26" ht="15" customHeight="1" x14ac:dyDescent="0.25">
      <c r="A263" s="53">
        <v>349802</v>
      </c>
      <c r="B263" s="52"/>
      <c r="C263" s="1" t="str">
        <f>CONCATENATE(H263,"-",$J$4)</f>
        <v xml:space="preserve">3000-strieborná </v>
      </c>
      <c r="D263" s="53">
        <v>349802</v>
      </c>
      <c r="E263" s="52" t="str">
        <f>+VLOOKUP(A263,cennik!$A:$G,2,FALSE)</f>
        <v>SEVROLL 04474 Blue horné vedenie  3m strieborná</v>
      </c>
      <c r="F263" s="52" t="str">
        <f>+VLOOKUP(A263,cennik!A:B,2,FALSE)</f>
        <v>SEVROLL 04474 Blue horné vedenie  3m strieborná</v>
      </c>
      <c r="H263" s="1">
        <v>3000</v>
      </c>
      <c r="I263" s="1" t="str">
        <f>CONCATENATE(H263,"-",$J$4)</f>
        <v xml:space="preserve">3000-strieborná </v>
      </c>
      <c r="Z263" s="1" t="b">
        <f t="shared" si="25"/>
        <v>1</v>
      </c>
    </row>
    <row r="264" spans="1:26" ht="15" customHeight="1" x14ac:dyDescent="0.25">
      <c r="A264" s="53">
        <v>349804</v>
      </c>
      <c r="B264" s="52"/>
      <c r="C264" s="1" t="str">
        <f>CONCATENATE(H264,"-",$J$4)</f>
        <v xml:space="preserve">4000-strieborná </v>
      </c>
      <c r="D264" s="53">
        <v>349804</v>
      </c>
      <c r="E264" s="52" t="str">
        <f>+VLOOKUP(A264,cennik!$A:$G,2,FALSE)</f>
        <v>SEVROLL 04475 Blue horné vedenie  4m strieborná</v>
      </c>
      <c r="F264" s="52" t="str">
        <f>+VLOOKUP(A264,cennik!A:B,2,FALSE)</f>
        <v>SEVROLL 04475 Blue horné vedenie  4m strieborná</v>
      </c>
      <c r="H264" s="1">
        <v>4000</v>
      </c>
      <c r="I264" s="1" t="str">
        <f>CONCATENATE(H264,"-",$J$4)</f>
        <v xml:space="preserve">4000-strieborná </v>
      </c>
      <c r="Z264" s="1" t="b">
        <f t="shared" si="25"/>
        <v>1</v>
      </c>
    </row>
    <row r="265" spans="1:26" ht="15" customHeight="1" x14ac:dyDescent="0.25">
      <c r="A265" s="53">
        <v>349807</v>
      </c>
      <c r="B265" s="52"/>
      <c r="C265" s="1" t="str">
        <f>CONCATENATE(H265,"-",$J$4)</f>
        <v xml:space="preserve">6000-strieborná </v>
      </c>
      <c r="D265" s="53">
        <v>349807</v>
      </c>
      <c r="E265" s="52" t="str">
        <f>+VLOOKUP(A265,cennik!$A:$G,2,FALSE)</f>
        <v>SEVROLL 04476 Blue horné vedenie  6m strieborná</v>
      </c>
      <c r="F265" s="52" t="str">
        <f>+VLOOKUP(A265,cennik!A:B,2,FALSE)</f>
        <v>SEVROLL 04476 Blue horné vedenie  6m strieborná</v>
      </c>
      <c r="H265" s="1">
        <v>6000</v>
      </c>
      <c r="I265" s="1" t="str">
        <f>CONCATENATE(H265,"-",$J$4)</f>
        <v xml:space="preserve">6000-strieborná </v>
      </c>
      <c r="Z265" s="1" t="b">
        <f t="shared" si="25"/>
        <v>1</v>
      </c>
    </row>
    <row r="266" spans="1:26" ht="15" customHeight="1" x14ac:dyDescent="0.25">
      <c r="A266" s="53">
        <v>349797</v>
      </c>
      <c r="B266" s="52"/>
      <c r="C266" s="1" t="str">
        <f>CONCATENATE(H266,"-",$J$6)</f>
        <v>1500-oliva</v>
      </c>
      <c r="D266" s="53">
        <v>349797</v>
      </c>
      <c r="E266" s="52" t="str">
        <f>+VLOOKUP(A266,cennik!$A:$G,2,FALSE)</f>
        <v>SEVROLL 04465 Blue horné vedenie 1,5m oliva</v>
      </c>
      <c r="F266" s="52" t="str">
        <f>+VLOOKUP(A266,cennik!A:B,2,FALSE)</f>
        <v>SEVROLL 04465 Blue horné vedenie 1,5m oliva</v>
      </c>
      <c r="H266" s="1">
        <v>1500</v>
      </c>
      <c r="I266" s="1" t="str">
        <f>CONCATENATE(H266,"-",$J$6)</f>
        <v>1500-oliva</v>
      </c>
      <c r="Z266" s="1" t="b">
        <f t="shared" si="25"/>
        <v>1</v>
      </c>
    </row>
    <row r="267" spans="1:26" ht="15" customHeight="1" x14ac:dyDescent="0.25">
      <c r="A267" s="53">
        <v>349798</v>
      </c>
      <c r="B267" s="52"/>
      <c r="C267" s="1" t="str">
        <f>CONCATENATE(H267,"-",$J$6)</f>
        <v>2000-oliva</v>
      </c>
      <c r="D267" s="53">
        <v>349798</v>
      </c>
      <c r="E267" s="52" t="str">
        <f>+VLOOKUP(A267,cennik!$A:$G,2,FALSE)</f>
        <v>SEVROLL 04466 Blue horné vedenie  2m oliva</v>
      </c>
      <c r="F267" s="52" t="str">
        <f>+VLOOKUP(A267,cennik!A:B,2,FALSE)</f>
        <v>SEVROLL 04466 Blue horné vedenie  2m oliva</v>
      </c>
      <c r="H267" s="1">
        <v>2000</v>
      </c>
      <c r="I267" s="1" t="str">
        <f>CONCATENATE(H267,"-",$J$6)</f>
        <v>2000-oliva</v>
      </c>
      <c r="Z267" s="1" t="b">
        <f t="shared" si="25"/>
        <v>1</v>
      </c>
    </row>
    <row r="268" spans="1:26" ht="15" customHeight="1" x14ac:dyDescent="0.25">
      <c r="A268" s="53">
        <v>349801</v>
      </c>
      <c r="B268" s="52"/>
      <c r="C268" s="1" t="str">
        <f>CONCATENATE(H268,"-",$J$6)</f>
        <v>3000-oliva</v>
      </c>
      <c r="D268" s="53">
        <v>349801</v>
      </c>
      <c r="E268" s="52" t="str">
        <f>+VLOOKUP(A268,cennik!$A:$G,2,FALSE)</f>
        <v>SEVROLL 04468 Blue horné vedenie  3m oliva</v>
      </c>
      <c r="F268" s="52" t="str">
        <f>+VLOOKUP(A268,cennik!A:B,2,FALSE)</f>
        <v>SEVROLL 04468 Blue horné vedenie  3m oliva</v>
      </c>
      <c r="H268" s="1">
        <v>3000</v>
      </c>
      <c r="I268" s="1" t="str">
        <f>CONCATENATE(H268,"-",$J$6)</f>
        <v>3000-oliva</v>
      </c>
      <c r="Z268" s="1" t="b">
        <f t="shared" ref="Z268:Z331" si="34">A268=D268</f>
        <v>1</v>
      </c>
    </row>
    <row r="269" spans="1:26" ht="15" customHeight="1" x14ac:dyDescent="0.25">
      <c r="A269" s="2">
        <v>488266</v>
      </c>
      <c r="C269" s="1" t="str">
        <f>CONCATENATE(H269,"-",$J$17)</f>
        <v>2000-čierna mat</v>
      </c>
      <c r="D269" s="2">
        <v>488266</v>
      </c>
      <c r="E269" s="52" t="str">
        <f>+VLOOKUP(A269,cennik!$A:$G,2,FALSE)</f>
        <v>SEVROLL 05754 Blue horné vedenie 2m čierna mat</v>
      </c>
      <c r="F269" s="52" t="str">
        <f>+VLOOKUP(A269,cennik!A:B,2,FALSE)</f>
        <v>SEVROLL 05754 Blue horné vedenie 2m čierna mat</v>
      </c>
      <c r="H269" s="1">
        <v>2000</v>
      </c>
      <c r="I269" s="1" t="str">
        <f>CONCATENATE(H269,"-",$J$17)</f>
        <v>2000-čierna mat</v>
      </c>
      <c r="Z269" s="1" t="b">
        <f t="shared" si="34"/>
        <v>1</v>
      </c>
    </row>
    <row r="270" spans="1:26" ht="15" customHeight="1" x14ac:dyDescent="0.25">
      <c r="A270" s="2">
        <v>488267</v>
      </c>
      <c r="C270" s="1" t="str">
        <f t="shared" ref="C270:C271" si="35">CONCATENATE(H270,"-",$J$17)</f>
        <v>3000-čierna mat</v>
      </c>
      <c r="D270" s="2">
        <v>488267</v>
      </c>
      <c r="E270" s="52" t="str">
        <f>+VLOOKUP(A270,cennik!$A:$G,2,FALSE)</f>
        <v>SEVROLL 05755 Blue horné vedenie 3m čierna mat</v>
      </c>
      <c r="F270" s="52" t="str">
        <f>+VLOOKUP(A270,cennik!A:B,2,FALSE)</f>
        <v>SEVROLL 05755 Blue horné vedenie 3m čierna mat</v>
      </c>
      <c r="H270" s="1">
        <v>3000</v>
      </c>
      <c r="I270" s="1" t="str">
        <f t="shared" ref="I270:I271" si="36">CONCATENATE(H270,"-",$J$17)</f>
        <v>3000-čierna mat</v>
      </c>
      <c r="Z270" s="1" t="b">
        <f t="shared" si="34"/>
        <v>1</v>
      </c>
    </row>
    <row r="271" spans="1:26" ht="15" customHeight="1" x14ac:dyDescent="0.25">
      <c r="A271" s="2">
        <v>488268</v>
      </c>
      <c r="C271" s="1" t="str">
        <f t="shared" si="35"/>
        <v>6000-čierna mat</v>
      </c>
      <c r="D271" s="2">
        <v>488268</v>
      </c>
      <c r="E271" s="52" t="str">
        <f>+VLOOKUP(A271,cennik!$A:$G,2,FALSE)</f>
        <v>SEVROLL 05756 Blue horné vedenie 6m čierna mat</v>
      </c>
      <c r="F271" s="52" t="str">
        <f>+VLOOKUP(A271,cennik!A:B,2,FALSE)</f>
        <v>SEVROLL 05756 Blue horné vedenie 6m čierna mat</v>
      </c>
      <c r="H271" s="1">
        <v>6000</v>
      </c>
      <c r="I271" s="1" t="str">
        <f t="shared" si="36"/>
        <v>6000-čierna mat</v>
      </c>
      <c r="Z271" s="1" t="b">
        <f t="shared" si="34"/>
        <v>1</v>
      </c>
    </row>
    <row r="272" spans="1:26" ht="15" customHeight="1" x14ac:dyDescent="0.25">
      <c r="A272" s="2">
        <v>488266</v>
      </c>
      <c r="C272" s="1" t="str">
        <f>CONCATENATE(H272,"-",$J$17)</f>
        <v>1500-čierna mat</v>
      </c>
      <c r="D272" s="2">
        <v>488266</v>
      </c>
      <c r="E272" s="52" t="str">
        <f>+VLOOKUP(A272,cennik!$A:$G,2,FALSE)</f>
        <v>SEVROLL 05754 Blue horné vedenie 2m čierna mat</v>
      </c>
      <c r="F272" s="52" t="str">
        <f>+VLOOKUP(A272,cennik!A:B,2,FALSE)</f>
        <v>SEVROLL 05754 Blue horné vedenie 2m čierna mat</v>
      </c>
      <c r="H272" s="1">
        <v>1500</v>
      </c>
      <c r="I272" s="1" t="str">
        <f>CONCATENATE(H272,"-",$J$17)</f>
        <v>1500-čierna mat</v>
      </c>
      <c r="Z272" s="1" t="b">
        <f t="shared" si="34"/>
        <v>1</v>
      </c>
    </row>
    <row r="273" spans="1:26" ht="15" customHeight="1" x14ac:dyDescent="0.25">
      <c r="A273" s="556">
        <v>394287</v>
      </c>
      <c r="B273" s="556"/>
      <c r="C273" s="556" t="str">
        <f>CONCATENATE(H273,"-",$J$15)</f>
        <v>1500-biela lesk</v>
      </c>
      <c r="D273" s="556">
        <v>394287</v>
      </c>
      <c r="E273" s="554" t="str">
        <f>+VLOOKUP(A273,cennik!$A:$G,2,FALSE)</f>
        <v>SEVROLL 04937 Blue horné vedenie 2m biela lesk</v>
      </c>
      <c r="F273" s="554" t="str">
        <f>+VLOOKUP(A273,cennik!A:B,2,FALSE)</f>
        <v>SEVROLL 04937 Blue horné vedenie 2m biela lesk</v>
      </c>
      <c r="G273" s="556"/>
      <c r="H273" s="556">
        <v>1500</v>
      </c>
      <c r="I273" s="556" t="str">
        <f t="shared" ref="I273:I276" si="37">CONCATENATE(H273,"-",$J$15)</f>
        <v>1500-biela lesk</v>
      </c>
      <c r="Z273" s="1" t="b">
        <f t="shared" si="34"/>
        <v>1</v>
      </c>
    </row>
    <row r="274" spans="1:26" ht="15" customHeight="1" x14ac:dyDescent="0.25">
      <c r="A274" s="556">
        <v>394287</v>
      </c>
      <c r="B274" s="556"/>
      <c r="C274" s="556" t="str">
        <f>CONCATENATE(H274,"-",$J$15)</f>
        <v>2000-biela lesk</v>
      </c>
      <c r="D274" s="556">
        <v>394287</v>
      </c>
      <c r="E274" s="554" t="str">
        <f>+VLOOKUP(A274,cennik!$A:$G,2,FALSE)</f>
        <v>SEVROLL 04937 Blue horné vedenie 2m biela lesk</v>
      </c>
      <c r="F274" s="554" t="str">
        <f>+VLOOKUP(A274,cennik!A:B,2,FALSE)</f>
        <v>SEVROLL 04937 Blue horné vedenie 2m biela lesk</v>
      </c>
      <c r="G274" s="556"/>
      <c r="H274" s="556">
        <v>2000</v>
      </c>
      <c r="I274" s="556" t="str">
        <f t="shared" si="37"/>
        <v>2000-biela lesk</v>
      </c>
      <c r="Z274" s="1" t="b">
        <f t="shared" si="34"/>
        <v>1</v>
      </c>
    </row>
    <row r="275" spans="1:26" ht="15" customHeight="1" x14ac:dyDescent="0.25">
      <c r="A275" s="556">
        <v>394289</v>
      </c>
      <c r="B275" s="556"/>
      <c r="C275" s="556" t="str">
        <f t="shared" ref="C275:C276" si="38">CONCATENATE(H275,"-",$J$15)</f>
        <v>3000-biela lesk</v>
      </c>
      <c r="D275" s="556">
        <v>394289</v>
      </c>
      <c r="E275" s="554" t="str">
        <f>+VLOOKUP(A275,cennik!$A:$G,2,FALSE)</f>
        <v>SEVROLL 04938 Blue horné vedenie 3m biela lesk</v>
      </c>
      <c r="F275" s="554" t="str">
        <f>+VLOOKUP(A275,cennik!A:B,2,FALSE)</f>
        <v>SEVROLL 04938 Blue horné vedenie 3m biela lesk</v>
      </c>
      <c r="G275" s="556"/>
      <c r="H275" s="556">
        <v>3000</v>
      </c>
      <c r="I275" s="556" t="str">
        <f t="shared" si="37"/>
        <v>3000-biela lesk</v>
      </c>
      <c r="Z275" s="1" t="b">
        <f t="shared" si="34"/>
        <v>1</v>
      </c>
    </row>
    <row r="276" spans="1:26" ht="15" customHeight="1" x14ac:dyDescent="0.25">
      <c r="A276" s="556">
        <v>394290</v>
      </c>
      <c r="B276" s="556"/>
      <c r="C276" s="556" t="str">
        <f t="shared" si="38"/>
        <v>6000-biela lesk</v>
      </c>
      <c r="D276" s="556">
        <v>394290</v>
      </c>
      <c r="E276" s="554" t="str">
        <f>+VLOOKUP(A276,cennik!$A:$G,2,FALSE)</f>
        <v>SEVROLL 04939 Blue horné vedenie 6m biela lesk</v>
      </c>
      <c r="F276" s="554" t="str">
        <f>+VLOOKUP(A276,cennik!A:B,2,FALSE)</f>
        <v>SEVROLL 04939 Blue horné vedenie 6m biela lesk</v>
      </c>
      <c r="G276" s="556"/>
      <c r="H276" s="556">
        <v>6000</v>
      </c>
      <c r="I276" s="556" t="str">
        <f t="shared" si="37"/>
        <v>6000-biela lesk</v>
      </c>
      <c r="Z276" s="1" t="b">
        <f t="shared" si="34"/>
        <v>1</v>
      </c>
    </row>
    <row r="277" spans="1:26" ht="15" customHeight="1" x14ac:dyDescent="0.25">
      <c r="A277" s="53">
        <v>349805</v>
      </c>
      <c r="B277" s="52"/>
      <c r="C277" s="1" t="str">
        <f>CONCATENATE(H277,"-",$J$6)</f>
        <v>4000-oliva</v>
      </c>
      <c r="D277" s="53">
        <v>349805</v>
      </c>
      <c r="E277" s="52" t="str">
        <f>+VLOOKUP(A277,cennik!$A:$G,2,FALSE)</f>
        <v>SEVROLL 04469 Blue horné vedenie  4m oliva</v>
      </c>
      <c r="F277" s="52" t="str">
        <f>+VLOOKUP(A277,cennik!A:B,2,FALSE)</f>
        <v>SEVROLL 04469 Blue horné vedenie  4m oliva</v>
      </c>
      <c r="H277" s="1">
        <v>4000</v>
      </c>
      <c r="I277" s="1" t="str">
        <f>CONCATENATE(H277,"-",$J$6)</f>
        <v>4000-oliva</v>
      </c>
      <c r="Z277" s="1" t="b">
        <f t="shared" si="34"/>
        <v>1</v>
      </c>
    </row>
    <row r="278" spans="1:26" ht="15" customHeight="1" x14ac:dyDescent="0.25">
      <c r="A278" s="53">
        <v>349806</v>
      </c>
      <c r="B278" s="52"/>
      <c r="C278" s="1" t="str">
        <f>CONCATENATE(H278,"-",$J$6)</f>
        <v>6000-oliva</v>
      </c>
      <c r="D278" s="53">
        <v>349806</v>
      </c>
      <c r="E278" s="52" t="str">
        <f>+VLOOKUP(A278,cennik!$A:$G,2,FALSE)</f>
        <v>SEVROLL 04470 Blue horné vedenie  6m oliva</v>
      </c>
      <c r="F278" s="52" t="str">
        <f>+VLOOKUP(A278,cennik!A:B,2,FALSE)</f>
        <v>SEVROLL 04470 Blue horné vedenie  6m oliva</v>
      </c>
      <c r="H278" s="1">
        <v>6000</v>
      </c>
      <c r="I278" s="1" t="str">
        <f>CONCATENATE(H278,"-",$J$6)</f>
        <v>6000-oliva</v>
      </c>
      <c r="Z278" s="1" t="b">
        <f t="shared" si="34"/>
        <v>1</v>
      </c>
    </row>
    <row r="279" spans="1:26" ht="15" customHeight="1" x14ac:dyDescent="0.25">
      <c r="A279" s="53"/>
      <c r="B279" s="52"/>
      <c r="D279" s="53"/>
      <c r="E279" s="52"/>
      <c r="F279" s="52"/>
      <c r="Z279" s="1" t="b">
        <f t="shared" si="34"/>
        <v>1</v>
      </c>
    </row>
    <row r="280" spans="1:26" ht="15" customHeight="1" x14ac:dyDescent="0.25">
      <c r="A280" s="2"/>
      <c r="B280" s="176" t="s">
        <v>967</v>
      </c>
      <c r="E280" s="52"/>
      <c r="F280" s="52"/>
      <c r="H280" s="1">
        <v>6000</v>
      </c>
      <c r="Z280" s="1" t="b">
        <f t="shared" si="34"/>
        <v>1</v>
      </c>
    </row>
    <row r="281" spans="1:26" ht="15" customHeight="1" x14ac:dyDescent="0.25">
      <c r="A281" s="53">
        <v>349810</v>
      </c>
      <c r="B281" s="52"/>
      <c r="C281" s="1" t="str">
        <f>CONCATENATE(H281,"-",$J$4)</f>
        <v xml:space="preserve">1500-strieborná </v>
      </c>
      <c r="D281" s="53">
        <v>349810</v>
      </c>
      <c r="E281" s="52" t="str">
        <f>+VLOOKUP(A281,cennik!$A:$G,2,FALSE)</f>
        <v>SEVROLL 04495 Blue-V spodné vedenie 1,5m strieborná</v>
      </c>
      <c r="F281" s="52" t="str">
        <f>+VLOOKUP(A281,cennik!A:B,2,FALSE)</f>
        <v>SEVROLL 04495 Blue-V spodné vedenie 1,5m strieborná</v>
      </c>
      <c r="H281" s="1">
        <v>1500</v>
      </c>
      <c r="I281" s="1" t="str">
        <f>CONCATENATE(H281,"-",$J$4)</f>
        <v xml:space="preserve">1500-strieborná </v>
      </c>
      <c r="Z281" s="1" t="b">
        <f t="shared" si="34"/>
        <v>1</v>
      </c>
    </row>
    <row r="282" spans="1:26" ht="15" customHeight="1" x14ac:dyDescent="0.25">
      <c r="A282" s="53">
        <v>349476</v>
      </c>
      <c r="B282" s="52"/>
      <c r="C282" s="1" t="str">
        <f>CONCATENATE(H282,"-",$J$4)</f>
        <v xml:space="preserve">2000-strieborná </v>
      </c>
      <c r="D282" s="53">
        <v>349476</v>
      </c>
      <c r="E282" s="52" t="str">
        <f>+VLOOKUP(A282,cennik!$A:$G,2,FALSE)</f>
        <v>SEVROLL 04496 Blue-V spodné vedenie  2m strieborná</v>
      </c>
      <c r="F282" s="52" t="str">
        <f>+VLOOKUP(A282,cennik!A:B,2,FALSE)</f>
        <v>SEVROLL 04496 Blue-V spodné vedenie  2m strieborná</v>
      </c>
      <c r="G282" s="1" t="e">
        <f>+VLOOKUP(A282,#REF!,4,FALSE)</f>
        <v>#REF!</v>
      </c>
      <c r="H282" s="1">
        <v>2000</v>
      </c>
      <c r="I282" s="1" t="str">
        <f>CONCATENATE(H282,"-",$J$4)</f>
        <v xml:space="preserve">2000-strieborná </v>
      </c>
      <c r="Z282" s="1" t="b">
        <f t="shared" si="34"/>
        <v>1</v>
      </c>
    </row>
    <row r="283" spans="1:26" ht="15" customHeight="1" x14ac:dyDescent="0.25">
      <c r="A283" s="53">
        <v>349814</v>
      </c>
      <c r="B283" s="52"/>
      <c r="C283" s="1" t="str">
        <f>CONCATENATE(H283,"-",$J$4)</f>
        <v xml:space="preserve">3000-strieborná </v>
      </c>
      <c r="D283" s="53">
        <v>349814</v>
      </c>
      <c r="E283" s="52" t="str">
        <f>+VLOOKUP(A283,cennik!$A:$G,2,FALSE)</f>
        <v>SEVROLL 04498 Blue-V spodné vedenie  3m strieborná</v>
      </c>
      <c r="F283" s="52" t="str">
        <f>+VLOOKUP(A283,cennik!A:B,2,FALSE)</f>
        <v>SEVROLL 04498 Blue-V spodné vedenie  3m strieborná</v>
      </c>
      <c r="H283" s="1">
        <v>3000</v>
      </c>
      <c r="I283" s="1" t="str">
        <f>CONCATENATE(H283,"-",$J$4)</f>
        <v xml:space="preserve">3000-strieborná </v>
      </c>
      <c r="Z283" s="1" t="b">
        <f t="shared" si="34"/>
        <v>1</v>
      </c>
    </row>
    <row r="284" spans="1:26" ht="15" customHeight="1" x14ac:dyDescent="0.25">
      <c r="A284" s="53">
        <v>349819</v>
      </c>
      <c r="B284" s="52"/>
      <c r="C284" s="1" t="str">
        <f>CONCATENATE(H284,"-",$J$4)</f>
        <v xml:space="preserve">4000-strieborná </v>
      </c>
      <c r="D284" s="53">
        <v>349819</v>
      </c>
      <c r="E284" s="52" t="str">
        <f>+VLOOKUP(A284,cennik!$A:$G,2,FALSE)</f>
        <v>SEVROLL 04499 Blue-V spodné vedenie  4m strieborná</v>
      </c>
      <c r="F284" s="52" t="str">
        <f>+VLOOKUP(A284,cennik!A:B,2,FALSE)</f>
        <v>SEVROLL 04499 Blue-V spodné vedenie  4m strieborná</v>
      </c>
      <c r="H284" s="1">
        <v>4000</v>
      </c>
      <c r="I284" s="1" t="str">
        <f>CONCATENATE(H284,"-",$J$4)</f>
        <v xml:space="preserve">4000-strieborná </v>
      </c>
      <c r="Z284" s="1" t="b">
        <f t="shared" si="34"/>
        <v>1</v>
      </c>
    </row>
    <row r="285" spans="1:26" ht="15" customHeight="1" x14ac:dyDescent="0.25">
      <c r="A285" s="53">
        <v>349818</v>
      </c>
      <c r="B285" s="52"/>
      <c r="C285" s="1" t="str">
        <f>CONCATENATE(H285,"-",$J$4)</f>
        <v xml:space="preserve">6000-strieborná </v>
      </c>
      <c r="D285" s="53">
        <v>349818</v>
      </c>
      <c r="E285" s="52" t="str">
        <f>+VLOOKUP(A285,cennik!$A:$G,2,FALSE)</f>
        <v>SEVROLL 04500 Blue-V spodné vedenie  6m strieborná</v>
      </c>
      <c r="F285" s="52" t="str">
        <f>+VLOOKUP(A285,cennik!A:B,2,FALSE)</f>
        <v>SEVROLL 04500 Blue-V spodné vedenie  6m strieborná</v>
      </c>
      <c r="H285" s="1">
        <v>6000</v>
      </c>
      <c r="I285" s="1" t="str">
        <f>CONCATENATE(H285,"-",$J$4)</f>
        <v xml:space="preserve">6000-strieborná </v>
      </c>
      <c r="Z285" s="1" t="b">
        <f t="shared" si="34"/>
        <v>1</v>
      </c>
    </row>
    <row r="286" spans="1:26" ht="15" customHeight="1" x14ac:dyDescent="0.25">
      <c r="A286" s="2">
        <v>488257</v>
      </c>
      <c r="C286" s="1" t="str">
        <f>CONCATENATE(H286,"-",$J$17)</f>
        <v>1500-čierna mat</v>
      </c>
      <c r="D286" s="2">
        <v>488257</v>
      </c>
      <c r="E286" s="52" t="str">
        <f>+VLOOKUP(A286,cennik!$A:$G,2,FALSE)</f>
        <v>SEVROLL 05751 Blue-V spodné vedenie 2m čierna mat</v>
      </c>
      <c r="F286" s="52" t="str">
        <f>+VLOOKUP(A286,cennik!A:B,2,FALSE)</f>
        <v>SEVROLL 05751 Blue-V spodné vedenie 2m čierna mat</v>
      </c>
      <c r="H286" s="1">
        <v>1500</v>
      </c>
      <c r="I286" s="1" t="str">
        <f>CONCATENATE(H286,"-",$J$17)</f>
        <v>1500-čierna mat</v>
      </c>
      <c r="Z286" s="1" t="b">
        <f t="shared" si="34"/>
        <v>1</v>
      </c>
    </row>
    <row r="287" spans="1:26" ht="15" customHeight="1" x14ac:dyDescent="0.25">
      <c r="A287" s="2">
        <v>488257</v>
      </c>
      <c r="C287" s="1" t="str">
        <f t="shared" ref="C287:C289" si="39">CONCATENATE(H287,"-",$J$17)</f>
        <v>2000-čierna mat</v>
      </c>
      <c r="D287" s="2">
        <v>488257</v>
      </c>
      <c r="E287" s="52" t="str">
        <f>+VLOOKUP(A287,cennik!$A:$G,2,FALSE)</f>
        <v>SEVROLL 05751 Blue-V spodné vedenie 2m čierna mat</v>
      </c>
      <c r="F287" s="52" t="str">
        <f>+VLOOKUP(A287,cennik!A:B,2,FALSE)</f>
        <v>SEVROLL 05751 Blue-V spodné vedenie 2m čierna mat</v>
      </c>
      <c r="H287" s="1">
        <v>2000</v>
      </c>
      <c r="I287" s="1" t="str">
        <f t="shared" ref="I287:I289" si="40">CONCATENATE(H287,"-",$J$17)</f>
        <v>2000-čierna mat</v>
      </c>
      <c r="Z287" s="1" t="b">
        <f t="shared" si="34"/>
        <v>1</v>
      </c>
    </row>
    <row r="288" spans="1:26" ht="15" customHeight="1" x14ac:dyDescent="0.25">
      <c r="A288" s="2">
        <v>488258</v>
      </c>
      <c r="C288" s="1" t="str">
        <f t="shared" si="39"/>
        <v>3000-čierna mat</v>
      </c>
      <c r="D288" s="2">
        <v>488258</v>
      </c>
      <c r="E288" s="52" t="str">
        <f>+VLOOKUP(A288,cennik!$A:$G,2,FALSE)</f>
        <v>SEVROLL 05752 Blue-V spodné vedenie 3m čierna mat</v>
      </c>
      <c r="F288" s="52" t="str">
        <f>+VLOOKUP(A288,cennik!A:B,2,FALSE)</f>
        <v>SEVROLL 05752 Blue-V spodné vedenie 3m čierna mat</v>
      </c>
      <c r="H288" s="1">
        <v>3000</v>
      </c>
      <c r="I288" s="1" t="str">
        <f t="shared" si="40"/>
        <v>3000-čierna mat</v>
      </c>
      <c r="Z288" s="1" t="b">
        <f t="shared" si="34"/>
        <v>1</v>
      </c>
    </row>
    <row r="289" spans="1:26" ht="15" customHeight="1" x14ac:dyDescent="0.25">
      <c r="A289" s="2">
        <v>488259</v>
      </c>
      <c r="C289" s="1" t="str">
        <f t="shared" si="39"/>
        <v>6000-čierna mat</v>
      </c>
      <c r="D289" s="2">
        <v>488259</v>
      </c>
      <c r="E289" s="52" t="str">
        <f>+VLOOKUP(A289,cennik!$A:$G,2,FALSE)</f>
        <v>SEVROLL 05753 Blue-V spodné vedenie 6m čierna mat</v>
      </c>
      <c r="F289" s="52" t="str">
        <f>+VLOOKUP(A289,cennik!A:B,2,FALSE)</f>
        <v>SEVROLL 05753 Blue-V spodné vedenie 6m čierna mat</v>
      </c>
      <c r="H289" s="1">
        <v>6000</v>
      </c>
      <c r="I289" s="1" t="str">
        <f t="shared" si="40"/>
        <v>6000-čierna mat</v>
      </c>
      <c r="Z289" s="1" t="b">
        <f t="shared" si="34"/>
        <v>1</v>
      </c>
    </row>
    <row r="290" spans="1:26" ht="15" customHeight="1" x14ac:dyDescent="0.25">
      <c r="A290" s="556">
        <v>394283</v>
      </c>
      <c r="B290" s="556"/>
      <c r="C290" s="556" t="str">
        <f>CONCATENATE(H290,"-",$J$15)</f>
        <v>2000-biela lesk</v>
      </c>
      <c r="D290" s="556">
        <v>394283</v>
      </c>
      <c r="E290" s="554" t="str">
        <f>+VLOOKUP(A290,cennik!$A:$G,2,FALSE)</f>
        <v>SEVROLL 04934 Blue-V spodné vedenie 2m biela lesk</v>
      </c>
      <c r="F290" s="554" t="str">
        <f>+VLOOKUP(A290,cennik!A:B,2,FALSE)</f>
        <v>SEVROLL 04934 Blue-V spodné vedenie 2m biela lesk</v>
      </c>
      <c r="G290" s="556"/>
      <c r="H290" s="556">
        <v>2000</v>
      </c>
      <c r="I290" s="556" t="str">
        <f t="shared" ref="I290:I293" si="41">CONCATENATE(H290,"-",$J$15)</f>
        <v>2000-biela lesk</v>
      </c>
      <c r="Z290" s="1" t="b">
        <f t="shared" si="34"/>
        <v>1</v>
      </c>
    </row>
    <row r="291" spans="1:26" ht="15" customHeight="1" x14ac:dyDescent="0.25">
      <c r="A291" s="556">
        <v>394284</v>
      </c>
      <c r="B291" s="556"/>
      <c r="C291" s="556" t="str">
        <f t="shared" ref="C291:C293" si="42">CONCATENATE(H291,"-",$J$15)</f>
        <v>3000-biela lesk</v>
      </c>
      <c r="D291" s="556">
        <v>394284</v>
      </c>
      <c r="E291" s="554" t="str">
        <f>+VLOOKUP(A291,cennik!$A:$G,2,FALSE)</f>
        <v>SEVROLL 04935 Blue-V spodné vedenie 3m biela lesk</v>
      </c>
      <c r="F291" s="554" t="str">
        <f>+VLOOKUP(A291,cennik!A:B,2,FALSE)</f>
        <v>SEVROLL 04935 Blue-V spodné vedenie 3m biela lesk</v>
      </c>
      <c r="G291" s="556"/>
      <c r="H291" s="556">
        <v>3000</v>
      </c>
      <c r="I291" s="556" t="str">
        <f t="shared" si="41"/>
        <v>3000-biela lesk</v>
      </c>
      <c r="Z291" s="1" t="b">
        <f t="shared" si="34"/>
        <v>1</v>
      </c>
    </row>
    <row r="292" spans="1:26" ht="15" customHeight="1" x14ac:dyDescent="0.25">
      <c r="A292" s="556">
        <v>394285</v>
      </c>
      <c r="B292" s="556"/>
      <c r="C292" s="556" t="str">
        <f t="shared" si="42"/>
        <v>6000-biela lesk</v>
      </c>
      <c r="D292" s="556">
        <v>394285</v>
      </c>
      <c r="E292" s="554" t="str">
        <f>+VLOOKUP(A292,cennik!$A:$G,2,FALSE)</f>
        <v>SEVROLL 04936 Blue-V spodné vedenie 6m biela lesk</v>
      </c>
      <c r="F292" s="554" t="str">
        <f>+VLOOKUP(A292,cennik!A:B,2,FALSE)</f>
        <v>SEVROLL 04936 Blue-V spodné vedenie 6m biela lesk</v>
      </c>
      <c r="G292" s="556"/>
      <c r="H292" s="556">
        <v>6000</v>
      </c>
      <c r="I292" s="556" t="str">
        <f t="shared" si="41"/>
        <v>6000-biela lesk</v>
      </c>
      <c r="Z292" s="1" t="b">
        <f t="shared" si="34"/>
        <v>1</v>
      </c>
    </row>
    <row r="293" spans="1:26" ht="15" customHeight="1" x14ac:dyDescent="0.25">
      <c r="A293" s="556">
        <v>394283</v>
      </c>
      <c r="B293" s="556"/>
      <c r="C293" s="556" t="str">
        <f t="shared" si="42"/>
        <v>1500-biela lesk</v>
      </c>
      <c r="D293" s="556">
        <v>394283</v>
      </c>
      <c r="E293" s="554" t="str">
        <f>+VLOOKUP(A293,cennik!$A:$G,2,FALSE)</f>
        <v>SEVROLL 04934 Blue-V spodné vedenie 2m biela lesk</v>
      </c>
      <c r="F293" s="554" t="str">
        <f>+VLOOKUP(A293,cennik!A:B,2,FALSE)</f>
        <v>SEVROLL 04934 Blue-V spodné vedenie 2m biela lesk</v>
      </c>
      <c r="G293" s="556"/>
      <c r="H293" s="556">
        <v>1500</v>
      </c>
      <c r="I293" s="556" t="str">
        <f t="shared" si="41"/>
        <v>1500-biela lesk</v>
      </c>
      <c r="Z293" s="1" t="b">
        <f t="shared" si="34"/>
        <v>1</v>
      </c>
    </row>
    <row r="294" spans="1:26" ht="15" customHeight="1" x14ac:dyDescent="0.25">
      <c r="A294" s="53">
        <v>349812</v>
      </c>
      <c r="B294" s="52"/>
      <c r="C294" s="1" t="str">
        <f>CONCATENATE(H294,"-",$J$6)</f>
        <v>1500-oliva</v>
      </c>
      <c r="D294" s="53">
        <v>349812</v>
      </c>
      <c r="E294" s="52" t="str">
        <f>+VLOOKUP(A294,cennik!$A:$G,2,FALSE)</f>
        <v>SEVROLL 04489 Blue-V spodné vedenie 1,5m oliva</v>
      </c>
      <c r="F294" s="52" t="str">
        <f>+VLOOKUP(A294,cennik!A:B,2,FALSE)</f>
        <v>SEVROLL 04489 Blue-V spodné vedenie 1,5m oliva</v>
      </c>
      <c r="H294" s="1">
        <v>1500</v>
      </c>
      <c r="I294" s="1" t="str">
        <f>CONCATENATE(H294,"-",$J$6)</f>
        <v>1500-oliva</v>
      </c>
      <c r="Z294" s="1" t="b">
        <f t="shared" si="34"/>
        <v>1</v>
      </c>
    </row>
    <row r="295" spans="1:26" ht="15" customHeight="1" x14ac:dyDescent="0.25">
      <c r="A295" s="53">
        <v>349809</v>
      </c>
      <c r="B295" s="52"/>
      <c r="C295" s="1" t="str">
        <f>CONCATENATE(H295,"-",$J$6)</f>
        <v>2000-oliva</v>
      </c>
      <c r="D295" s="53">
        <v>349809</v>
      </c>
      <c r="E295" s="52" t="str">
        <f>+VLOOKUP(A295,cennik!$A:$G,2,FALSE)</f>
        <v>SEVROLL 04490 Blue-V spodné vedenie  2m oliva</v>
      </c>
      <c r="F295" s="52" t="str">
        <f>+VLOOKUP(A295,cennik!A:B,2,FALSE)</f>
        <v>SEVROLL 04490 Blue-V spodné vedenie  2m oliva</v>
      </c>
      <c r="H295" s="1">
        <v>2000</v>
      </c>
      <c r="I295" s="1" t="str">
        <f>CONCATENATE(H295,"-",$J$6)</f>
        <v>2000-oliva</v>
      </c>
      <c r="Z295" s="1" t="b">
        <f t="shared" si="34"/>
        <v>1</v>
      </c>
    </row>
    <row r="296" spans="1:26" ht="15" customHeight="1" x14ac:dyDescent="0.25">
      <c r="A296" s="53">
        <v>349815</v>
      </c>
      <c r="B296" s="52"/>
      <c r="C296" s="1" t="str">
        <f>CONCATENATE(H296,"-",$J$6)</f>
        <v>3000-oliva</v>
      </c>
      <c r="D296" s="53">
        <v>349815</v>
      </c>
      <c r="E296" s="52" t="str">
        <f>+VLOOKUP(A296,cennik!$A:$G,2,FALSE)</f>
        <v>SEVROLL 04492 Blue-V spodné vedenie  3m oliva</v>
      </c>
      <c r="F296" s="52" t="str">
        <f>+VLOOKUP(A296,cennik!A:B,2,FALSE)</f>
        <v>SEVROLL 04492 Blue-V spodné vedenie  3m oliva</v>
      </c>
      <c r="H296" s="1">
        <v>3000</v>
      </c>
      <c r="I296" s="1" t="str">
        <f>CONCATENATE(H296,"-",$J$6)</f>
        <v>3000-oliva</v>
      </c>
      <c r="Z296" s="1" t="b">
        <f t="shared" si="34"/>
        <v>1</v>
      </c>
    </row>
    <row r="297" spans="1:26" ht="15" customHeight="1" x14ac:dyDescent="0.25">
      <c r="A297" s="53">
        <v>349816</v>
      </c>
      <c r="B297" s="52"/>
      <c r="C297" s="1" t="str">
        <f>CONCATENATE(H297,"-",$J$6)</f>
        <v>4000-oliva</v>
      </c>
      <c r="D297" s="53">
        <v>349816</v>
      </c>
      <c r="E297" s="52" t="str">
        <f>+VLOOKUP(A297,cennik!$A:$G,2,FALSE)</f>
        <v>SEVROLL 04493 Blue-V spodné vedenie  4m oliva</v>
      </c>
      <c r="F297" s="52" t="str">
        <f>+VLOOKUP(A297,cennik!A:B,2,FALSE)</f>
        <v>SEVROLL 04493 Blue-V spodné vedenie  4m oliva</v>
      </c>
      <c r="H297" s="1">
        <v>4000</v>
      </c>
      <c r="I297" s="1" t="str">
        <f>CONCATENATE(H297,"-",$J$6)</f>
        <v>4000-oliva</v>
      </c>
      <c r="Z297" s="1" t="b">
        <f t="shared" si="34"/>
        <v>1</v>
      </c>
    </row>
    <row r="298" spans="1:26" ht="15" customHeight="1" x14ac:dyDescent="0.25">
      <c r="A298" s="53">
        <v>349817</v>
      </c>
      <c r="B298" s="52"/>
      <c r="C298" s="1" t="str">
        <f>CONCATENATE(H298,"-",$J$6)</f>
        <v>6000-oliva</v>
      </c>
      <c r="D298" s="53">
        <v>349817</v>
      </c>
      <c r="E298" s="52" t="str">
        <f>+VLOOKUP(A298,cennik!$A:$G,2,FALSE)</f>
        <v>SEVROLL 04494 Blue-V spodné vedenie 6m oliva</v>
      </c>
      <c r="F298" s="52" t="str">
        <f>+VLOOKUP(A298,cennik!A:B,2,FALSE)</f>
        <v>SEVROLL 04494 Blue-V spodné vedenie 6m oliva</v>
      </c>
      <c r="H298" s="1">
        <v>6000</v>
      </c>
      <c r="I298" s="1" t="str">
        <f>CONCATENATE(H298,"-",$J$6)</f>
        <v>6000-oliva</v>
      </c>
      <c r="Z298" s="1" t="b">
        <f t="shared" si="34"/>
        <v>1</v>
      </c>
    </row>
    <row r="299" spans="1:26" ht="15" customHeight="1" x14ac:dyDescent="0.25">
      <c r="A299" s="53"/>
      <c r="B299" s="52" t="s">
        <v>22</v>
      </c>
      <c r="D299" s="53"/>
      <c r="E299" s="52" t="e">
        <f>+VLOOKUP(A299,cennik!$A:$G,2,FALSE)</f>
        <v>#N/A</v>
      </c>
      <c r="F299" s="52" t="e">
        <f>+VLOOKUP(A299,cennik!A:B,2,FALSE)</f>
        <v>#N/A</v>
      </c>
      <c r="G299" s="1" t="e">
        <f>+VLOOKUP(A299,#REF!,4,FALSE)</f>
        <v>#REF!</v>
      </c>
      <c r="H299" s="1" t="s">
        <v>71</v>
      </c>
      <c r="Z299" s="1" t="b">
        <f t="shared" si="34"/>
        <v>1</v>
      </c>
    </row>
    <row r="300" spans="1:26" ht="15" customHeight="1" x14ac:dyDescent="0.25">
      <c r="A300" s="53">
        <v>98073</v>
      </c>
      <c r="B300" s="52" t="s">
        <v>23</v>
      </c>
      <c r="C300" s="1" t="str">
        <f>$J$4</f>
        <v xml:space="preserve">strieborná </v>
      </c>
      <c r="D300" s="53">
        <v>98073</v>
      </c>
      <c r="E300" s="52" t="str">
        <f>+VLOOKUP(A300,cennik!$A:$G,2,FALSE)</f>
        <v>SEVROLL System 10 II úch.lišta 2,7m striebor</v>
      </c>
      <c r="F300" s="52" t="str">
        <f>+VLOOKUP(A300,cennik!A:B,2,FALSE)</f>
        <v>SEVROLL System 10 II úch.lišta 2,7m striebor</v>
      </c>
      <c r="G300" s="1" t="e">
        <f>+VLOOKUP(A300,#REF!,4,FALSE)</f>
        <v>#REF!</v>
      </c>
      <c r="I300" s="1" t="str">
        <f>$J$4</f>
        <v xml:space="preserve">strieborná </v>
      </c>
      <c r="Z300" s="1" t="b">
        <f t="shared" si="34"/>
        <v>1</v>
      </c>
    </row>
    <row r="301" spans="1:26" ht="15" customHeight="1" x14ac:dyDescent="0.25">
      <c r="A301" s="53">
        <v>98074</v>
      </c>
      <c r="B301" s="52"/>
      <c r="C301" s="1" t="str">
        <f>$J$6</f>
        <v>oliva</v>
      </c>
      <c r="D301" s="53">
        <v>98074</v>
      </c>
      <c r="E301" s="52" t="str">
        <f>+VLOOKUP(A301,cennik!$A:$G,2,FALSE)</f>
        <v>SEVROLL System 10 II úch.lišta 2,7m oliva</v>
      </c>
      <c r="F301" s="52" t="str">
        <f>+VLOOKUP(A301,cennik!A:B,2,FALSE)</f>
        <v>SEVROLL System 10 II úch.lišta 2,7m oliva</v>
      </c>
      <c r="G301" s="1" t="e">
        <f>+VLOOKUP(A301,#REF!,4,FALSE)</f>
        <v>#REF!</v>
      </c>
      <c r="I301" s="1" t="str">
        <f>$J$6</f>
        <v>oliva</v>
      </c>
      <c r="Z301" s="1" t="b">
        <f t="shared" si="34"/>
        <v>1</v>
      </c>
    </row>
    <row r="302" spans="1:26" ht="15" customHeight="1" x14ac:dyDescent="0.25">
      <c r="A302" s="53">
        <v>98075</v>
      </c>
      <c r="B302" s="52"/>
      <c r="C302" s="1" t="str">
        <f>$J$5</f>
        <v>zlatá</v>
      </c>
      <c r="D302" s="53">
        <v>98075</v>
      </c>
      <c r="E302" s="52" t="str">
        <f>+VLOOKUP(A302,cennik!$A:$G,2,FALSE)</f>
        <v>SEVROLL System 10 II úchytová lišta 2,7m zlatá</v>
      </c>
      <c r="F302" s="52" t="str">
        <f>+VLOOKUP(A302,cennik!A:B,2,FALSE)</f>
        <v>SEVROLL System 10 II úchytová lišta 2,7m zlatá</v>
      </c>
      <c r="G302" s="1" t="e">
        <f>+VLOOKUP(A302,#REF!,4,FALSE)</f>
        <v>#REF!</v>
      </c>
      <c r="I302" s="1" t="str">
        <f>$J$5</f>
        <v>zlatá</v>
      </c>
      <c r="Z302" s="1" t="b">
        <f t="shared" si="34"/>
        <v>1</v>
      </c>
    </row>
    <row r="303" spans="1:26" ht="15" customHeight="1" x14ac:dyDescent="0.25">
      <c r="A303" s="53"/>
      <c r="B303" s="52"/>
      <c r="D303" s="53"/>
      <c r="E303" s="52" t="e">
        <f>+VLOOKUP(A303,cennik!$A:$G,2,FALSE)</f>
        <v>#N/A</v>
      </c>
      <c r="F303" s="52" t="e">
        <f>+VLOOKUP(A303,cennik!A:B,2,FALSE)</f>
        <v>#N/A</v>
      </c>
      <c r="G303" s="1" t="e">
        <f>+VLOOKUP(A303,#REF!,4,FALSE)</f>
        <v>#REF!</v>
      </c>
      <c r="H303" s="1" t="s">
        <v>71</v>
      </c>
      <c r="Z303" s="1" t="b">
        <f t="shared" si="34"/>
        <v>1</v>
      </c>
    </row>
    <row r="304" spans="1:26" ht="15" customHeight="1" x14ac:dyDescent="0.25">
      <c r="A304" s="53"/>
      <c r="B304" s="52" t="s">
        <v>25</v>
      </c>
      <c r="D304" s="53"/>
      <c r="E304" s="52" t="e">
        <f>+VLOOKUP(A304,cennik!$A:$G,2,FALSE)</f>
        <v>#N/A</v>
      </c>
      <c r="F304" s="52" t="e">
        <f>+VLOOKUP(A304,cennik!A:B,2,FALSE)</f>
        <v>#N/A</v>
      </c>
      <c r="G304" s="1" t="e">
        <f>+VLOOKUP(A304,#REF!,4,FALSE)</f>
        <v>#REF!</v>
      </c>
      <c r="H304" s="1" t="s">
        <v>71</v>
      </c>
      <c r="Z304" s="1" t="b">
        <f t="shared" si="34"/>
        <v>1</v>
      </c>
    </row>
    <row r="305" spans="1:26" s="539" customFormat="1" ht="15" customHeight="1" x14ac:dyDescent="0.25">
      <c r="A305" s="543">
        <v>89230</v>
      </c>
      <c r="B305" s="541"/>
      <c r="C305" s="539" t="str">
        <f>CONCATENATE(H305,"-",$J$4)</f>
        <v xml:space="preserve">1700-strieborná </v>
      </c>
      <c r="D305" s="543">
        <v>89230</v>
      </c>
      <c r="E305" s="541" t="str">
        <f>+VLOOKUP(A305,cennik!$A:$G,2,FALSE)</f>
        <v>SEVROLL 206 VOD.LIŠTA HOR.1,7M STRIEBOR.</v>
      </c>
      <c r="F305" s="541" t="str">
        <f>+VLOOKUP(A305,cennik!A:B,2,FALSE)</f>
        <v>SEVROLL 206 VOD.LIŠTA HOR.1,7M STRIEBOR.</v>
      </c>
      <c r="G305" s="539" t="e">
        <f>+VLOOKUP(A305,#REF!,4,FALSE)</f>
        <v>#REF!</v>
      </c>
      <c r="H305" s="539">
        <v>1700</v>
      </c>
      <c r="I305" s="539" t="str">
        <f>CONCATENATE(H305,"-",$J$4)</f>
        <v xml:space="preserve">1700-strieborná </v>
      </c>
      <c r="Z305" s="1" t="b">
        <f t="shared" si="34"/>
        <v>1</v>
      </c>
    </row>
    <row r="306" spans="1:26" s="539" customFormat="1" ht="15" customHeight="1" x14ac:dyDescent="0.25">
      <c r="A306" s="543">
        <v>89231</v>
      </c>
      <c r="B306" s="541"/>
      <c r="C306" s="539" t="str">
        <f>CONCATENATE(H306,"-",$J$6)</f>
        <v>1700-oliva</v>
      </c>
      <c r="D306" s="543">
        <v>89231</v>
      </c>
      <c r="E306" s="541" t="str">
        <f>+VLOOKUP(A306,cennik!$A:$G,2,FALSE)</f>
        <v>SEVROLL 206 VOD.LIŠTA HOR.1,7M OLIVOVÁ</v>
      </c>
      <c r="F306" s="541" t="str">
        <f>+VLOOKUP(A306,cennik!A:B,2,FALSE)</f>
        <v>SEVROLL 206 VOD.LIŠTA HOR.1,7M OLIVOVÁ</v>
      </c>
      <c r="G306" s="539" t="e">
        <f>+VLOOKUP(A306,#REF!,4,FALSE)</f>
        <v>#REF!</v>
      </c>
      <c r="H306" s="539">
        <v>1700</v>
      </c>
      <c r="I306" s="539" t="str">
        <f>CONCATENATE(H306,"-",$J$6)</f>
        <v>1700-oliva</v>
      </c>
      <c r="Z306" s="1" t="b">
        <f t="shared" si="34"/>
        <v>1</v>
      </c>
    </row>
    <row r="307" spans="1:26" s="539" customFormat="1" ht="15" customHeight="1" x14ac:dyDescent="0.25">
      <c r="A307" s="543">
        <v>89251</v>
      </c>
      <c r="B307" s="541"/>
      <c r="C307" s="539" t="str">
        <f>CONCATENATE(H307,"-",$J$5)</f>
        <v>1700-zlatá</v>
      </c>
      <c r="D307" s="543">
        <v>89251</v>
      </c>
      <c r="E307" s="541" t="str">
        <f>+VLOOKUP(A307,cennik!$A:$G,2,FALSE)</f>
        <v>SEVROLL - horná vodiaca lišta 1,7m zlatá</v>
      </c>
      <c r="F307" s="541" t="str">
        <f>+VLOOKUP(A307,cennik!A:B,2,FALSE)</f>
        <v>SEVROLL - horná vodiaca lišta 1,7m zlatá</v>
      </c>
      <c r="G307" s="539" t="e">
        <f>+VLOOKUP(A307,#REF!,4,FALSE)</f>
        <v>#REF!</v>
      </c>
      <c r="H307" s="539">
        <v>1700</v>
      </c>
      <c r="I307" s="539" t="str">
        <f>CONCATENATE(H307,"-",$J$5)</f>
        <v>1700-zlatá</v>
      </c>
      <c r="Z307" s="1" t="b">
        <f t="shared" si="34"/>
        <v>1</v>
      </c>
    </row>
    <row r="308" spans="1:26" s="539" customFormat="1" ht="15" customHeight="1" x14ac:dyDescent="0.25">
      <c r="A308" s="543">
        <v>89232</v>
      </c>
      <c r="B308" s="541"/>
      <c r="C308" s="539" t="str">
        <f>CONCATENATE(H308,"-",$J$4)</f>
        <v xml:space="preserve">2350-strieborná </v>
      </c>
      <c r="D308" s="543">
        <v>89232</v>
      </c>
      <c r="E308" s="541" t="str">
        <f>+VLOOKUP(A308,cennik!$A:$G,2,FALSE)</f>
        <v>SEVROLL 207 VOD.LIŠTA HOR.2,35M STRIEBOR</v>
      </c>
      <c r="F308" s="541" t="str">
        <f>+VLOOKUP(A308,cennik!A:B,2,FALSE)</f>
        <v>SEVROLL 207 VOD.LIŠTA HOR.2,35M STRIEBOR</v>
      </c>
      <c r="G308" s="539" t="e">
        <f>+VLOOKUP(A308,#REF!,4,FALSE)</f>
        <v>#REF!</v>
      </c>
      <c r="H308" s="539">
        <v>2350</v>
      </c>
      <c r="I308" s="539" t="str">
        <f>CONCATENATE(H308,"-",$J$4)</f>
        <v xml:space="preserve">2350-strieborná </v>
      </c>
      <c r="Z308" s="1" t="b">
        <f t="shared" si="34"/>
        <v>1</v>
      </c>
    </row>
    <row r="309" spans="1:26" s="539" customFormat="1" ht="15" customHeight="1" x14ac:dyDescent="0.25">
      <c r="A309" s="543">
        <v>89233</v>
      </c>
      <c r="B309" s="541"/>
      <c r="C309" s="539" t="str">
        <f>CONCATENATE(H309,"-",$J$6)</f>
        <v>2350-oliva</v>
      </c>
      <c r="D309" s="543">
        <v>89233</v>
      </c>
      <c r="E309" s="541" t="str">
        <f>+VLOOKUP(A309,cennik!$A:$G,2,FALSE)</f>
        <v>SEVROLL 207 VOD.LIŠTA HOR.2,35M OLIVOVÁ</v>
      </c>
      <c r="F309" s="541" t="str">
        <f>+VLOOKUP(A309,cennik!A:B,2,FALSE)</f>
        <v>SEVROLL 207 VOD.LIŠTA HOR.2,35M OLIVOVÁ</v>
      </c>
      <c r="G309" s="539" t="e">
        <f>+VLOOKUP(A309,#REF!,4,FALSE)</f>
        <v>#REF!</v>
      </c>
      <c r="H309" s="539">
        <v>2350</v>
      </c>
      <c r="I309" s="539" t="str">
        <f>CONCATENATE(H309,"-",$J$6)</f>
        <v>2350-oliva</v>
      </c>
      <c r="Z309" s="1" t="b">
        <f t="shared" si="34"/>
        <v>1</v>
      </c>
    </row>
    <row r="310" spans="1:26" s="539" customFormat="1" ht="15" customHeight="1" x14ac:dyDescent="0.25">
      <c r="A310" s="543">
        <v>89252</v>
      </c>
      <c r="B310" s="541"/>
      <c r="C310" s="539" t="str">
        <f>CONCATENATE(H310,"-",$J$5)</f>
        <v>2350-zlatá</v>
      </c>
      <c r="D310" s="543">
        <v>89252</v>
      </c>
      <c r="E310" s="541" t="str">
        <f>+VLOOKUP(A310,cennik!$A:$G,2,FALSE)</f>
        <v>SEVROLL horná vodiaca lišta 2,35m zlatá</v>
      </c>
      <c r="F310" s="541" t="str">
        <f>+VLOOKUP(A310,cennik!A:B,2,FALSE)</f>
        <v>SEVROLL horná vodiaca lišta 2,35m zlatá</v>
      </c>
      <c r="G310" s="539" t="e">
        <f>+VLOOKUP(A310,#REF!,4,FALSE)</f>
        <v>#REF!</v>
      </c>
      <c r="H310" s="539">
        <v>2350</v>
      </c>
      <c r="I310" s="539" t="str">
        <f>CONCATENATE(H310,"-",$J$5)</f>
        <v>2350-zlatá</v>
      </c>
      <c r="Z310" s="1" t="b">
        <f t="shared" si="34"/>
        <v>1</v>
      </c>
    </row>
    <row r="311" spans="1:26" s="539" customFormat="1" ht="15" customHeight="1" x14ac:dyDescent="0.25">
      <c r="A311" s="543">
        <v>89234</v>
      </c>
      <c r="B311" s="541"/>
      <c r="C311" s="539" t="str">
        <f>CONCATENATE(H311,"-",$J$4)</f>
        <v xml:space="preserve">3000-strieborná </v>
      </c>
      <c r="D311" s="543">
        <v>89234</v>
      </c>
      <c r="E311" s="541" t="str">
        <f>+VLOOKUP(A311,cennik!$A:$G,2,FALSE)</f>
        <v>SEVROLL 208 VOD.LIŠTA HOR 3M STRIEBOR.</v>
      </c>
      <c r="F311" s="541" t="str">
        <f>+VLOOKUP(A311,cennik!A:B,2,FALSE)</f>
        <v>SEVROLL 208 VOD.LIŠTA HOR 3M STRIEBOR.</v>
      </c>
      <c r="G311" s="539" t="e">
        <f>+VLOOKUP(A311,#REF!,4,FALSE)</f>
        <v>#REF!</v>
      </c>
      <c r="H311" s="539">
        <v>3000</v>
      </c>
      <c r="I311" s="539" t="str">
        <f>CONCATENATE(H311,"-",$J$4)</f>
        <v xml:space="preserve">3000-strieborná </v>
      </c>
      <c r="Z311" s="1" t="b">
        <f t="shared" si="34"/>
        <v>1</v>
      </c>
    </row>
    <row r="312" spans="1:26" s="539" customFormat="1" ht="15" customHeight="1" x14ac:dyDescent="0.25">
      <c r="A312" s="543">
        <v>89235</v>
      </c>
      <c r="B312" s="541"/>
      <c r="C312" s="539" t="str">
        <f>CONCATENATE(H312,"-",$J$6)</f>
        <v>3000-oliva</v>
      </c>
      <c r="D312" s="543">
        <v>89235</v>
      </c>
      <c r="E312" s="541" t="str">
        <f>+VLOOKUP(A312,cennik!$A:$G,2,FALSE)</f>
        <v>SEVROLL 208 VOD.LIŠTA HOR 3M OLIVOVÁ</v>
      </c>
      <c r="F312" s="541" t="str">
        <f>+VLOOKUP(A312,cennik!A:B,2,FALSE)</f>
        <v>SEVROLL 208 VOD.LIŠTA HOR 3M OLIVOVÁ</v>
      </c>
      <c r="G312" s="539" t="e">
        <f>+VLOOKUP(A312,#REF!,4,FALSE)</f>
        <v>#REF!</v>
      </c>
      <c r="H312" s="539">
        <v>3000</v>
      </c>
      <c r="I312" s="539" t="str">
        <f>CONCATENATE(H312,"-",$J$6)</f>
        <v>3000-oliva</v>
      </c>
      <c r="Z312" s="1" t="b">
        <f t="shared" si="34"/>
        <v>1</v>
      </c>
    </row>
    <row r="313" spans="1:26" s="539" customFormat="1" ht="15" customHeight="1" x14ac:dyDescent="0.25">
      <c r="A313" s="543">
        <v>89253</v>
      </c>
      <c r="B313" s="541"/>
      <c r="C313" s="539" t="str">
        <f>CONCATENATE(H313,"-",$J$5)</f>
        <v>3000-zlatá</v>
      </c>
      <c r="D313" s="543">
        <v>89253</v>
      </c>
      <c r="E313" s="541" t="str">
        <f>+VLOOKUP(A313,cennik!$A:$G,2,FALSE)</f>
        <v>SEVROLL horná vodiaca lišta 3m zlatá</v>
      </c>
      <c r="F313" s="541" t="str">
        <f>+VLOOKUP(A313,cennik!A:B,2,FALSE)</f>
        <v>SEVROLL horná vodiaca lišta 3m zlatá</v>
      </c>
      <c r="G313" s="539" t="e">
        <f>+VLOOKUP(A313,#REF!,4,FALSE)</f>
        <v>#REF!</v>
      </c>
      <c r="H313" s="539">
        <v>3000</v>
      </c>
      <c r="I313" s="539" t="str">
        <f>CONCATENATE(H313,"-",$J$5)</f>
        <v>3000-zlatá</v>
      </c>
      <c r="Z313" s="1" t="b">
        <f t="shared" si="34"/>
        <v>1</v>
      </c>
    </row>
    <row r="314" spans="1:26" s="539" customFormat="1" ht="15" customHeight="1" x14ac:dyDescent="0.25">
      <c r="A314" s="543" t="s">
        <v>26</v>
      </c>
      <c r="B314" s="541"/>
      <c r="C314" s="539" t="str">
        <f>CONCATENATE(H314,"-",$J$4)</f>
        <v xml:space="preserve">4050-strieborná </v>
      </c>
      <c r="D314" s="543" t="s">
        <v>26</v>
      </c>
      <c r="E314" s="541" t="e">
        <f>+VLOOKUP(A314,cennik!$A:$G,2,FALSE)</f>
        <v>#N/A</v>
      </c>
      <c r="F314" s="541" t="e">
        <f>+VLOOKUP(A314,cennik!A:B,2,FALSE)</f>
        <v>#N/A</v>
      </c>
      <c r="G314" s="539" t="e">
        <f>+VLOOKUP(A314,#REF!,4,FALSE)</f>
        <v>#REF!</v>
      </c>
      <c r="H314" s="539">
        <v>4050</v>
      </c>
      <c r="I314" s="539" t="str">
        <f>CONCATENATE(H314,"-",$J$4)</f>
        <v xml:space="preserve">4050-strieborná </v>
      </c>
      <c r="Z314" s="1" t="b">
        <f t="shared" si="34"/>
        <v>1</v>
      </c>
    </row>
    <row r="315" spans="1:26" s="539" customFormat="1" ht="15" customHeight="1" x14ac:dyDescent="0.25">
      <c r="A315" s="543" t="s">
        <v>27</v>
      </c>
      <c r="B315" s="541"/>
      <c r="C315" s="539" t="str">
        <f>CONCATENATE(H315,"-",$J$6)</f>
        <v>4050-oliva</v>
      </c>
      <c r="D315" s="543" t="s">
        <v>27</v>
      </c>
      <c r="E315" s="541" t="e">
        <f>+VLOOKUP(A315,cennik!$A:$G,2,FALSE)</f>
        <v>#N/A</v>
      </c>
      <c r="F315" s="541" t="e">
        <f>+VLOOKUP(A315,cennik!A:B,2,FALSE)</f>
        <v>#N/A</v>
      </c>
      <c r="G315" s="539" t="e">
        <f>+VLOOKUP(A315,#REF!,4,FALSE)</f>
        <v>#REF!</v>
      </c>
      <c r="H315" s="539">
        <v>4050</v>
      </c>
      <c r="I315" s="539" t="str">
        <f>CONCATENATE(H315,"-",$J$6)</f>
        <v>4050-oliva</v>
      </c>
      <c r="Z315" s="1" t="b">
        <f t="shared" si="34"/>
        <v>1</v>
      </c>
    </row>
    <row r="316" spans="1:26" s="539" customFormat="1" ht="15" customHeight="1" x14ac:dyDescent="0.25">
      <c r="A316" s="543" t="s">
        <v>28</v>
      </c>
      <c r="B316" s="541"/>
      <c r="C316" s="539" t="str">
        <f>CONCATENATE(H316,"-",$J$5)</f>
        <v>4050-zlatá</v>
      </c>
      <c r="D316" s="543" t="s">
        <v>28</v>
      </c>
      <c r="E316" s="541" t="e">
        <f>+VLOOKUP(A316,cennik!$A:$G,2,FALSE)</f>
        <v>#N/A</v>
      </c>
      <c r="F316" s="541" t="e">
        <f>+VLOOKUP(A316,cennik!A:B,2,FALSE)</f>
        <v>#N/A</v>
      </c>
      <c r="G316" s="539" t="e">
        <f>+VLOOKUP(A316,#REF!,4,FALSE)</f>
        <v>#REF!</v>
      </c>
      <c r="H316" s="539">
        <v>4050</v>
      </c>
      <c r="I316" s="539" t="str">
        <f>CONCATENATE(H316,"-",$J$5)</f>
        <v>4050-zlatá</v>
      </c>
      <c r="Z316" s="1" t="b">
        <f t="shared" si="34"/>
        <v>1</v>
      </c>
    </row>
    <row r="317" spans="1:26" s="539" customFormat="1" ht="15" customHeight="1" x14ac:dyDescent="0.25">
      <c r="A317" s="543">
        <v>422043</v>
      </c>
      <c r="B317" s="541"/>
      <c r="C317" s="539" t="str">
        <f>CONCATENATE(H317,"-",$J$17)</f>
        <v>1700-čierna mat</v>
      </c>
      <c r="D317" s="543">
        <v>422043</v>
      </c>
      <c r="E317" s="541" t="str">
        <f>+VLOOKUP(A317,cennik!$A:$G,2,FALSE)</f>
        <v>SEVROLL 05301 horná vodiaca lišta 1,7m čierna mat</v>
      </c>
      <c r="F317" s="541" t="str">
        <f>+VLOOKUP(A317,cennik!A:B,2,FALSE)</f>
        <v>SEVROLL 05301 horná vodiaca lišta 1,7m čierna mat</v>
      </c>
      <c r="H317" s="539">
        <v>1700</v>
      </c>
      <c r="I317" s="539" t="str">
        <f>CONCATENATE(H317,"-",$J$17)</f>
        <v>1700-čierna mat</v>
      </c>
      <c r="Z317" s="1" t="b">
        <f t="shared" si="34"/>
        <v>1</v>
      </c>
    </row>
    <row r="318" spans="1:26" s="539" customFormat="1" ht="15" customHeight="1" x14ac:dyDescent="0.25">
      <c r="A318" s="543">
        <v>452608</v>
      </c>
      <c r="B318" s="541"/>
      <c r="C318" s="539" t="str">
        <f t="shared" ref="C318:C319" si="43">CONCATENATE(H318,"-",$J$17)</f>
        <v>2350-čierna mat</v>
      </c>
      <c r="D318" s="543">
        <v>452608</v>
      </c>
      <c r="E318" s="541" t="str">
        <f>+VLOOKUP(A318,cennik!$A:$G,2,FALSE)</f>
        <v>SEVROLL 05302 horná vodiaca lišta 2,35m čierna mat</v>
      </c>
      <c r="F318" s="541" t="str">
        <f>+VLOOKUP(A318,cennik!A:B,2,FALSE)</f>
        <v>SEVROLL 05302 horná vodiaca lišta 2,35m čierna mat</v>
      </c>
      <c r="H318" s="539">
        <v>2350</v>
      </c>
      <c r="I318" s="539" t="str">
        <f t="shared" ref="I318:I319" si="44">CONCATENATE(H318,"-",$J$17)</f>
        <v>2350-čierna mat</v>
      </c>
      <c r="Z318" s="1" t="b">
        <f t="shared" si="34"/>
        <v>1</v>
      </c>
    </row>
    <row r="319" spans="1:26" s="539" customFormat="1" ht="15" customHeight="1" x14ac:dyDescent="0.25">
      <c r="A319" s="543">
        <v>452734</v>
      </c>
      <c r="B319" s="541"/>
      <c r="C319" s="539" t="str">
        <f t="shared" si="43"/>
        <v>3000-čierna mat</v>
      </c>
      <c r="D319" s="543">
        <v>452734</v>
      </c>
      <c r="E319" s="541" t="str">
        <f>+VLOOKUP(A319,cennik!$A:$G,2,FALSE)</f>
        <v>SEVROLL 03605 horná vodiaca lišta 3m čierna mat</v>
      </c>
      <c r="F319" s="541" t="str">
        <f>+VLOOKUP(A319,cennik!A:B,2,FALSE)</f>
        <v>SEVROLL 03605 horná vodiaca lišta 3m čierna mat</v>
      </c>
      <c r="H319" s="539">
        <v>3000</v>
      </c>
      <c r="I319" s="539" t="str">
        <f t="shared" si="44"/>
        <v>3000-čierna mat</v>
      </c>
      <c r="Z319" s="1" t="b">
        <f t="shared" si="34"/>
        <v>1</v>
      </c>
    </row>
    <row r="320" spans="1:26" s="539" customFormat="1" ht="15" customHeight="1" x14ac:dyDescent="0.25">
      <c r="A320" s="543">
        <v>119414</v>
      </c>
      <c r="B320" s="541"/>
      <c r="C320" s="539" t="str">
        <f>CONCATENATE(H320,"-",$J$7)</f>
        <v>1700-oliva kartáčovaná</v>
      </c>
      <c r="D320" s="543">
        <v>119414</v>
      </c>
      <c r="E320" s="541" t="str">
        <f>+VLOOKUP(A320,cennik!$A:$G,2,FALSE)</f>
        <v>SEVROLL horná vodiaca lišta 1,7m oliva kart</v>
      </c>
      <c r="F320" s="541" t="str">
        <f>+VLOOKUP(A320,cennik!A:B,2,FALSE)</f>
        <v>SEVROLL horná vodiaca lišta 1,7m oliva kart</v>
      </c>
      <c r="G320" s="539" t="e">
        <f>+VLOOKUP(A320,#REF!,4,FALSE)</f>
        <v>#REF!</v>
      </c>
      <c r="H320" s="539">
        <v>1700</v>
      </c>
      <c r="I320" s="539" t="str">
        <f>CONCATENATE(H320,"-",$J$7)</f>
        <v>1700-oliva kartáčovaná</v>
      </c>
      <c r="Z320" s="1" t="b">
        <f t="shared" si="34"/>
        <v>1</v>
      </c>
    </row>
    <row r="321" spans="1:26" s="539" customFormat="1" ht="15" customHeight="1" x14ac:dyDescent="0.25">
      <c r="A321" s="543">
        <v>119415</v>
      </c>
      <c r="B321" s="541"/>
      <c r="C321" s="539" t="str">
        <f>CONCATENATE(H321,"-",$J$7)</f>
        <v>2350-oliva kartáčovaná</v>
      </c>
      <c r="D321" s="543">
        <v>119415</v>
      </c>
      <c r="E321" s="541" t="str">
        <f>+VLOOKUP(A321,cennik!$A:$G,2,FALSE)</f>
        <v>SEVROLL horná vodiaca lišta 2,35m oliva kart</v>
      </c>
      <c r="F321" s="541" t="str">
        <f>+VLOOKUP(A321,cennik!A:B,2,FALSE)</f>
        <v>SEVROLL horná vodiaca lišta 2,35m oliva kart</v>
      </c>
      <c r="G321" s="539" t="e">
        <f>+VLOOKUP(A321,#REF!,4,FALSE)</f>
        <v>#REF!</v>
      </c>
      <c r="H321" s="539">
        <v>2350</v>
      </c>
      <c r="I321" s="539" t="str">
        <f>CONCATENATE(H321,"-",$J$7)</f>
        <v>2350-oliva kartáčovaná</v>
      </c>
      <c r="Z321" s="1" t="b">
        <f t="shared" si="34"/>
        <v>1</v>
      </c>
    </row>
    <row r="322" spans="1:26" s="539" customFormat="1" ht="15" customHeight="1" x14ac:dyDescent="0.25">
      <c r="A322" s="543">
        <v>119416</v>
      </c>
      <c r="B322" s="541"/>
      <c r="C322" s="539" t="str">
        <f>CONCATENATE(H322,"-",$J$7)</f>
        <v>3000-oliva kartáčovaná</v>
      </c>
      <c r="D322" s="543">
        <v>119416</v>
      </c>
      <c r="E322" s="541" t="str">
        <f>+VLOOKUP(A322,cennik!$A:$G,2,FALSE)</f>
        <v>SEVROLL horná vodiaca lišta 3m oliva kartáč.</v>
      </c>
      <c r="F322" s="541" t="str">
        <f>+VLOOKUP(A322,cennik!A:B,2,FALSE)</f>
        <v>SEVROLL horná vodiaca lišta 3m oliva kartáč.</v>
      </c>
      <c r="G322" s="539" t="e">
        <f>+VLOOKUP(A322,#REF!,4,FALSE)</f>
        <v>#REF!</v>
      </c>
      <c r="H322" s="539">
        <v>3000</v>
      </c>
      <c r="I322" s="539" t="str">
        <f>CONCATENATE(H322,"-",$J$7)</f>
        <v>3000-oliva kartáčovaná</v>
      </c>
      <c r="Z322" s="1" t="b">
        <f t="shared" si="34"/>
        <v>1</v>
      </c>
    </row>
    <row r="323" spans="1:26" s="539" customFormat="1" ht="15" customHeight="1" x14ac:dyDescent="0.25">
      <c r="A323" s="543">
        <v>205103</v>
      </c>
      <c r="B323" s="541"/>
      <c r="C323" s="539" t="str">
        <f>CONCATENATE(H323,"-",$J$8)</f>
        <v>1700-kart. tm. oliva</v>
      </c>
      <c r="D323" s="543">
        <v>205103</v>
      </c>
      <c r="E323" s="541" t="str">
        <f>+VLOOKUP(A323,cennik!$A:$G,2,FALSE)</f>
        <v>SEVROLL 03100 horná vodiaca lišta 1,7m oliva tmavá kartáčovaná</v>
      </c>
      <c r="F323" s="541" t="str">
        <f>+VLOOKUP(A323,cennik!A:B,2,FALSE)</f>
        <v>SEVROLL 03100 horná vodiaca lišta 1,7m oliva tmavá kartáčovaná</v>
      </c>
      <c r="G323" s="539" t="e">
        <f>+VLOOKUP(A323,#REF!,4,FALSE)</f>
        <v>#REF!</v>
      </c>
      <c r="H323" s="539">
        <v>1700</v>
      </c>
      <c r="I323" s="539" t="str">
        <f>CONCATENATE(H323,"-",$J$8)</f>
        <v>1700-kart. tm. oliva</v>
      </c>
      <c r="Z323" s="1" t="b">
        <f t="shared" si="34"/>
        <v>1</v>
      </c>
    </row>
    <row r="324" spans="1:26" s="539" customFormat="1" ht="15" customHeight="1" x14ac:dyDescent="0.25">
      <c r="A324" s="543">
        <v>205156</v>
      </c>
      <c r="B324" s="541"/>
      <c r="C324" s="539" t="str">
        <f>CONCATENATE(H324,"-",$J$8)</f>
        <v>2350-kart. tm. oliva</v>
      </c>
      <c r="D324" s="543">
        <v>205156</v>
      </c>
      <c r="E324" s="541" t="str">
        <f>+VLOOKUP(A324,cennik!$A:$G,2,FALSE)</f>
        <v>SEVROLL 03101 horná vodiaca lišta 2,35m oliva tmavá kartáčovaná</v>
      </c>
      <c r="F324" s="541" t="str">
        <f>+VLOOKUP(A324,cennik!A:B,2,FALSE)</f>
        <v>SEVROLL 03101 horná vodiaca lišta 2,35m oliva tmavá kartáčovaná</v>
      </c>
      <c r="G324" s="539" t="e">
        <f>+VLOOKUP(A324,#REF!,4,FALSE)</f>
        <v>#REF!</v>
      </c>
      <c r="H324" s="539">
        <v>2350</v>
      </c>
      <c r="I324" s="539" t="str">
        <f>CONCATENATE(H324,"-",$J$8)</f>
        <v>2350-kart. tm. oliva</v>
      </c>
      <c r="Z324" s="1" t="b">
        <f t="shared" si="34"/>
        <v>1</v>
      </c>
    </row>
    <row r="325" spans="1:26" s="539" customFormat="1" ht="15" customHeight="1" x14ac:dyDescent="0.25">
      <c r="A325" s="543">
        <v>205158</v>
      </c>
      <c r="B325" s="541"/>
      <c r="C325" s="539" t="str">
        <f>CONCATENATE(H325,"-",$J$8)</f>
        <v>3000-kart. tm. oliva</v>
      </c>
      <c r="D325" s="543">
        <v>205158</v>
      </c>
      <c r="E325" s="541" t="str">
        <f>+VLOOKUP(A325,cennik!$A:$G,2,FALSE)</f>
        <v>SEVROLL 03102 horná vodiaca lišta 3m oliva tmavá kartáčovaná</v>
      </c>
      <c r="F325" s="541" t="str">
        <f>+VLOOKUP(A325,cennik!A:B,2,FALSE)</f>
        <v>SEVROLL 03102 horná vodiaca lišta 3m oliva tmavá kartáčovaná</v>
      </c>
      <c r="G325" s="539" t="e">
        <f>+VLOOKUP(A325,#REF!,4,FALSE)</f>
        <v>#REF!</v>
      </c>
      <c r="H325" s="539">
        <v>3000</v>
      </c>
      <c r="I325" s="539" t="str">
        <f>CONCATENATE(H325,"-",$J$8)</f>
        <v>3000-kart. tm. oliva</v>
      </c>
      <c r="Z325" s="1" t="b">
        <f t="shared" si="34"/>
        <v>1</v>
      </c>
    </row>
    <row r="326" spans="1:26" s="539" customFormat="1" ht="15" customHeight="1" x14ac:dyDescent="0.25">
      <c r="A326" s="543">
        <v>205105</v>
      </c>
      <c r="B326" s="541"/>
      <c r="C326" s="539" t="str">
        <f>CONCATENATE(H326,"-",$J$9)</f>
        <v>1700-kart. čierna</v>
      </c>
      <c r="D326" s="543">
        <v>205105</v>
      </c>
      <c r="E326" s="541" t="str">
        <f>+VLOOKUP(A326,cennik!$A:$G,2,FALSE)</f>
        <v>SEVROLL horná vodiaca lišta 1,7m čierna kartáčovaná</v>
      </c>
      <c r="F326" s="541" t="str">
        <f>+VLOOKUP(A326,cennik!A:B,2,FALSE)</f>
        <v>SEVROLL horná vodiaca lišta 1,7m čierna kartáčovaná</v>
      </c>
      <c r="H326" s="539">
        <v>1700</v>
      </c>
      <c r="I326" s="539" t="str">
        <f>CONCATENATE(H326,"-",$J$9)</f>
        <v>1700-kart. čierna</v>
      </c>
      <c r="Z326" s="1" t="b">
        <f t="shared" si="34"/>
        <v>1</v>
      </c>
    </row>
    <row r="327" spans="1:26" s="539" customFormat="1" ht="15" customHeight="1" x14ac:dyDescent="0.25">
      <c r="A327" s="543">
        <v>205157</v>
      </c>
      <c r="B327" s="541"/>
      <c r="C327" s="539" t="str">
        <f>CONCATENATE(H327,"-",$J$9)</f>
        <v>2350-kart. čierna</v>
      </c>
      <c r="D327" s="543">
        <v>205157</v>
      </c>
      <c r="E327" s="541" t="str">
        <f>+VLOOKUP(A327,cennik!$A:$G,2,FALSE)</f>
        <v>SEVROLL VODIACA LIŠTA 2,35M čierna KARTÁČ</v>
      </c>
      <c r="F327" s="541" t="str">
        <f>+VLOOKUP(A327,cennik!A:B,2,FALSE)</f>
        <v>SEVROLL VODIACA LIŠTA 2,35M čierna KARTÁČ</v>
      </c>
      <c r="H327" s="539">
        <v>2350</v>
      </c>
      <c r="I327" s="539" t="str">
        <f>CONCATENATE(H327,"-",$J$9)</f>
        <v>2350-kart. čierna</v>
      </c>
      <c r="Z327" s="1" t="b">
        <f t="shared" si="34"/>
        <v>1</v>
      </c>
    </row>
    <row r="328" spans="1:26" s="539" customFormat="1" ht="15" customHeight="1" x14ac:dyDescent="0.25">
      <c r="A328" s="543">
        <v>205159</v>
      </c>
      <c r="B328" s="541"/>
      <c r="C328" s="539" t="str">
        <f>CONCATENATE(H328,"-",$J$9)</f>
        <v>3000-kart. čierna</v>
      </c>
      <c r="D328" s="543">
        <v>205159</v>
      </c>
      <c r="E328" s="541" t="str">
        <f>+VLOOKUP(A328,cennik!$A:$G,2,FALSE)</f>
        <v>SEVROLL VODIACA LIŠTA 3M čierna KARTÁČ.</v>
      </c>
      <c r="F328" s="541" t="str">
        <f>+VLOOKUP(A328,cennik!A:B,2,FALSE)</f>
        <v>SEVROLL VODIACA LIŠTA 3M čierna KARTÁČ.</v>
      </c>
      <c r="H328" s="539">
        <v>3000</v>
      </c>
      <c r="I328" s="539" t="str">
        <f>CONCATENATE(H328,"-",$J$9)</f>
        <v>3000-kart. čierna</v>
      </c>
      <c r="Z328" s="1" t="b">
        <f t="shared" si="34"/>
        <v>1</v>
      </c>
    </row>
    <row r="329" spans="1:26" s="539" customFormat="1" ht="15" customHeight="1" x14ac:dyDescent="0.25">
      <c r="A329" s="543">
        <v>276737</v>
      </c>
      <c r="B329" s="541"/>
      <c r="C329" s="539" t="str">
        <f>CONCATENATE(H329,"-",$J$15)</f>
        <v>1700-biela lesk</v>
      </c>
      <c r="D329" s="543">
        <v>276737</v>
      </c>
      <c r="E329" s="541" t="str">
        <f>+VLOOKUP(A329,cennik!$A:$G,2,FALSE)</f>
        <v>SEVROLL 04064 horná vodiaca lišta 1,7m biela lesk</v>
      </c>
      <c r="F329" s="541" t="str">
        <f>+VLOOKUP(A329,cennik!A:B,2,FALSE)</f>
        <v>SEVROLL 04064 horná vodiaca lišta 1,7m biela lesk</v>
      </c>
      <c r="H329" s="539">
        <v>1700</v>
      </c>
      <c r="I329" s="539" t="str">
        <f>CONCATENATE(H329,"-",$J$15)</f>
        <v>1700-biela lesk</v>
      </c>
      <c r="Z329" s="1" t="b">
        <f t="shared" si="34"/>
        <v>1</v>
      </c>
    </row>
    <row r="330" spans="1:26" s="539" customFormat="1" ht="15" customHeight="1" x14ac:dyDescent="0.25">
      <c r="A330" s="543">
        <v>267944</v>
      </c>
      <c r="B330" s="541"/>
      <c r="C330" s="539" t="str">
        <f>CONCATENATE(H330,"-",$J$15)</f>
        <v>2350-biela lesk</v>
      </c>
      <c r="D330" s="543">
        <v>267944</v>
      </c>
      <c r="E330" s="541" t="str">
        <f>+VLOOKUP(A330,cennik!$A:$G,2,FALSE)</f>
        <v>SEVROLL 04065 horná vodiaca lišta 2,35m biela lesk</v>
      </c>
      <c r="F330" s="541" t="str">
        <f>+VLOOKUP(A330,cennik!A:B,2,FALSE)</f>
        <v>SEVROLL 04065 horná vodiaca lišta 2,35m biela lesk</v>
      </c>
      <c r="H330" s="539">
        <v>2350</v>
      </c>
      <c r="I330" s="539" t="str">
        <f>CONCATENATE(H330,"-",$J$15)</f>
        <v>2350-biela lesk</v>
      </c>
      <c r="Z330" s="1" t="b">
        <f t="shared" si="34"/>
        <v>1</v>
      </c>
    </row>
    <row r="331" spans="1:26" s="539" customFormat="1" ht="15" customHeight="1" x14ac:dyDescent="0.25">
      <c r="A331" s="543">
        <v>265066</v>
      </c>
      <c r="B331" s="541"/>
      <c r="C331" s="539" t="str">
        <f>CONCATENATE(H331,"-",$J$15)</f>
        <v>3000-biela lesk</v>
      </c>
      <c r="D331" s="543">
        <v>265066</v>
      </c>
      <c r="E331" s="541" t="str">
        <f>+VLOOKUP(A331,cennik!$A:$G,2,FALSE)</f>
        <v>SEVROLL 00169 horná vodiaca lišta 3m biela lesk</v>
      </c>
      <c r="F331" s="541" t="str">
        <f>+VLOOKUP(A331,cennik!A:B,2,FALSE)</f>
        <v>SEVROLL 00169 horná vodiaca lišta 3m biela lesk</v>
      </c>
      <c r="H331" s="539">
        <v>3000</v>
      </c>
      <c r="I331" s="539" t="str">
        <f>CONCATENATE(H331,"-",$J$15)</f>
        <v>3000-biela lesk</v>
      </c>
      <c r="Z331" s="1" t="b">
        <f t="shared" si="34"/>
        <v>1</v>
      </c>
    </row>
    <row r="332" spans="1:26" s="539" customFormat="1" ht="15" customHeight="1" x14ac:dyDescent="0.25">
      <c r="A332" s="543">
        <v>278058</v>
      </c>
      <c r="B332" s="541"/>
      <c r="C332" s="539" t="str">
        <f>CONCATENATE(H332,"-",$J$4)</f>
        <v xml:space="preserve">3000-strieborná </v>
      </c>
      <c r="D332" s="543">
        <v>278058</v>
      </c>
      <c r="E332" s="541" t="str">
        <f>+VLOOKUP(A332,cennik!$A:$G,2,FALSE)</f>
        <v>SEVROLL 04096 Pax horná vodiaca lišta 3m strieborná</v>
      </c>
      <c r="F332" s="541" t="str">
        <f>+VLOOKUP(A332,cennik!A:B,2,FALSE)</f>
        <v>SEVROLL 04096 Pax horná vodiaca lišta 3m strieborná</v>
      </c>
      <c r="H332" s="539">
        <v>3000</v>
      </c>
      <c r="I332" s="539" t="str">
        <f>CONCATENATE(H332,"-",$J$4)</f>
        <v xml:space="preserve">3000-strieborná </v>
      </c>
      <c r="Z332" s="1" t="b">
        <f t="shared" ref="Z332:Z398" si="45">A332=D332</f>
        <v>1</v>
      </c>
    </row>
    <row r="333" spans="1:26" s="539" customFormat="1" ht="15" customHeight="1" x14ac:dyDescent="0.25">
      <c r="A333" s="543">
        <v>284525</v>
      </c>
      <c r="B333" s="541"/>
      <c r="C333" s="539" t="str">
        <f>CONCATENATE(H333,"-",$J$15)</f>
        <v>3000-biela lesk</v>
      </c>
      <c r="D333" s="543">
        <v>284525</v>
      </c>
      <c r="E333" s="541" t="str">
        <f>+VLOOKUP(A333,cennik!$A:$G,2,FALSE)</f>
        <v>SEVROLL 04100 Pax horná vodiaca lišta 3m biela lesk</v>
      </c>
      <c r="F333" s="541" t="str">
        <f>+VLOOKUP(A333,cennik!A:B,2,FALSE)</f>
        <v>SEVROLL 04100 Pax horná vodiaca lišta 3m biela lesk</v>
      </c>
      <c r="H333" s="539">
        <v>3000</v>
      </c>
      <c r="I333" s="539" t="str">
        <f>CONCATENATE(H333,"-",$J$15)</f>
        <v>3000-biela lesk</v>
      </c>
      <c r="Z333" s="1" t="b">
        <f t="shared" si="45"/>
        <v>1</v>
      </c>
    </row>
    <row r="334" spans="1:26" s="539" customFormat="1" ht="15" customHeight="1" x14ac:dyDescent="0.25">
      <c r="A334" s="540">
        <v>405377</v>
      </c>
      <c r="C334" s="539" t="str">
        <f>CONCATENATE(H334,"-",$J$16)</f>
        <v>1700-čierna lesk</v>
      </c>
      <c r="D334" s="540">
        <v>405377</v>
      </c>
      <c r="E334" s="541" t="str">
        <f>+VLOOKUP(A334,cennik!$A:$G,2,FALSE)</f>
        <v>SEVROLL 05149 horná vodiaca lišta 1,7m čierna lesk</v>
      </c>
      <c r="F334" s="541" t="str">
        <f>+VLOOKUP(A334,cennik!A:B,2,FALSE)</f>
        <v>SEVROLL 05149 horná vodiaca lišta 1,7m čierna lesk</v>
      </c>
      <c r="H334" s="539">
        <v>1700</v>
      </c>
      <c r="I334" s="539" t="str">
        <f>CONCATENATE(H334,"-",$J$16)</f>
        <v>1700-čierna lesk</v>
      </c>
      <c r="Z334" s="1" t="b">
        <f t="shared" si="45"/>
        <v>1</v>
      </c>
    </row>
    <row r="335" spans="1:26" s="539" customFormat="1" ht="15" customHeight="1" x14ac:dyDescent="0.25">
      <c r="A335" s="540">
        <v>405379</v>
      </c>
      <c r="C335" s="539" t="str">
        <f>CONCATENATE(H335,"-",$J$16)</f>
        <v>2350-čierna lesk</v>
      </c>
      <c r="D335" s="540">
        <v>405379</v>
      </c>
      <c r="E335" s="541" t="str">
        <f>+VLOOKUP(A335,cennik!$A:$G,2,FALSE)</f>
        <v>SEVROLL 05150 horná vodiaca lišta 2,35m černa lesk</v>
      </c>
      <c r="F335" s="541" t="str">
        <f>+VLOOKUP(A335,cennik!A:B,2,FALSE)</f>
        <v>SEVROLL 05150 horná vodiaca lišta 2,35m černa lesk</v>
      </c>
      <c r="H335" s="539">
        <v>2350</v>
      </c>
      <c r="I335" s="539" t="str">
        <f>CONCATENATE(H335,"-",$J$16)</f>
        <v>2350-čierna lesk</v>
      </c>
      <c r="Z335" s="1" t="b">
        <f t="shared" si="45"/>
        <v>1</v>
      </c>
    </row>
    <row r="336" spans="1:26" s="539" customFormat="1" ht="15" customHeight="1" x14ac:dyDescent="0.25">
      <c r="A336" s="540">
        <v>405382</v>
      </c>
      <c r="C336" s="539" t="str">
        <f>CONCATENATE(H336,"-",$J$16)</f>
        <v>3000-čierna lesk</v>
      </c>
      <c r="D336" s="540">
        <v>405382</v>
      </c>
      <c r="E336" s="541" t="str">
        <f>+VLOOKUP(A336,cennik!$A:$G,2,FALSE)</f>
        <v>SEVROLL 05184 horná vodiaca lišta 3m čierna lesk</v>
      </c>
      <c r="F336" s="541" t="str">
        <f>+VLOOKUP(A336,cennik!A:B,2,FALSE)</f>
        <v>SEVROLL 05184 horná vodiaca lišta 3m čierna lesk</v>
      </c>
      <c r="H336" s="539">
        <v>3000</v>
      </c>
      <c r="I336" s="539" t="str">
        <f>CONCATENATE(H336,"-",$J$16)</f>
        <v>3000-čierna lesk</v>
      </c>
      <c r="Z336" s="1" t="b">
        <f t="shared" si="45"/>
        <v>1</v>
      </c>
    </row>
    <row r="337" spans="1:26" s="539" customFormat="1" ht="15" customHeight="1" x14ac:dyDescent="0.25">
      <c r="A337" s="540">
        <v>495477</v>
      </c>
      <c r="C337" s="539" t="str">
        <f>CONCATENATE(H337,"-",$J$12)</f>
        <v>1700-grafit</v>
      </c>
      <c r="D337" s="540">
        <v>495477</v>
      </c>
      <c r="E337" s="541" t="str">
        <f>+VLOOKUP(A337,cennik!$A:$G,2,FALSE)</f>
        <v>SEVROLL 06039 horná vodiaca lišta 1,7m grafit</v>
      </c>
      <c r="F337" s="541" t="str">
        <f>+VLOOKUP(A337,cennik!A:B,2,FALSE)</f>
        <v>SEVROLL 06039 horná vodiaca lišta 1,7m grafit</v>
      </c>
      <c r="H337" s="539">
        <v>1700</v>
      </c>
      <c r="I337" s="539" t="str">
        <f>CONCATENATE(H337,"-",$J$12)</f>
        <v>1700-grafit</v>
      </c>
      <c r="Z337" s="1" t="b">
        <f t="shared" si="45"/>
        <v>1</v>
      </c>
    </row>
    <row r="338" spans="1:26" s="539" customFormat="1" ht="15" customHeight="1" x14ac:dyDescent="0.25">
      <c r="A338" s="540">
        <v>495616</v>
      </c>
      <c r="C338" s="539" t="str">
        <f t="shared" ref="C338:C339" si="46">CONCATENATE(H338,"-",$J$12)</f>
        <v>2350-grafit</v>
      </c>
      <c r="D338" s="540">
        <v>495616</v>
      </c>
      <c r="E338" s="541" t="str">
        <f>+VLOOKUP(A338,cennik!$A:$G,2,FALSE)</f>
        <v>SEVROLL 06040 horná vod.lišta 2,35m grafit</v>
      </c>
      <c r="F338" s="541" t="str">
        <f>+VLOOKUP(A338,cennik!A:B,2,FALSE)</f>
        <v>SEVROLL 06040 horná vod.lišta 2,35m grafit</v>
      </c>
      <c r="H338" s="539">
        <v>2350</v>
      </c>
      <c r="I338" s="539" t="str">
        <f t="shared" ref="I338:I339" si="47">CONCATENATE(H338,"-",$J$12)</f>
        <v>2350-grafit</v>
      </c>
      <c r="Z338" s="1" t="b">
        <f t="shared" si="45"/>
        <v>1</v>
      </c>
    </row>
    <row r="339" spans="1:26" s="539" customFormat="1" ht="15" customHeight="1" x14ac:dyDescent="0.25">
      <c r="A339" s="540">
        <v>495617</v>
      </c>
      <c r="C339" s="539" t="str">
        <f t="shared" si="46"/>
        <v>3000-grafit</v>
      </c>
      <c r="D339" s="540">
        <v>495617</v>
      </c>
      <c r="E339" s="541" t="str">
        <f>+VLOOKUP(A339,cennik!$A:$G,2,FALSE)</f>
        <v>SEVROLL 05966 horná vodiaca lišta 3m grafit</v>
      </c>
      <c r="F339" s="541" t="str">
        <f>+VLOOKUP(A339,cennik!A:B,2,FALSE)</f>
        <v>SEVROLL 05966 horná vodiaca lišta 3m grafit</v>
      </c>
      <c r="H339" s="539">
        <v>3000</v>
      </c>
      <c r="I339" s="539" t="str">
        <f t="shared" si="47"/>
        <v>3000-grafit</v>
      </c>
      <c r="Z339" s="1" t="b">
        <f t="shared" si="45"/>
        <v>1</v>
      </c>
    </row>
    <row r="340" spans="1:26" s="539" customFormat="1" ht="15" customHeight="1" x14ac:dyDescent="0.25">
      <c r="A340" s="540">
        <v>497670</v>
      </c>
      <c r="C340" s="539" t="str">
        <f>CONCATENATE(H340,"-",$J$18)</f>
        <v>1700-biela mat</v>
      </c>
      <c r="D340" s="540">
        <v>497670</v>
      </c>
      <c r="E340" s="541" t="str">
        <f>+VLOOKUP(A340,cennik!$A:$G,2,FALSE)</f>
        <v>SEVROLL 05942 horná vodiaca lišta 1,7m biela mat</v>
      </c>
      <c r="F340" s="541" t="str">
        <f>+VLOOKUP(A340,cennik!A:B,2,FALSE)</f>
        <v>SEVROLL 05942 horná vodiaca lišta 1,7m biela mat</v>
      </c>
      <c r="H340" s="539">
        <v>1700</v>
      </c>
      <c r="I340" s="539" t="str">
        <f>CONCATENATE(H340,"-",$J$18)</f>
        <v>1700-biela mat</v>
      </c>
      <c r="Z340" s="1"/>
    </row>
    <row r="341" spans="1:26" s="539" customFormat="1" ht="15" customHeight="1" x14ac:dyDescent="0.25">
      <c r="A341" s="540">
        <v>497672</v>
      </c>
      <c r="C341" s="539" t="str">
        <f t="shared" ref="C341:C342" si="48">CONCATENATE(H341,"-",$J$18)</f>
        <v>2350-biela mat</v>
      </c>
      <c r="D341" s="540">
        <v>497672</v>
      </c>
      <c r="E341" s="541" t="str">
        <f>+VLOOKUP(A341,cennik!$A:$G,2,FALSE)</f>
        <v>SEVROLL 05943 horná vodiaca lišta 2,35m biela mat</v>
      </c>
      <c r="F341" s="541" t="str">
        <f>+VLOOKUP(A341,cennik!A:B,2,FALSE)</f>
        <v>SEVROLL 05943 horná vodiaca lišta 2,35m biela mat</v>
      </c>
      <c r="H341" s="539">
        <v>2350</v>
      </c>
      <c r="I341" s="539" t="str">
        <f t="shared" ref="I341:I342" si="49">CONCATENATE(H341,"-",$J$18)</f>
        <v>2350-biela mat</v>
      </c>
      <c r="Z341" s="1"/>
    </row>
    <row r="342" spans="1:26" s="539" customFormat="1" ht="15" customHeight="1" x14ac:dyDescent="0.25">
      <c r="A342" s="540">
        <v>497673</v>
      </c>
      <c r="C342" s="539" t="str">
        <f t="shared" si="48"/>
        <v>3000-biela mat</v>
      </c>
      <c r="D342" s="540">
        <v>497673</v>
      </c>
      <c r="E342" s="541" t="str">
        <f>+VLOOKUP(A342,cennik!$A:$G,2,FALSE)</f>
        <v>SEVROLL 00169 horná vodiaca lišta 3m biela mat</v>
      </c>
      <c r="F342" s="541" t="str">
        <f>+VLOOKUP(A342,cennik!A:B,2,FALSE)</f>
        <v>SEVROLL 00169 horná vodiaca lišta 3m biela mat</v>
      </c>
      <c r="H342" s="539">
        <v>3000</v>
      </c>
      <c r="I342" s="539" t="str">
        <f t="shared" si="49"/>
        <v>3000-biela mat</v>
      </c>
      <c r="Z342" s="1"/>
    </row>
    <row r="343" spans="1:26" s="539" customFormat="1" ht="15" customHeight="1" x14ac:dyDescent="0.25">
      <c r="A343" s="539">
        <v>422043</v>
      </c>
      <c r="C343" s="539" t="str">
        <f>CONCATENATE(H343,"-",$J$17)</f>
        <v>1700-čierna mat</v>
      </c>
      <c r="D343" s="539">
        <v>422043</v>
      </c>
      <c r="E343" s="541" t="str">
        <f>+VLOOKUP(A343,cennik!$A:$G,2,FALSE)</f>
        <v>SEVROLL 05301 horná vodiaca lišta 1,7m čierna mat</v>
      </c>
      <c r="F343" s="541" t="str">
        <f>+VLOOKUP(A343,cennik!A:B,2,FALSE)</f>
        <v>SEVROLL 05301 horná vodiaca lišta 1,7m čierna mat</v>
      </c>
      <c r="H343" s="539">
        <v>1700</v>
      </c>
      <c r="I343" s="539" t="str">
        <f>CONCATENATE(H343,"-",$J$17)</f>
        <v>1700-čierna mat</v>
      </c>
      <c r="Z343" s="1" t="b">
        <f t="shared" si="45"/>
        <v>1</v>
      </c>
    </row>
    <row r="344" spans="1:26" s="539" customFormat="1" ht="15" customHeight="1" x14ac:dyDescent="0.25">
      <c r="A344" s="539">
        <v>452608</v>
      </c>
      <c r="C344" s="539" t="str">
        <f>CONCATENATE(H344,"-",$J$17)</f>
        <v>2350-čierna mat</v>
      </c>
      <c r="D344" s="539">
        <v>452608</v>
      </c>
      <c r="E344" s="541" t="str">
        <f>+VLOOKUP(A344,cennik!$A:$G,2,FALSE)</f>
        <v>SEVROLL 05302 horná vodiaca lišta 2,35m čierna mat</v>
      </c>
      <c r="F344" s="541" t="str">
        <f>+VLOOKUP(A344,cennik!A:B,2,FALSE)</f>
        <v>SEVROLL 05302 horná vodiaca lišta 2,35m čierna mat</v>
      </c>
      <c r="H344" s="539">
        <v>2350</v>
      </c>
      <c r="I344" s="539" t="str">
        <f>CONCATENATE(H344,"-",$J$17)</f>
        <v>2350-čierna mat</v>
      </c>
      <c r="Z344" s="1" t="b">
        <f t="shared" si="45"/>
        <v>1</v>
      </c>
    </row>
    <row r="345" spans="1:26" ht="15" customHeight="1" x14ac:dyDescent="0.25">
      <c r="A345" s="540">
        <v>452734</v>
      </c>
      <c r="B345" s="539"/>
      <c r="C345" s="539" t="str">
        <f>CONCATENATE(H345,"-",$J$17)</f>
        <v>3000-čierna mat</v>
      </c>
      <c r="D345" s="540">
        <v>452734</v>
      </c>
      <c r="E345" s="541" t="str">
        <f>+VLOOKUP(A345,cennik!$A:$G,2,FALSE)</f>
        <v>SEVROLL 03605 horná vodiaca lišta 3m čierna mat</v>
      </c>
      <c r="F345" s="541" t="str">
        <f>+VLOOKUP(A345,cennik!A:B,2,FALSE)</f>
        <v>SEVROLL 03605 horná vodiaca lišta 3m čierna mat</v>
      </c>
      <c r="G345" s="539"/>
      <c r="H345" s="539">
        <v>3000</v>
      </c>
      <c r="I345" s="539" t="str">
        <f>CONCATENATE(H345,"-",$J$17)</f>
        <v>3000-čierna mat</v>
      </c>
      <c r="Z345" s="1" t="b">
        <f t="shared" si="45"/>
        <v>1</v>
      </c>
    </row>
    <row r="346" spans="1:26" ht="15" customHeight="1" x14ac:dyDescent="0.25">
      <c r="A346" s="2">
        <v>452735</v>
      </c>
      <c r="C346" s="1" t="str">
        <f>CONCATENATE(H346,"-",$J$17)</f>
        <v>3000-čierna mat</v>
      </c>
      <c r="D346" s="2">
        <v>452735</v>
      </c>
      <c r="E346" s="551" t="str">
        <f>+VLOOKUP(A346,cennik!$A:$G,2,FALSE)</f>
        <v>SEVROLL 05324 Pax horná vodiaca lišta 3m čierna mat</v>
      </c>
      <c r="F346" s="52" t="str">
        <f>+VLOOKUP(A346,cennik!A:B,2,FALSE)</f>
        <v>SEVROLL 05324 Pax horná vodiaca lišta 3m čierna mat</v>
      </c>
      <c r="H346" s="1">
        <v>3000</v>
      </c>
      <c r="I346" s="1" t="str">
        <f>CONCATENATE(H346,"-",$J$17)</f>
        <v>3000-čierna mat</v>
      </c>
      <c r="Z346" s="1" t="b">
        <f t="shared" si="45"/>
        <v>1</v>
      </c>
    </row>
    <row r="347" spans="1:26" ht="15" customHeight="1" x14ac:dyDescent="0.25">
      <c r="A347" s="53"/>
      <c r="B347" s="177" t="s">
        <v>968</v>
      </c>
      <c r="D347" s="53"/>
      <c r="E347" s="52"/>
      <c r="F347" s="52"/>
      <c r="G347" s="1" t="e">
        <f>+VLOOKUP(A347,#REF!,4,FALSE)</f>
        <v>#REF!</v>
      </c>
      <c r="H347" s="1" t="s">
        <v>71</v>
      </c>
      <c r="Z347" s="1" t="b">
        <f t="shared" si="45"/>
        <v>1</v>
      </c>
    </row>
    <row r="348" spans="1:26" ht="15" customHeight="1" x14ac:dyDescent="0.25">
      <c r="A348" s="53">
        <v>224146</v>
      </c>
      <c r="B348" s="178"/>
      <c r="C348" s="1" t="str">
        <f>CONCATENATE(H348,"-",$J$4)</f>
        <v xml:space="preserve">1500-strieborná </v>
      </c>
      <c r="D348" s="53">
        <v>224146</v>
      </c>
      <c r="E348" s="52" t="str">
        <f>+VLOOKUP(A348,cennik!$A:$G,2,FALSE)</f>
        <v>SEVROLL horná vodiaca lišta Simple/Blue 1,5m( pre lamino 10mm)strieborná</v>
      </c>
      <c r="F348" s="52" t="str">
        <f>+VLOOKUP(A348,cennik!A:B,2,FALSE)</f>
        <v>SEVROLL horná vodiaca lišta Simple/Blue 1,5m( pre lamino 10mm)strieborná</v>
      </c>
      <c r="H348" s="1">
        <v>1500</v>
      </c>
      <c r="I348" s="1" t="str">
        <f>CONCATENATE(H348,"-",$J$4)</f>
        <v xml:space="preserve">1500-strieborná </v>
      </c>
      <c r="Z348" s="1" t="b">
        <f t="shared" si="45"/>
        <v>1</v>
      </c>
    </row>
    <row r="349" spans="1:26" ht="15" customHeight="1" x14ac:dyDescent="0.25">
      <c r="A349" s="53">
        <v>224147</v>
      </c>
      <c r="B349" s="178"/>
      <c r="C349" s="1" t="str">
        <f>CONCATENATE(H349,"-",$J$4)</f>
        <v xml:space="preserve">2000-strieborná </v>
      </c>
      <c r="D349" s="53">
        <v>224147</v>
      </c>
      <c r="E349" s="52" t="str">
        <f>+VLOOKUP(A349,cennik!$A:$G,2,FALSE)</f>
        <v>SEVROLL horná vodiaca lišta Simple/Blue 2m(pre lamino 10mm)strieborná</v>
      </c>
      <c r="F349" s="52" t="str">
        <f>+VLOOKUP(A349,cennik!A:B,2,FALSE)</f>
        <v>SEVROLL horná vodiaca lišta Simple/Blue 2m(pre lamino 10mm)strieborná</v>
      </c>
      <c r="H349" s="1">
        <v>2000</v>
      </c>
      <c r="I349" s="1" t="str">
        <f>CONCATENATE(H349,"-",$J$4)</f>
        <v xml:space="preserve">2000-strieborná </v>
      </c>
      <c r="Z349" s="1" t="b">
        <f t="shared" si="45"/>
        <v>1</v>
      </c>
    </row>
    <row r="350" spans="1:26" ht="15" customHeight="1" x14ac:dyDescent="0.25">
      <c r="A350" s="53">
        <v>222573</v>
      </c>
      <c r="B350" s="178"/>
      <c r="C350" s="1" t="str">
        <f>CONCATENATE(H350,"-",$J$4)</f>
        <v xml:space="preserve">3000-strieborná </v>
      </c>
      <c r="D350" s="53">
        <v>222573</v>
      </c>
      <c r="E350" s="52" t="str">
        <f>+VLOOKUP(A350,cennik!$A:$G,2,FALSE)</f>
        <v>SEVROLL horná vodiaca lišta Simple/Blue 3m(pre lamino 10mm)strieborná</v>
      </c>
      <c r="F350" s="52" t="str">
        <f>+VLOOKUP(A350,cennik!A:B,2,FALSE)</f>
        <v>SEVROLL horná vodiaca lišta Simple/Blue 3m(pre lamino 10mm)strieborná</v>
      </c>
      <c r="H350" s="1">
        <v>3000</v>
      </c>
      <c r="I350" s="1" t="str">
        <f>CONCATENATE(H350,"-",$J$4)</f>
        <v xml:space="preserve">3000-strieborná </v>
      </c>
      <c r="Z350" s="1" t="b">
        <f t="shared" si="45"/>
        <v>1</v>
      </c>
    </row>
    <row r="351" spans="1:26" ht="15" customHeight="1" x14ac:dyDescent="0.25">
      <c r="A351" s="53">
        <v>224149</v>
      </c>
      <c r="B351" s="178"/>
      <c r="C351" s="1" t="str">
        <f>CONCATENATE(H351,"-",$J$6)</f>
        <v>1500-oliva</v>
      </c>
      <c r="D351" s="53">
        <v>224149</v>
      </c>
      <c r="E351" s="52" t="str">
        <f>+VLOOKUP(A351,cennik!$A:$G,2,FALSE)</f>
        <v>SEVROLL 03758 horná vodiaca lišta Simple/Blue 1,5m (pre lamino 10mm) oliva</v>
      </c>
      <c r="F351" s="52" t="str">
        <f>+VLOOKUP(A351,cennik!A:B,2,FALSE)</f>
        <v>SEVROLL 03758 horná vodiaca lišta Simple/Blue 1,5m (pre lamino 10mm) oliva</v>
      </c>
      <c r="H351" s="1">
        <v>1500</v>
      </c>
      <c r="I351" s="1" t="str">
        <f>CONCATENATE(H351,"-",$J$6)</f>
        <v>1500-oliva</v>
      </c>
      <c r="Z351" s="1" t="b">
        <f t="shared" si="45"/>
        <v>1</v>
      </c>
    </row>
    <row r="352" spans="1:26" ht="15" customHeight="1" x14ac:dyDescent="0.25">
      <c r="A352" s="53">
        <v>224150</v>
      </c>
      <c r="B352" s="178"/>
      <c r="C352" s="1" t="str">
        <f>CONCATENATE(H352,"-",$J$6)</f>
        <v>2000-oliva</v>
      </c>
      <c r="D352" s="53">
        <v>224150</v>
      </c>
      <c r="E352" s="52" t="str">
        <f>+VLOOKUP(A352,cennik!$A:$G,2,FALSE)</f>
        <v>SEVROLL 03759 horná vodiaca lišta Simple/Blue 2m (pre lamino 10mm) oliva</v>
      </c>
      <c r="F352" s="52" t="str">
        <f>+VLOOKUP(A352,cennik!A:B,2,FALSE)</f>
        <v>SEVROLL 03759 horná vodiaca lišta Simple/Blue 2m (pre lamino 10mm) oliva</v>
      </c>
      <c r="H352" s="1">
        <v>2000</v>
      </c>
      <c r="I352" s="1" t="str">
        <f>CONCATENATE(H352,"-",$J$6)</f>
        <v>2000-oliva</v>
      </c>
      <c r="Z352" s="1" t="b">
        <f t="shared" si="45"/>
        <v>1</v>
      </c>
    </row>
    <row r="353" spans="1:26" ht="15" customHeight="1" x14ac:dyDescent="0.25">
      <c r="A353" s="53">
        <v>223563</v>
      </c>
      <c r="B353" s="178"/>
      <c r="C353" s="1" t="str">
        <f>CONCATENATE(H353,"-",$J$6)</f>
        <v>3000-oliva</v>
      </c>
      <c r="D353" s="53">
        <v>223563</v>
      </c>
      <c r="E353" s="52" t="str">
        <f>+VLOOKUP(A353,cennik!$A:$G,2,FALSE)</f>
        <v>SEVROLL horná vodiaca lišta Simple/Blue 3m (pre lamino 10mm) oliva</v>
      </c>
      <c r="F353" s="52" t="str">
        <f>+VLOOKUP(A353,cennik!A:B,2,FALSE)</f>
        <v>SEVROLL horná vodiaca lišta Simple/Blue 3m (pre lamino 10mm) oliva</v>
      </c>
      <c r="H353" s="1">
        <v>3000</v>
      </c>
      <c r="I353" s="1" t="str">
        <f>CONCATENATE(H353,"-",$J$6)</f>
        <v>3000-oliva</v>
      </c>
      <c r="Z353" s="1" t="b">
        <f t="shared" si="45"/>
        <v>1</v>
      </c>
    </row>
    <row r="354" spans="1:26" ht="15" customHeight="1" x14ac:dyDescent="0.25">
      <c r="A354" s="53"/>
      <c r="B354" s="177" t="s">
        <v>969</v>
      </c>
      <c r="D354" s="53"/>
      <c r="E354" s="52"/>
      <c r="F354" s="52"/>
      <c r="Z354" s="1" t="b">
        <f t="shared" si="45"/>
        <v>1</v>
      </c>
    </row>
    <row r="355" spans="1:26" ht="15" customHeight="1" x14ac:dyDescent="0.25">
      <c r="A355" s="53">
        <v>224131</v>
      </c>
      <c r="B355" s="178"/>
      <c r="C355" s="1" t="str">
        <f>CONCATENATE(H355,"-",$J$4)</f>
        <v xml:space="preserve">1500-strieborná </v>
      </c>
      <c r="D355" s="53">
        <v>224131</v>
      </c>
      <c r="E355" s="52" t="str">
        <f>+VLOOKUP(A355,cennik!$A:$G,2,FALSE)</f>
        <v>SEVROLL 04460 horná vodiaca lišta Simple/Blue 1,5m (pre lamino 18mm) strieborná</v>
      </c>
      <c r="F355" s="52" t="str">
        <f>+VLOOKUP(A355,cennik!A:B,2,FALSE)</f>
        <v>SEVROLL 04460 horná vodiaca lišta Simple/Blue 1,5m (pre lamino 18mm) strieborná</v>
      </c>
      <c r="H355" s="1">
        <v>1500</v>
      </c>
      <c r="I355" s="1" t="str">
        <f>CONCATENATE(H355,"-",$J$4)</f>
        <v xml:space="preserve">1500-strieborná </v>
      </c>
      <c r="Z355" s="1" t="b">
        <f t="shared" si="45"/>
        <v>1</v>
      </c>
    </row>
    <row r="356" spans="1:26" ht="15" customHeight="1" x14ac:dyDescent="0.25">
      <c r="A356" s="53">
        <v>224132</v>
      </c>
      <c r="B356" s="178"/>
      <c r="C356" s="1" t="str">
        <f>CONCATENATE(H356,"-",$J$4)</f>
        <v xml:space="preserve">2000-strieborná </v>
      </c>
      <c r="D356" s="53">
        <v>224132</v>
      </c>
      <c r="E356" s="52" t="str">
        <f>+VLOOKUP(A356,cennik!$A:$G,2,FALSE)</f>
        <v>SEVROLL 04461 horná vodiaca lišta Simple/Blue 2m (pre lamino 18mm) strieborná</v>
      </c>
      <c r="F356" s="52" t="str">
        <f>+VLOOKUP(A356,cennik!A:B,2,FALSE)</f>
        <v>SEVROLL 04461 horná vodiaca lišta Simple/Blue 2m (pre lamino 18mm) strieborná</v>
      </c>
      <c r="H356" s="1">
        <v>2000</v>
      </c>
      <c r="I356" s="1" t="str">
        <f>CONCATENATE(H356,"-",$J$4)</f>
        <v xml:space="preserve">2000-strieborná </v>
      </c>
      <c r="Z356" s="1" t="b">
        <f t="shared" si="45"/>
        <v>1</v>
      </c>
    </row>
    <row r="357" spans="1:26" ht="15" customHeight="1" x14ac:dyDescent="0.25">
      <c r="A357" s="53">
        <v>222571</v>
      </c>
      <c r="B357" s="178"/>
      <c r="C357" s="1" t="str">
        <f>CONCATENATE(H357,"-",$J$4)</f>
        <v xml:space="preserve">3000-strieborná </v>
      </c>
      <c r="D357" s="53">
        <v>222571</v>
      </c>
      <c r="E357" s="52" t="str">
        <f>+VLOOKUP(A357,cennik!$A:$G,2,FALSE)</f>
        <v>SEVROLL 04463 horná vodiaca lišta Simple/Blue 3m (pre lamino 18mm) strieborná</v>
      </c>
      <c r="F357" s="52" t="str">
        <f>+VLOOKUP(A357,cennik!A:B,2,FALSE)</f>
        <v>SEVROLL 04463 horná vodiaca lišta Simple/Blue 3m (pre lamino 18mm) strieborná</v>
      </c>
      <c r="H357" s="1">
        <v>3000</v>
      </c>
      <c r="I357" s="1" t="str">
        <f>CONCATENATE(H357,"-",$J$4)</f>
        <v xml:space="preserve">3000-strieborná </v>
      </c>
      <c r="Z357" s="1" t="b">
        <f t="shared" si="45"/>
        <v>1</v>
      </c>
    </row>
    <row r="358" spans="1:26" ht="15" customHeight="1" x14ac:dyDescent="0.25">
      <c r="A358" s="2">
        <v>488237</v>
      </c>
      <c r="B358" s="568"/>
      <c r="C358" s="1" t="str">
        <f>CONCATENATE(H358,"-",$J$17)</f>
        <v>1500-čierna mat</v>
      </c>
      <c r="D358" s="2">
        <v>488237</v>
      </c>
      <c r="E358" s="52" t="str">
        <f>+VLOOKUP(A358,cennik!$A:$G,2,FALSE)</f>
        <v>SEVROLL 05749 horná vodiaca lišta Simple/Blue 2m (pre lamino 18mm) čierna mat</v>
      </c>
      <c r="F358" s="52" t="str">
        <f>+VLOOKUP(A358,cennik!A:B,2,FALSE)</f>
        <v>SEVROLL 05749 horná vodiaca lišta Simple/Blue 2m (pre lamino 18mm) čierna mat</v>
      </c>
      <c r="H358" s="1">
        <v>1500</v>
      </c>
      <c r="I358" s="1" t="str">
        <f>CONCATENATE(H358,"-",$J$17)</f>
        <v>1500-čierna mat</v>
      </c>
      <c r="Z358" s="1" t="b">
        <f t="shared" si="45"/>
        <v>1</v>
      </c>
    </row>
    <row r="359" spans="1:26" ht="15" customHeight="1" x14ac:dyDescent="0.25">
      <c r="A359" s="2">
        <v>488237</v>
      </c>
      <c r="B359" s="568"/>
      <c r="C359" s="1" t="str">
        <f t="shared" ref="C359:C360" si="50">CONCATENATE(H359,"-",$J$17)</f>
        <v>2000-čierna mat</v>
      </c>
      <c r="D359" s="2">
        <v>488237</v>
      </c>
      <c r="E359" s="52" t="str">
        <f>+VLOOKUP(A359,cennik!$A:$G,2,FALSE)</f>
        <v>SEVROLL 05749 horná vodiaca lišta Simple/Blue 2m (pre lamino 18mm) čierna mat</v>
      </c>
      <c r="F359" s="52" t="str">
        <f>+VLOOKUP(A359,cennik!A:B,2,FALSE)</f>
        <v>SEVROLL 05749 horná vodiaca lišta Simple/Blue 2m (pre lamino 18mm) čierna mat</v>
      </c>
      <c r="H359" s="1">
        <v>2000</v>
      </c>
      <c r="I359" s="1" t="str">
        <f t="shared" ref="I359:I360" si="51">CONCATENATE(H359,"-",$J$17)</f>
        <v>2000-čierna mat</v>
      </c>
      <c r="Z359" s="1" t="b">
        <f t="shared" si="45"/>
        <v>1</v>
      </c>
    </row>
    <row r="360" spans="1:26" ht="15" customHeight="1" x14ac:dyDescent="0.25">
      <c r="A360" s="2">
        <v>488238</v>
      </c>
      <c r="B360" s="568"/>
      <c r="C360" s="1" t="str">
        <f t="shared" si="50"/>
        <v>3000-čierna mat</v>
      </c>
      <c r="D360" s="2">
        <v>488238</v>
      </c>
      <c r="E360" s="52" t="str">
        <f>+VLOOKUP(A360,cennik!$A:$G,2,FALSE)</f>
        <v>SEVROLL 05750 horná vodiaca lišta Simple/Blue 3m (pre lamino 18mm) čierna mat</v>
      </c>
      <c r="F360" s="52" t="str">
        <f>+VLOOKUP(A360,cennik!A:B,2,FALSE)</f>
        <v>SEVROLL 05750 horná vodiaca lišta Simple/Blue 3m (pre lamino 18mm) čierna mat</v>
      </c>
      <c r="H360" s="1">
        <v>3000</v>
      </c>
      <c r="I360" s="1" t="str">
        <f t="shared" si="51"/>
        <v>3000-čierna mat</v>
      </c>
      <c r="Z360" s="1" t="b">
        <f t="shared" si="45"/>
        <v>1</v>
      </c>
    </row>
    <row r="361" spans="1:26" ht="15" customHeight="1" x14ac:dyDescent="0.25">
      <c r="A361" s="556">
        <v>394267</v>
      </c>
      <c r="B361" s="556"/>
      <c r="C361" s="556" t="str">
        <f t="shared" ref="C361" si="52">CONCATENATE(H361,"-",$J$15)</f>
        <v>1500-biela lesk</v>
      </c>
      <c r="D361" s="556">
        <v>394267</v>
      </c>
      <c r="E361" s="554" t="str">
        <f>+VLOOKUP(A361,cennik!$A:$G,2,FALSE)</f>
        <v>SEVROLL 04942 horná vodiaca lišta Simple/Blue 2m (pre lamino 18mm) biely lesk</v>
      </c>
      <c r="F361" s="554" t="str">
        <f>+VLOOKUP(A361,cennik!A:B,2,FALSE)</f>
        <v>SEVROLL 04942 horná vodiaca lišta Simple/Blue 2m (pre lamino 18mm) biely lesk</v>
      </c>
      <c r="G361" s="556"/>
      <c r="H361" s="556">
        <v>1500</v>
      </c>
      <c r="I361" s="556" t="str">
        <f t="shared" ref="I361:I363" si="53">CONCATENATE(H361,"-",$J$15)</f>
        <v>1500-biela lesk</v>
      </c>
      <c r="Z361" s="1" t="b">
        <f t="shared" si="45"/>
        <v>1</v>
      </c>
    </row>
    <row r="362" spans="1:26" ht="15" customHeight="1" x14ac:dyDescent="0.25">
      <c r="A362" s="556">
        <v>394267</v>
      </c>
      <c r="B362" s="556"/>
      <c r="C362" s="556" t="str">
        <f t="shared" ref="C362:C363" si="54">CONCATENATE(H362,"-",$J$15)</f>
        <v>2000-biela lesk</v>
      </c>
      <c r="D362" s="556">
        <v>394267</v>
      </c>
      <c r="E362" s="554" t="str">
        <f>+VLOOKUP(A362,cennik!$A:$G,2,FALSE)</f>
        <v>SEVROLL 04942 horná vodiaca lišta Simple/Blue 2m (pre lamino 18mm) biely lesk</v>
      </c>
      <c r="F362" s="554" t="str">
        <f>+VLOOKUP(A362,cennik!A:B,2,FALSE)</f>
        <v>SEVROLL 04942 horná vodiaca lišta Simple/Blue 2m (pre lamino 18mm) biely lesk</v>
      </c>
      <c r="G362" s="556"/>
      <c r="H362" s="556">
        <v>2000</v>
      </c>
      <c r="I362" s="556" t="str">
        <f t="shared" si="53"/>
        <v>2000-biela lesk</v>
      </c>
      <c r="Z362" s="1" t="b">
        <f t="shared" si="45"/>
        <v>1</v>
      </c>
    </row>
    <row r="363" spans="1:26" ht="15" customHeight="1" x14ac:dyDescent="0.25">
      <c r="A363" s="556">
        <v>394270</v>
      </c>
      <c r="B363" s="556"/>
      <c r="C363" s="556" t="str">
        <f t="shared" si="54"/>
        <v>3000-biela lesk</v>
      </c>
      <c r="D363" s="556">
        <v>394270</v>
      </c>
      <c r="E363" s="554" t="str">
        <f>+VLOOKUP(A363,cennik!$A:$G,2,FALSE)</f>
        <v>SEVROLL 04943 horná vodiaca lišta Simple/Blue 3m (pre lamino 18mm) biely lesk</v>
      </c>
      <c r="F363" s="554" t="str">
        <f>+VLOOKUP(A363,cennik!A:B,2,FALSE)</f>
        <v>SEVROLL 04943 horná vodiaca lišta Simple/Blue 3m (pre lamino 18mm) biely lesk</v>
      </c>
      <c r="G363" s="556"/>
      <c r="H363" s="556">
        <v>3000</v>
      </c>
      <c r="I363" s="556" t="str">
        <f t="shared" si="53"/>
        <v>3000-biela lesk</v>
      </c>
      <c r="Z363" s="1" t="b">
        <f t="shared" si="45"/>
        <v>1</v>
      </c>
    </row>
    <row r="364" spans="1:26" ht="15" customHeight="1" x14ac:dyDescent="0.25">
      <c r="A364" s="53">
        <v>224134</v>
      </c>
      <c r="B364" s="178"/>
      <c r="C364" s="1" t="str">
        <f>CONCATENATE(H364,"-",$J$6)</f>
        <v>1500-oliva</v>
      </c>
      <c r="D364" s="53">
        <v>224134</v>
      </c>
      <c r="E364" s="52" t="e">
        <f>+VLOOKUP(A364,cennik!$A:$G,2,FALSE)</f>
        <v>#N/A</v>
      </c>
      <c r="F364" s="52" t="e">
        <f>+VLOOKUP(A364,cennik!A:B,2,FALSE)</f>
        <v>#N/A</v>
      </c>
      <c r="H364" s="1">
        <v>1500</v>
      </c>
      <c r="I364" s="1" t="str">
        <f>CONCATENATE(H364,"-",$J$6)</f>
        <v>1500-oliva</v>
      </c>
      <c r="Z364" s="1" t="b">
        <f t="shared" si="45"/>
        <v>1</v>
      </c>
    </row>
    <row r="365" spans="1:26" ht="15" customHeight="1" x14ac:dyDescent="0.25">
      <c r="A365" s="53">
        <v>224135</v>
      </c>
      <c r="B365" s="178"/>
      <c r="C365" s="1" t="str">
        <f>CONCATENATE(H365,"-",$J$6)</f>
        <v>2000-oliva</v>
      </c>
      <c r="D365" s="53">
        <v>224135</v>
      </c>
      <c r="E365" s="52" t="str">
        <f>+VLOOKUP(A365,cennik!$A:$G,2,FALSE)</f>
        <v>SEVROLL 04457 horná vodiaca lišta Simple/Blue 2m (pre lamino 18mm) oliva</v>
      </c>
      <c r="F365" s="52" t="str">
        <f>+VLOOKUP(A365,cennik!A:B,2,FALSE)</f>
        <v>SEVROLL 04457 horná vodiaca lišta Simple/Blue 2m (pre lamino 18mm) oliva</v>
      </c>
      <c r="H365" s="1">
        <v>2000</v>
      </c>
      <c r="I365" s="1" t="str">
        <f>CONCATENATE(H365,"-",$J$6)</f>
        <v>2000-oliva</v>
      </c>
      <c r="Z365" s="1" t="b">
        <f t="shared" si="45"/>
        <v>1</v>
      </c>
    </row>
    <row r="366" spans="1:26" ht="15" customHeight="1" x14ac:dyDescent="0.25">
      <c r="A366" s="53">
        <v>223561</v>
      </c>
      <c r="B366" s="178"/>
      <c r="C366" s="1" t="str">
        <f>CONCATENATE(H366,"-",$J$6)</f>
        <v>3000-oliva</v>
      </c>
      <c r="D366" s="53">
        <v>223561</v>
      </c>
      <c r="E366" s="52" t="str">
        <f>+VLOOKUP(A366,cennik!$A:$G,2,FALSE)</f>
        <v>SEVROLL 04459 horná vodiaca lišta Simple/Blue 3m (pre lamino 18mm) oliva</v>
      </c>
      <c r="F366" s="52" t="str">
        <f>+VLOOKUP(A366,cennik!A:B,2,FALSE)</f>
        <v>SEVROLL 04459 horná vodiaca lišta Simple/Blue 3m (pre lamino 18mm) oliva</v>
      </c>
      <c r="H366" s="1">
        <v>3000</v>
      </c>
      <c r="I366" s="1" t="str">
        <f>CONCATENATE(H366,"-",$J$6)</f>
        <v>3000-oliva</v>
      </c>
      <c r="Z366" s="1" t="b">
        <f t="shared" si="45"/>
        <v>1</v>
      </c>
    </row>
    <row r="367" spans="1:26" s="539" customFormat="1" ht="15" customHeight="1" x14ac:dyDescent="0.25">
      <c r="A367" s="53"/>
      <c r="B367" s="178"/>
      <c r="C367" s="1"/>
      <c r="D367" s="53"/>
      <c r="E367" s="52"/>
      <c r="F367" s="52"/>
      <c r="G367" s="1"/>
      <c r="H367" s="1"/>
      <c r="I367" s="1"/>
      <c r="Z367" s="1" t="b">
        <f t="shared" si="45"/>
        <v>1</v>
      </c>
    </row>
    <row r="368" spans="1:26" s="539" customFormat="1" ht="15" customHeight="1" x14ac:dyDescent="0.25">
      <c r="A368" s="53"/>
      <c r="B368" s="52"/>
      <c r="C368" s="1"/>
      <c r="D368" s="53"/>
      <c r="E368" s="52" t="e">
        <f>+VLOOKUP(A368,cennik!$A:$G,2,FALSE)</f>
        <v>#N/A</v>
      </c>
      <c r="F368" s="52" t="e">
        <f>+VLOOKUP(A368,cennik!A:B,2,FALSE)</f>
        <v>#N/A</v>
      </c>
      <c r="G368" s="1" t="e">
        <f>+VLOOKUP(A368,#REF!,4,FALSE)</f>
        <v>#REF!</v>
      </c>
      <c r="H368" s="1" t="s">
        <v>71</v>
      </c>
      <c r="I368" s="1"/>
      <c r="Z368" s="1" t="b">
        <f t="shared" si="45"/>
        <v>1</v>
      </c>
    </row>
    <row r="369" spans="1:26" s="539" customFormat="1" ht="15" customHeight="1" x14ac:dyDescent="0.25">
      <c r="A369" s="53"/>
      <c r="B369" s="52" t="s">
        <v>29</v>
      </c>
      <c r="C369" s="1"/>
      <c r="D369" s="53"/>
      <c r="E369" s="52" t="e">
        <f>+VLOOKUP(A369,cennik!$A:$G,2,FALSE)</f>
        <v>#N/A</v>
      </c>
      <c r="F369" s="52" t="e">
        <f>+VLOOKUP(A369,cennik!A:B,2,FALSE)</f>
        <v>#N/A</v>
      </c>
      <c r="G369" s="1" t="e">
        <f>+VLOOKUP(A369,#REF!,4,FALSE)</f>
        <v>#REF!</v>
      </c>
      <c r="H369" s="1" t="s">
        <v>71</v>
      </c>
      <c r="I369" s="1"/>
      <c r="Z369" s="1" t="b">
        <f t="shared" si="45"/>
        <v>1</v>
      </c>
    </row>
    <row r="370" spans="1:26" s="539" customFormat="1" ht="15" customHeight="1" x14ac:dyDescent="0.25">
      <c r="A370" s="543">
        <v>89228</v>
      </c>
      <c r="B370" s="541"/>
      <c r="C370" s="539" t="str">
        <f>CONCATENATE(H370,"-",$J$4)</f>
        <v xml:space="preserve">1700-strieborná </v>
      </c>
      <c r="D370" s="543">
        <v>89228</v>
      </c>
      <c r="E370" s="541" t="str">
        <f>+VLOOKUP(A370,cennik!$A:$G,2,FALSE)</f>
        <v>SEVROLL spodná krycia lišta 1,7m 10mm strieborná</v>
      </c>
      <c r="F370" s="541" t="str">
        <f>+VLOOKUP(A370,cennik!A:B,2,FALSE)</f>
        <v>SEVROLL spodná krycia lišta 1,7m 10mm strieborná</v>
      </c>
      <c r="G370" s="539" t="e">
        <f>+VLOOKUP(A370,#REF!,4,FALSE)</f>
        <v>#REF!</v>
      </c>
      <c r="H370" s="539" t="s">
        <v>478</v>
      </c>
      <c r="I370" s="539" t="str">
        <f>CONCATENATE(H370,"-",$J$4)</f>
        <v xml:space="preserve">1700-strieborná </v>
      </c>
      <c r="Z370" s="1" t="b">
        <f t="shared" si="45"/>
        <v>1</v>
      </c>
    </row>
    <row r="371" spans="1:26" s="539" customFormat="1" ht="15" customHeight="1" x14ac:dyDescent="0.25">
      <c r="A371" s="543">
        <v>89229</v>
      </c>
      <c r="B371" s="541"/>
      <c r="C371" s="539" t="str">
        <f>CONCATENATE(H371,"-",$J$6)</f>
        <v>1700-oliva</v>
      </c>
      <c r="D371" s="543">
        <v>89229</v>
      </c>
      <c r="E371" s="541" t="str">
        <f>+VLOOKUP(A371,cennik!$A:$G,2,FALSE)</f>
        <v>SEVROLL spodná krycia lišta 1,7m 10mm oliva</v>
      </c>
      <c r="F371" s="541" t="str">
        <f>+VLOOKUP(A371,cennik!A:B,2,FALSE)</f>
        <v>SEVROLL spodná krycia lišta 1,7m 10mm oliva</v>
      </c>
      <c r="G371" s="539" t="e">
        <f>+VLOOKUP(A371,#REF!,4,FALSE)</f>
        <v>#REF!</v>
      </c>
      <c r="H371" s="539" t="s">
        <v>478</v>
      </c>
      <c r="I371" s="539" t="str">
        <f>CONCATENATE(H371,"-",$J$6)</f>
        <v>1700-oliva</v>
      </c>
      <c r="Z371" s="1" t="b">
        <f t="shared" si="45"/>
        <v>1</v>
      </c>
    </row>
    <row r="372" spans="1:26" s="539" customFormat="1" ht="15" customHeight="1" x14ac:dyDescent="0.25">
      <c r="A372" s="543">
        <v>89254</v>
      </c>
      <c r="B372" s="541"/>
      <c r="C372" s="539" t="str">
        <f>CONCATENATE(H372,"-",$J$5)</f>
        <v>1700-zlatá</v>
      </c>
      <c r="D372" s="543">
        <v>89254</v>
      </c>
      <c r="E372" s="541" t="str">
        <f>+VLOOKUP(A372,cennik!$A:$G,2,FALSE)</f>
        <v>SEVROLL spodná krycia lišta 1,7m 10mm zlatá</v>
      </c>
      <c r="F372" s="541" t="str">
        <f>+VLOOKUP(A372,cennik!A:B,2,FALSE)</f>
        <v>SEVROLL spodná krycia lišta 1,7m 10mm zlatá</v>
      </c>
      <c r="G372" s="539" t="e">
        <f>+VLOOKUP(A372,#REF!,4,FALSE)</f>
        <v>#REF!</v>
      </c>
      <c r="H372" s="539" t="s">
        <v>478</v>
      </c>
      <c r="I372" s="539" t="str">
        <f>CONCATENATE(H372,"-",$J$5)</f>
        <v>1700-zlatá</v>
      </c>
      <c r="Z372" s="1" t="b">
        <f t="shared" si="45"/>
        <v>1</v>
      </c>
    </row>
    <row r="373" spans="1:26" s="539" customFormat="1" ht="15" customHeight="1" x14ac:dyDescent="0.25">
      <c r="A373" s="543">
        <v>89226</v>
      </c>
      <c r="B373" s="541"/>
      <c r="C373" s="539" t="str">
        <f>CONCATENATE(H373,"-",$J$4)</f>
        <v xml:space="preserve">2350-strieborná </v>
      </c>
      <c r="D373" s="543">
        <v>89226</v>
      </c>
      <c r="E373" s="541" t="str">
        <f>+VLOOKUP(A373,cennik!$A:$G,2,FALSE)</f>
        <v>SEVROLL spodná krycia lišta 2,35m 10mm strieborná</v>
      </c>
      <c r="F373" s="541" t="str">
        <f>+VLOOKUP(A373,cennik!A:B,2,FALSE)</f>
        <v>SEVROLL spodná krycia lišta 2,35m 10mm strieborná</v>
      </c>
      <c r="G373" s="539" t="e">
        <f>+VLOOKUP(A373,#REF!,4,FALSE)</f>
        <v>#REF!</v>
      </c>
      <c r="H373" s="539" t="s">
        <v>479</v>
      </c>
      <c r="I373" s="539" t="str">
        <f>CONCATENATE(H373,"-",$J$4)</f>
        <v xml:space="preserve">2350-strieborná </v>
      </c>
      <c r="Z373" s="1" t="b">
        <f t="shared" si="45"/>
        <v>1</v>
      </c>
    </row>
    <row r="374" spans="1:26" s="539" customFormat="1" ht="15" customHeight="1" x14ac:dyDescent="0.25">
      <c r="A374" s="543">
        <v>89227</v>
      </c>
      <c r="B374" s="541"/>
      <c r="C374" s="539" t="str">
        <f>CONCATENATE(H374,"-",$J$6)</f>
        <v>2350-oliva</v>
      </c>
      <c r="D374" s="543">
        <v>89227</v>
      </c>
      <c r="E374" s="541" t="str">
        <f>+VLOOKUP(A374,cennik!$A:$G,2,FALSE)</f>
        <v>SEVROLL spodná krycia lišta 2,35m 10mm oliva</v>
      </c>
      <c r="F374" s="541" t="str">
        <f>+VLOOKUP(A374,cennik!A:B,2,FALSE)</f>
        <v>SEVROLL spodná krycia lišta 2,35m 10mm oliva</v>
      </c>
      <c r="G374" s="539" t="e">
        <f>+VLOOKUP(A374,#REF!,4,FALSE)</f>
        <v>#REF!</v>
      </c>
      <c r="H374" s="539" t="s">
        <v>479</v>
      </c>
      <c r="I374" s="539" t="str">
        <f>CONCATENATE(H374,"-",$J$6)</f>
        <v>2350-oliva</v>
      </c>
      <c r="Z374" s="1" t="b">
        <f t="shared" si="45"/>
        <v>1</v>
      </c>
    </row>
    <row r="375" spans="1:26" s="539" customFormat="1" ht="15" customHeight="1" x14ac:dyDescent="0.25">
      <c r="A375" s="543">
        <v>89255</v>
      </c>
      <c r="B375" s="541"/>
      <c r="C375" s="539" t="str">
        <f>CONCATENATE(H375,"-",$J$5)</f>
        <v>2350-zlatá</v>
      </c>
      <c r="D375" s="543">
        <v>89255</v>
      </c>
      <c r="E375" s="541" t="str">
        <f>+VLOOKUP(A375,cennik!$A:$G,2,FALSE)</f>
        <v>SEVROLL spodná krycia lišta 2,35m 10mm zlatá</v>
      </c>
      <c r="F375" s="541" t="str">
        <f>+VLOOKUP(A375,cennik!A:B,2,FALSE)</f>
        <v>SEVROLL spodná krycia lišta 2,35m 10mm zlatá</v>
      </c>
      <c r="G375" s="539" t="e">
        <f>+VLOOKUP(A375,#REF!,4,FALSE)</f>
        <v>#REF!</v>
      </c>
      <c r="H375" s="539" t="s">
        <v>479</v>
      </c>
      <c r="I375" s="539" t="str">
        <f>CONCATENATE(H375,"-",$J$5)</f>
        <v>2350-zlatá</v>
      </c>
      <c r="Z375" s="1" t="b">
        <f t="shared" si="45"/>
        <v>1</v>
      </c>
    </row>
    <row r="376" spans="1:26" s="539" customFormat="1" ht="15" customHeight="1" x14ac:dyDescent="0.25">
      <c r="A376" s="543">
        <v>89224</v>
      </c>
      <c r="B376" s="541"/>
      <c r="C376" s="539" t="str">
        <f>CONCATENATE(H376,"-",$J$4)</f>
        <v xml:space="preserve">3000-strieborná </v>
      </c>
      <c r="D376" s="543">
        <v>89224</v>
      </c>
      <c r="E376" s="541" t="str">
        <f>+VLOOKUP(A376,cennik!$A:$G,2,FALSE)</f>
        <v>SEVROLL spodná krycia lišta 3m 10mm strieborná</v>
      </c>
      <c r="F376" s="541" t="str">
        <f>+VLOOKUP(A376,cennik!A:B,2,FALSE)</f>
        <v>SEVROLL spodná krycia lišta 3m 10mm strieborná</v>
      </c>
      <c r="G376" s="539" t="e">
        <f>+VLOOKUP(A376,#REF!,4,FALSE)</f>
        <v>#REF!</v>
      </c>
      <c r="H376" s="539" t="s">
        <v>480</v>
      </c>
      <c r="I376" s="539" t="str">
        <f>CONCATENATE(H376,"-",$J$4)</f>
        <v xml:space="preserve">3000-strieborná </v>
      </c>
      <c r="Z376" s="1" t="b">
        <f t="shared" si="45"/>
        <v>1</v>
      </c>
    </row>
    <row r="377" spans="1:26" s="539" customFormat="1" ht="15" customHeight="1" x14ac:dyDescent="0.25">
      <c r="A377" s="543">
        <v>89225</v>
      </c>
      <c r="B377" s="541"/>
      <c r="C377" s="539" t="str">
        <f>CONCATENATE(H377,"-",$J$6)</f>
        <v>3000-oliva</v>
      </c>
      <c r="D377" s="543">
        <v>89225</v>
      </c>
      <c r="E377" s="541" t="str">
        <f>+VLOOKUP(A377,cennik!$A:$G,2,FALSE)</f>
        <v>SEVROLL spodná krycia lišta 3m 10mm oliva</v>
      </c>
      <c r="F377" s="541" t="str">
        <f>+VLOOKUP(A377,cennik!A:B,2,FALSE)</f>
        <v>SEVROLL spodná krycia lišta 3m 10mm oliva</v>
      </c>
      <c r="G377" s="539" t="e">
        <f>+VLOOKUP(A377,#REF!,4,FALSE)</f>
        <v>#REF!</v>
      </c>
      <c r="H377" s="539" t="s">
        <v>480</v>
      </c>
      <c r="I377" s="539" t="str">
        <f>CONCATENATE(H377,"-",$J$6)</f>
        <v>3000-oliva</v>
      </c>
      <c r="Z377" s="1" t="b">
        <f t="shared" si="45"/>
        <v>1</v>
      </c>
    </row>
    <row r="378" spans="1:26" s="539" customFormat="1" ht="15" customHeight="1" x14ac:dyDescent="0.25">
      <c r="A378" s="543">
        <v>89256</v>
      </c>
      <c r="B378" s="541"/>
      <c r="C378" s="539" t="str">
        <f>CONCATENATE(H378,"-",$J$5)</f>
        <v>3000-zlatá</v>
      </c>
      <c r="D378" s="543">
        <v>89256</v>
      </c>
      <c r="E378" s="541" t="str">
        <f>+VLOOKUP(A378,cennik!$A:$G,2,FALSE)</f>
        <v>SEVROLL spodná krycia lišta 3m 10mm zlatá</v>
      </c>
      <c r="F378" s="541" t="str">
        <f>+VLOOKUP(A378,cennik!A:B,2,FALSE)</f>
        <v>SEVROLL spodná krycia lišta 3m 10mm zlatá</v>
      </c>
      <c r="G378" s="539" t="e">
        <f>+VLOOKUP(A378,#REF!,4,FALSE)</f>
        <v>#REF!</v>
      </c>
      <c r="H378" s="539" t="s">
        <v>480</v>
      </c>
      <c r="I378" s="539" t="str">
        <f>CONCATENATE(H378,"-",$J$5)</f>
        <v>3000-zlatá</v>
      </c>
      <c r="Z378" s="1" t="b">
        <f t="shared" si="45"/>
        <v>1</v>
      </c>
    </row>
    <row r="379" spans="1:26" s="539" customFormat="1" ht="15" customHeight="1" x14ac:dyDescent="0.25">
      <c r="A379" s="543">
        <v>422027</v>
      </c>
      <c r="B379" s="541"/>
      <c r="C379" s="539" t="str">
        <f>CONCATENATE(H379,"-",$J$17)</f>
        <v>1700-čierna mat</v>
      </c>
      <c r="D379" s="543">
        <v>422027</v>
      </c>
      <c r="E379" s="541" t="str">
        <f>+VLOOKUP(A379,cennik!$A:$G,2,FALSE)</f>
        <v>SEVROLL 05299 Gemini 10 spodná krycia lišta 1,7m 10mm čierna mat</v>
      </c>
      <c r="F379" s="541" t="str">
        <f>+VLOOKUP(A379,cennik!A:B,2,FALSE)</f>
        <v>SEVROLL 05299 Gemini 10 spodná krycia lišta 1,7m 10mm čierna mat</v>
      </c>
      <c r="H379" s="539">
        <v>1700</v>
      </c>
      <c r="I379" s="539" t="str">
        <f>CONCATENATE(H379,"-",$J$17)</f>
        <v>1700-čierna mat</v>
      </c>
      <c r="Z379" s="1" t="b">
        <f t="shared" si="45"/>
        <v>1</v>
      </c>
    </row>
    <row r="380" spans="1:26" s="539" customFormat="1" ht="15" customHeight="1" x14ac:dyDescent="0.25">
      <c r="A380" s="543">
        <v>422029</v>
      </c>
      <c r="B380" s="541"/>
      <c r="C380" s="539" t="str">
        <f t="shared" ref="C380:C381" si="55">CONCATENATE(H380,"-",$J$17)</f>
        <v>2350-čierna mat</v>
      </c>
      <c r="D380" s="543">
        <v>422029</v>
      </c>
      <c r="E380" s="541" t="str">
        <f>+VLOOKUP(A380,cennik!$A:$G,2,FALSE)</f>
        <v>SEVROLL 05300 Gemini 10 spodná krycia lišta 2,35m 10mm čierna mat</v>
      </c>
      <c r="F380" s="541" t="str">
        <f>+VLOOKUP(A380,cennik!A:B,2,FALSE)</f>
        <v>SEVROLL 05300 Gemini 10 spodná krycia lišta 2,35m 10mm čierna mat</v>
      </c>
      <c r="H380" s="539">
        <v>2350</v>
      </c>
      <c r="I380" s="539" t="str">
        <f t="shared" ref="I380:I381" si="56">CONCATENATE(H380,"-",$J$17)</f>
        <v>2350-čierna mat</v>
      </c>
      <c r="Z380" s="1" t="b">
        <f t="shared" si="45"/>
        <v>1</v>
      </c>
    </row>
    <row r="381" spans="1:26" s="539" customFormat="1" ht="15" customHeight="1" x14ac:dyDescent="0.25">
      <c r="A381" s="543">
        <v>422030</v>
      </c>
      <c r="B381" s="541"/>
      <c r="C381" s="539" t="str">
        <f t="shared" si="55"/>
        <v>3000-čierna mat</v>
      </c>
      <c r="D381" s="543">
        <v>422030</v>
      </c>
      <c r="E381" s="541" t="str">
        <f>+VLOOKUP(A381,cennik!$A:$G,2,FALSE)</f>
        <v>SEVROLL 03604 Gemini 10 spodná krycia lišta 3m 10mm čierna mat</v>
      </c>
      <c r="F381" s="541" t="str">
        <f>+VLOOKUP(A381,cennik!A:B,2,FALSE)</f>
        <v>SEVROLL 03604 Gemini 10 spodná krycia lišta 3m 10mm čierna mat</v>
      </c>
      <c r="H381" s="539">
        <v>3000</v>
      </c>
      <c r="I381" s="539" t="str">
        <f t="shared" si="56"/>
        <v>3000-čierna mat</v>
      </c>
      <c r="Z381" s="1" t="b">
        <f t="shared" si="45"/>
        <v>1</v>
      </c>
    </row>
    <row r="382" spans="1:26" s="539" customFormat="1" ht="15" customHeight="1" x14ac:dyDescent="0.25">
      <c r="A382" s="543">
        <v>119417</v>
      </c>
      <c r="B382" s="541"/>
      <c r="C382" s="539" t="str">
        <f>CONCATENATE(H382,"-",$J$7)</f>
        <v>1700-oliva kartáčovaná</v>
      </c>
      <c r="D382" s="543">
        <v>119417</v>
      </c>
      <c r="E382" s="541" t="str">
        <f>+VLOOKUP(A382,cennik!$A:$G,2,FALSE)</f>
        <v>SEVROLL spod. krycia lišta 1,7m 10mm oliva kartáč</v>
      </c>
      <c r="F382" s="541" t="str">
        <f>+VLOOKUP(A382,cennik!A:B,2,FALSE)</f>
        <v>SEVROLL spod. krycia lišta 1,7m 10mm oliva kartáč</v>
      </c>
      <c r="G382" s="539" t="e">
        <f>+VLOOKUP(A382,#REF!,4,FALSE)</f>
        <v>#REF!</v>
      </c>
      <c r="H382" s="539" t="s">
        <v>478</v>
      </c>
      <c r="I382" s="539" t="str">
        <f>CONCATENATE(H382,"-",$J$7)</f>
        <v>1700-oliva kartáčovaná</v>
      </c>
      <c r="Z382" s="1" t="b">
        <f t="shared" si="45"/>
        <v>1</v>
      </c>
    </row>
    <row r="383" spans="1:26" s="539" customFormat="1" ht="15" customHeight="1" x14ac:dyDescent="0.25">
      <c r="A383" s="543">
        <v>119421</v>
      </c>
      <c r="B383" s="541"/>
      <c r="C383" s="539" t="str">
        <f>CONCATENATE(H383,"-",$J$7)</f>
        <v>2350-oliva kartáčovaná</v>
      </c>
      <c r="D383" s="543">
        <v>119421</v>
      </c>
      <c r="E383" s="541" t="str">
        <f>+VLOOKUP(A383,cennik!$A:$G,2,FALSE)</f>
        <v>SEVROLL spod.krycia lišta 2,35m 10mm oliva kartáč</v>
      </c>
      <c r="F383" s="541" t="str">
        <f>+VLOOKUP(A383,cennik!A:B,2,FALSE)</f>
        <v>SEVROLL spod.krycia lišta 2,35m 10mm oliva kartáč</v>
      </c>
      <c r="G383" s="539" t="e">
        <f>+VLOOKUP(A383,#REF!,4,FALSE)</f>
        <v>#REF!</v>
      </c>
      <c r="H383" s="539" t="s">
        <v>479</v>
      </c>
      <c r="I383" s="539" t="str">
        <f>CONCATENATE(H383,"-",$J$7)</f>
        <v>2350-oliva kartáčovaná</v>
      </c>
      <c r="Z383" s="1" t="b">
        <f t="shared" si="45"/>
        <v>1</v>
      </c>
    </row>
    <row r="384" spans="1:26" s="539" customFormat="1" ht="15" customHeight="1" x14ac:dyDescent="0.25">
      <c r="A384" s="543">
        <v>119422</v>
      </c>
      <c r="B384" s="541"/>
      <c r="C384" s="539" t="str">
        <f>CONCATENATE(H384,"-",$J$7)</f>
        <v>3000-oliva kartáčovaná</v>
      </c>
      <c r="D384" s="543">
        <v>119422</v>
      </c>
      <c r="E384" s="541" t="str">
        <f>+VLOOKUP(A384,cennik!$A:$G,2,FALSE)</f>
        <v>SEVROLL spod.krycia lišta 3m 10mm oliva kartáč.</v>
      </c>
      <c r="F384" s="541" t="str">
        <f>+VLOOKUP(A384,cennik!A:B,2,FALSE)</f>
        <v>SEVROLL spod.krycia lišta 3m 10mm oliva kartáč.</v>
      </c>
      <c r="G384" s="539" t="e">
        <f>+VLOOKUP(A384,#REF!,4,FALSE)</f>
        <v>#REF!</v>
      </c>
      <c r="H384" s="539" t="s">
        <v>480</v>
      </c>
      <c r="I384" s="539" t="str">
        <f>CONCATENATE(H384,"-",$J$7)</f>
        <v>3000-oliva kartáčovaná</v>
      </c>
      <c r="Z384" s="1" t="b">
        <f t="shared" si="45"/>
        <v>1</v>
      </c>
    </row>
    <row r="385" spans="1:26" s="539" customFormat="1" ht="15" customHeight="1" x14ac:dyDescent="0.25">
      <c r="A385" s="543">
        <v>205170</v>
      </c>
      <c r="B385" s="541"/>
      <c r="C385" s="539" t="str">
        <f>CONCATENATE(H385,"-",$J$8)</f>
        <v>1700-kart. tm. oliva</v>
      </c>
      <c r="D385" s="543">
        <v>205170</v>
      </c>
      <c r="E385" s="541" t="str">
        <f>+VLOOKUP(A385,cennik!$A:$G,2,FALSE)</f>
        <v>SEVROLL 03094 spodná krycia lišta 1,7m 10mm oliva tmavá kartáčovaná</v>
      </c>
      <c r="F385" s="541" t="str">
        <f>+VLOOKUP(A385,cennik!A:B,2,FALSE)</f>
        <v>SEVROLL 03094 spodná krycia lišta 1,7m 10mm oliva tmavá kartáčovaná</v>
      </c>
      <c r="G385" s="539" t="e">
        <f>+VLOOKUP(A385,#REF!,4,FALSE)</f>
        <v>#REF!</v>
      </c>
      <c r="H385" s="539" t="s">
        <v>478</v>
      </c>
      <c r="I385" s="539" t="str">
        <f>CONCATENATE(H385,"-",$J$8)</f>
        <v>1700-kart. tm. oliva</v>
      </c>
      <c r="Z385" s="1" t="b">
        <f t="shared" si="45"/>
        <v>1</v>
      </c>
    </row>
    <row r="386" spans="1:26" s="539" customFormat="1" ht="15" customHeight="1" x14ac:dyDescent="0.25">
      <c r="A386" s="543">
        <v>205172</v>
      </c>
      <c r="B386" s="541"/>
      <c r="C386" s="539" t="str">
        <f>CONCATENATE(H386,"-",$J$8)</f>
        <v>2350-kart. tm. oliva</v>
      </c>
      <c r="D386" s="543">
        <v>205172</v>
      </c>
      <c r="E386" s="541" t="str">
        <f>+VLOOKUP(A386,cennik!$A:$G,2,FALSE)</f>
        <v>SEVROLL sp.kryc.lišta 2,35m oliva tm.kartáč</v>
      </c>
      <c r="F386" s="541" t="str">
        <f>+VLOOKUP(A386,cennik!A:B,2,FALSE)</f>
        <v>SEVROLL sp.kryc.lišta 2,35m oliva tm.kartáč</v>
      </c>
      <c r="G386" s="539" t="e">
        <f>+VLOOKUP(A386,#REF!,4,FALSE)</f>
        <v>#REF!</v>
      </c>
      <c r="H386" s="539" t="s">
        <v>479</v>
      </c>
      <c r="I386" s="539" t="str">
        <f>CONCATENATE(H386,"-",$J$8)</f>
        <v>2350-kart. tm. oliva</v>
      </c>
      <c r="Z386" s="1" t="b">
        <f t="shared" si="45"/>
        <v>1</v>
      </c>
    </row>
    <row r="387" spans="1:26" s="539" customFormat="1" ht="15" customHeight="1" x14ac:dyDescent="0.25">
      <c r="A387" s="543">
        <v>205174</v>
      </c>
      <c r="B387" s="541"/>
      <c r="C387" s="539" t="str">
        <f>CONCATENATE(H387,"-",$J$8)</f>
        <v>3000-kart. tm. oliva</v>
      </c>
      <c r="D387" s="543">
        <v>205174</v>
      </c>
      <c r="E387" s="541" t="str">
        <f>+VLOOKUP(A387,cennik!$A:$G,2,FALSE)</f>
        <v>SEVROLL spodná krycia lišta 3m 10mm oliva tmavá kartáčovaná</v>
      </c>
      <c r="F387" s="541" t="str">
        <f>+VLOOKUP(A387,cennik!A:B,2,FALSE)</f>
        <v>SEVROLL spodná krycia lišta 3m 10mm oliva tmavá kartáčovaná</v>
      </c>
      <c r="G387" s="539" t="e">
        <f>+VLOOKUP(A387,#REF!,4,FALSE)</f>
        <v>#REF!</v>
      </c>
      <c r="H387" s="539" t="s">
        <v>480</v>
      </c>
      <c r="I387" s="539" t="str">
        <f>CONCATENATE(H387,"-",$J$8)</f>
        <v>3000-kart. tm. oliva</v>
      </c>
      <c r="Z387" s="1" t="b">
        <f t="shared" si="45"/>
        <v>1</v>
      </c>
    </row>
    <row r="388" spans="1:26" s="539" customFormat="1" ht="15" customHeight="1" x14ac:dyDescent="0.25">
      <c r="A388" s="543">
        <v>205171</v>
      </c>
      <c r="B388" s="541"/>
      <c r="C388" s="539" t="str">
        <f>CONCATENATE(H388,"-",$J$9)</f>
        <v>1700-kart. čierna</v>
      </c>
      <c r="D388" s="543">
        <v>205171</v>
      </c>
      <c r="E388" s="541" t="str">
        <f>+VLOOKUP(A388,cennik!$A:$G,2,FALSE)</f>
        <v>SEVROLL spodná krycia lišta 1,7m 10mm čierna kartáčovaná</v>
      </c>
      <c r="F388" s="541" t="str">
        <f>+VLOOKUP(A388,cennik!A:B,2,FALSE)</f>
        <v>SEVROLL spodná krycia lišta 1,7m 10mm čierna kartáčovaná</v>
      </c>
      <c r="H388" s="539" t="s">
        <v>478</v>
      </c>
      <c r="I388" s="539" t="str">
        <f>CONCATENATE(H388,"-",$J$9)</f>
        <v>1700-kart. čierna</v>
      </c>
      <c r="Z388" s="1" t="b">
        <f t="shared" si="45"/>
        <v>1</v>
      </c>
    </row>
    <row r="389" spans="1:26" s="539" customFormat="1" ht="15" customHeight="1" x14ac:dyDescent="0.25">
      <c r="A389" s="543">
        <v>205173</v>
      </c>
      <c r="B389" s="541"/>
      <c r="C389" s="539" t="str">
        <f>CONCATENATE(H389,"-",$J$9)</f>
        <v>2350-kart. čierna</v>
      </c>
      <c r="D389" s="543">
        <v>205173</v>
      </c>
      <c r="E389" s="541" t="str">
        <f>+VLOOKUP(A389,cennik!$A:$G,2,FALSE)</f>
        <v>SEVROLL spod.krycia lišta 2,35m, 10mm čierna kartá</v>
      </c>
      <c r="F389" s="541" t="str">
        <f>+VLOOKUP(A389,cennik!A:B,2,FALSE)</f>
        <v>SEVROLL spod.krycia lišta 2,35m, 10mm čierna kartá</v>
      </c>
      <c r="H389" s="539" t="s">
        <v>479</v>
      </c>
      <c r="I389" s="539" t="str">
        <f>CONCATENATE(H389,"-",$J$9)</f>
        <v>2350-kart. čierna</v>
      </c>
      <c r="Z389" s="1" t="b">
        <f t="shared" si="45"/>
        <v>1</v>
      </c>
    </row>
    <row r="390" spans="1:26" s="539" customFormat="1" ht="15" customHeight="1" x14ac:dyDescent="0.25">
      <c r="A390" s="543">
        <v>205175</v>
      </c>
      <c r="B390" s="541"/>
      <c r="C390" s="539" t="str">
        <f>CONCATENATE(H390,"-",$J$9)</f>
        <v>3000-kart. čierna</v>
      </c>
      <c r="D390" s="543">
        <v>205175</v>
      </c>
      <c r="E390" s="541" t="str">
        <f>+VLOOKUP(A390,cennik!$A:$G,2,FALSE)</f>
        <v>SEVROLL spod.krycia lišta 3m 10mm čierna kartáč</v>
      </c>
      <c r="F390" s="541" t="str">
        <f>+VLOOKUP(A390,cennik!A:B,2,FALSE)</f>
        <v>SEVROLL spod.krycia lišta 3m 10mm čierna kartáč</v>
      </c>
      <c r="H390" s="539" t="s">
        <v>480</v>
      </c>
      <c r="I390" s="539" t="str">
        <f>CONCATENATE(H390,"-",$J$9)</f>
        <v>3000-kart. čierna</v>
      </c>
      <c r="Z390" s="1" t="b">
        <f t="shared" si="45"/>
        <v>1</v>
      </c>
    </row>
    <row r="391" spans="1:26" s="539" customFormat="1" ht="15" customHeight="1" x14ac:dyDescent="0.25">
      <c r="A391" s="543">
        <v>495473</v>
      </c>
      <c r="B391" s="541"/>
      <c r="C391" s="539" t="str">
        <f>CONCATENATE(H391,"-",$J$12)</f>
        <v>1700-grafit</v>
      </c>
      <c r="D391" s="543">
        <v>495473</v>
      </c>
      <c r="E391" s="541" t="str">
        <f>+VLOOKUP(A391,cennik!$A:$G,2,FALSE)</f>
        <v>SEVROLL 06037 spodná krycia lišta 1,7m 10mm grafit</v>
      </c>
      <c r="F391" s="541" t="str">
        <f>+VLOOKUP(A391,cennik!A:B,2,FALSE)</f>
        <v>SEVROLL 06037 spodná krycia lišta 1,7m 10mm grafit</v>
      </c>
      <c r="H391" s="539">
        <v>1700</v>
      </c>
      <c r="I391" s="539" t="str">
        <f>CONCATENATE(H391,"-",$J$12)</f>
        <v>1700-grafit</v>
      </c>
      <c r="Z391" s="1" t="b">
        <f t="shared" si="45"/>
        <v>1</v>
      </c>
    </row>
    <row r="392" spans="1:26" s="539" customFormat="1" ht="15" customHeight="1" x14ac:dyDescent="0.25">
      <c r="A392" s="543">
        <v>495474</v>
      </c>
      <c r="B392" s="541"/>
      <c r="C392" s="539" t="str">
        <f t="shared" ref="C392:C393" si="57">CONCATENATE(H392,"-",$J$12)</f>
        <v>2350-grafit</v>
      </c>
      <c r="D392" s="543">
        <v>495474</v>
      </c>
      <c r="E392" s="541" t="str">
        <f>+VLOOKUP(A392,cennik!$A:$G,2,FALSE)</f>
        <v>SEVROLL 06038 spod.krycia lišta 2,35m 10mm grafit</v>
      </c>
      <c r="F392" s="541" t="str">
        <f>+VLOOKUP(A392,cennik!A:B,2,FALSE)</f>
        <v>SEVROLL 06038 spod.krycia lišta 2,35m 10mm grafit</v>
      </c>
      <c r="H392" s="539">
        <v>2350</v>
      </c>
      <c r="I392" s="539" t="str">
        <f t="shared" ref="I392:I393" si="58">CONCATENATE(H392,"-",$J$12)</f>
        <v>2350-grafit</v>
      </c>
      <c r="Z392" s="1" t="b">
        <f t="shared" si="45"/>
        <v>1</v>
      </c>
    </row>
    <row r="393" spans="1:26" s="539" customFormat="1" ht="15" customHeight="1" x14ac:dyDescent="0.25">
      <c r="A393" s="543">
        <v>495475</v>
      </c>
      <c r="B393" s="541"/>
      <c r="C393" s="539" t="str">
        <f t="shared" si="57"/>
        <v>3000-grafit</v>
      </c>
      <c r="D393" s="543">
        <v>495475</v>
      </c>
      <c r="E393" s="541" t="str">
        <f>+VLOOKUP(A393,cennik!$A:$G,2,FALSE)</f>
        <v>SEVROLL 05967 spodná krycia lišta 3m 10mm grafit</v>
      </c>
      <c r="F393" s="541" t="str">
        <f>+VLOOKUP(A393,cennik!A:B,2,FALSE)</f>
        <v>SEVROLL 05967 spodná krycia lišta 3m 10mm grafit</v>
      </c>
      <c r="H393" s="539">
        <v>3000</v>
      </c>
      <c r="I393" s="539" t="str">
        <f t="shared" si="58"/>
        <v>3000-grafit</v>
      </c>
      <c r="Z393" s="1" t="b">
        <f t="shared" si="45"/>
        <v>1</v>
      </c>
    </row>
    <row r="394" spans="1:26" s="539" customFormat="1" ht="15" customHeight="1" x14ac:dyDescent="0.25">
      <c r="A394" s="543">
        <v>276736</v>
      </c>
      <c r="B394" s="541"/>
      <c r="C394" s="539" t="str">
        <f>CONCATENATE(H394,"-",$J$15)</f>
        <v>1700-biela lesk</v>
      </c>
      <c r="D394" s="543">
        <v>276736</v>
      </c>
      <c r="E394" s="541" t="str">
        <f>+VLOOKUP(A394,cennik!$A:$G,2,FALSE)</f>
        <v>SEVROLL 04062 Gemini 10 spodná krycia lišta 1,7m 10mm biela lesk</v>
      </c>
      <c r="F394" s="541" t="str">
        <f>+VLOOKUP(A394,cennik!A:B,2,FALSE)</f>
        <v>SEVROLL 04062 Gemini 10 spodná krycia lišta 1,7m 10mm biela lesk</v>
      </c>
      <c r="H394" s="539" t="s">
        <v>478</v>
      </c>
      <c r="I394" s="539" t="str">
        <f>CONCATENATE(H394,"-",$J$15)</f>
        <v>1700-biela lesk</v>
      </c>
      <c r="Z394" s="1" t="b">
        <f t="shared" si="45"/>
        <v>1</v>
      </c>
    </row>
    <row r="395" spans="1:26" s="539" customFormat="1" ht="15" customHeight="1" x14ac:dyDescent="0.25">
      <c r="A395" s="543">
        <v>267954</v>
      </c>
      <c r="B395" s="541"/>
      <c r="C395" s="539" t="str">
        <f>CONCATENATE(H395,"-",$J$15)</f>
        <v>2350-biela lesk</v>
      </c>
      <c r="D395" s="543">
        <v>267954</v>
      </c>
      <c r="E395" s="541" t="str">
        <f>+VLOOKUP(A395,cennik!$A:$G,2,FALSE)</f>
        <v>SEVROLL 04063 Gemini 10 spodná krycia lišta 2,35m 10mm biela lesk</v>
      </c>
      <c r="F395" s="541" t="str">
        <f>+VLOOKUP(A395,cennik!A:B,2,FALSE)</f>
        <v>SEVROLL 04063 Gemini 10 spodná krycia lišta 2,35m 10mm biela lesk</v>
      </c>
      <c r="H395" s="539" t="s">
        <v>479</v>
      </c>
      <c r="I395" s="539" t="str">
        <f>CONCATENATE(H395,"-",$J$15)</f>
        <v>2350-biela lesk</v>
      </c>
      <c r="Z395" s="1" t="b">
        <f t="shared" si="45"/>
        <v>1</v>
      </c>
    </row>
    <row r="396" spans="1:26" ht="15" customHeight="1" x14ac:dyDescent="0.25">
      <c r="A396" s="543">
        <v>265067</v>
      </c>
      <c r="B396" s="541"/>
      <c r="C396" s="539" t="str">
        <f>CONCATENATE(H396,"-",$J$15)</f>
        <v>3000-biela lesk</v>
      </c>
      <c r="D396" s="543">
        <v>265067</v>
      </c>
      <c r="E396" s="541" t="str">
        <f>+VLOOKUP(A396,cennik!$A:$G,2,FALSE)</f>
        <v>SEVROLL 00145 Gemini 10 spodná krycia lišta 3m 10mm biela lesk</v>
      </c>
      <c r="F396" s="541" t="str">
        <f>+VLOOKUP(A396,cennik!A:B,2,FALSE)</f>
        <v>SEVROLL 00145 Gemini 10 spodná krycia lišta 3m 10mm biela lesk</v>
      </c>
      <c r="G396" s="539"/>
      <c r="H396" s="539" t="s">
        <v>480</v>
      </c>
      <c r="I396" s="539" t="str">
        <f>CONCATENATE(H396,"-",$J$15)</f>
        <v>3000-biela lesk</v>
      </c>
      <c r="Z396" s="1" t="b">
        <f t="shared" si="45"/>
        <v>1</v>
      </c>
    </row>
    <row r="397" spans="1:26" s="547" customFormat="1" ht="15" customHeight="1" x14ac:dyDescent="0.25">
      <c r="A397" s="543">
        <v>278059</v>
      </c>
      <c r="B397" s="541"/>
      <c r="C397" s="539" t="str">
        <f>CONCATENATE(H397,"-",$J$4)</f>
        <v xml:space="preserve">3000-strieborná </v>
      </c>
      <c r="D397" s="543">
        <v>278059</v>
      </c>
      <c r="E397" s="541" t="str">
        <f>+VLOOKUP(A397,cennik!$A:$G,2,FALSE)</f>
        <v>SEVROLL 04095 Pax spodná krycia lišta 3m 4mm strieborná</v>
      </c>
      <c r="F397" s="541" t="str">
        <f>+VLOOKUP(A397,cennik!A:B,2,FALSE)</f>
        <v>SEVROLL 04095 Pax spodná krycia lišta 3m 4mm strieborná</v>
      </c>
      <c r="G397" s="539"/>
      <c r="H397" s="539" t="s">
        <v>480</v>
      </c>
      <c r="I397" s="539" t="str">
        <f>CONCATENATE(H397,"-",$J$4)</f>
        <v xml:space="preserve">3000-strieborná </v>
      </c>
      <c r="Z397" s="1" t="b">
        <f t="shared" si="45"/>
        <v>1</v>
      </c>
    </row>
    <row r="398" spans="1:26" s="547" customFormat="1" ht="15" customHeight="1" x14ac:dyDescent="0.25">
      <c r="A398" s="543">
        <v>284526</v>
      </c>
      <c r="B398" s="541"/>
      <c r="C398" s="539" t="str">
        <f>CONCATENATE(H398,"-",$J$15)</f>
        <v>3000-biela lesk</v>
      </c>
      <c r="D398" s="543">
        <v>284526</v>
      </c>
      <c r="E398" s="541" t="str">
        <f>+VLOOKUP(A398,cennik!$A:$G,2,FALSE)</f>
        <v>SEVROLL 04099Gemini 4 Pax spodná krycia lišta 3m 4mm biela lesk</v>
      </c>
      <c r="F398" s="541" t="str">
        <f>+VLOOKUP(A398,cennik!A:B,2,FALSE)</f>
        <v>SEVROLL 04099Gemini 4 Pax spodná krycia lišta 3m 4mm biela lesk</v>
      </c>
      <c r="G398" s="539"/>
      <c r="H398" s="539" t="s">
        <v>480</v>
      </c>
      <c r="I398" s="539" t="str">
        <f>CONCATENATE(H398,"-",$J$15)</f>
        <v>3000-biela lesk</v>
      </c>
      <c r="Z398" s="1" t="b">
        <f t="shared" si="45"/>
        <v>1</v>
      </c>
    </row>
    <row r="399" spans="1:26" s="547" customFormat="1" ht="15" customHeight="1" x14ac:dyDescent="0.25">
      <c r="A399" s="547">
        <v>422030</v>
      </c>
      <c r="C399" s="539" t="str">
        <f>CONCATENATE($H399,"-",$J$17)</f>
        <v>3000-čierna mat</v>
      </c>
      <c r="D399" s="547">
        <v>422030</v>
      </c>
      <c r="E399" s="548" t="s">
        <v>1315</v>
      </c>
      <c r="F399" s="548" t="s">
        <v>1315</v>
      </c>
      <c r="H399" s="547">
        <v>3000</v>
      </c>
      <c r="I399" s="539" t="str">
        <f>CONCATENATE($H399,"-",$J$17)</f>
        <v>3000-čierna mat</v>
      </c>
      <c r="Z399" s="1" t="b">
        <f t="shared" ref="Z399:Z466" si="59">A399=D399</f>
        <v>1</v>
      </c>
    </row>
    <row r="400" spans="1:26" s="547" customFormat="1" ht="15" customHeight="1" x14ac:dyDescent="0.25">
      <c r="A400" s="547">
        <v>422036</v>
      </c>
      <c r="C400" s="539" t="str">
        <f t="shared" ref="C400:C409" si="60">CONCATENATE($H400,"-",$J$17)</f>
        <v>3000-čierna mat</v>
      </c>
      <c r="D400" s="547">
        <v>422036</v>
      </c>
      <c r="E400" s="548" t="s">
        <v>1317</v>
      </c>
      <c r="F400" s="548" t="s">
        <v>1317</v>
      </c>
      <c r="H400" s="547">
        <v>3000</v>
      </c>
      <c r="I400" s="539" t="str">
        <f t="shared" ref="I400:I409" si="61">CONCATENATE($H400,"-",$J$17)</f>
        <v>3000-čierna mat</v>
      </c>
      <c r="Z400" s="1" t="b">
        <f t="shared" si="59"/>
        <v>1</v>
      </c>
    </row>
    <row r="401" spans="1:26" s="547" customFormat="1" ht="15" customHeight="1" x14ac:dyDescent="0.25">
      <c r="A401" s="549">
        <v>405369</v>
      </c>
      <c r="C401" s="539" t="str">
        <f>CONCATENATE($H401,"-",$J$16)</f>
        <v>1700-čierna lesk</v>
      </c>
      <c r="D401" s="549">
        <v>405369</v>
      </c>
      <c r="E401" s="548" t="s">
        <v>1478</v>
      </c>
      <c r="F401" s="548" t="s">
        <v>1478</v>
      </c>
      <c r="H401" s="547">
        <v>1700</v>
      </c>
      <c r="I401" s="539" t="str">
        <f t="shared" si="61"/>
        <v>1700-čierna mat</v>
      </c>
      <c r="Z401" s="1" t="b">
        <f t="shared" si="59"/>
        <v>1</v>
      </c>
    </row>
    <row r="402" spans="1:26" s="547" customFormat="1" ht="15" customHeight="1" x14ac:dyDescent="0.25">
      <c r="A402" s="549">
        <v>405375</v>
      </c>
      <c r="C402" s="539" t="str">
        <f>CONCATENATE($H402,"-",$J$16)</f>
        <v>1350-čierna lesk</v>
      </c>
      <c r="D402" s="549">
        <v>405375</v>
      </c>
      <c r="E402" s="548" t="s">
        <v>1479</v>
      </c>
      <c r="F402" s="548" t="s">
        <v>1479</v>
      </c>
      <c r="H402" s="547">
        <v>1350</v>
      </c>
      <c r="I402" s="539" t="str">
        <f t="shared" si="61"/>
        <v>1350-čierna mat</v>
      </c>
      <c r="Z402" s="1" t="b">
        <f t="shared" si="59"/>
        <v>1</v>
      </c>
    </row>
    <row r="403" spans="1:26" s="547" customFormat="1" ht="15" customHeight="1" x14ac:dyDescent="0.25">
      <c r="A403" s="549">
        <v>405376</v>
      </c>
      <c r="C403" s="539" t="str">
        <f>CONCATENATE($H403,"-",$J$16)</f>
        <v>3000-čierna lesk</v>
      </c>
      <c r="D403" s="549">
        <v>405376</v>
      </c>
      <c r="E403" s="548" t="s">
        <v>1480</v>
      </c>
      <c r="F403" s="548" t="s">
        <v>1480</v>
      </c>
      <c r="H403" s="547">
        <v>3000</v>
      </c>
      <c r="I403" s="539" t="str">
        <f t="shared" si="61"/>
        <v>3000-čierna mat</v>
      </c>
      <c r="Z403" s="1" t="b">
        <f t="shared" si="59"/>
        <v>1</v>
      </c>
    </row>
    <row r="404" spans="1:26" s="547" customFormat="1" ht="15" customHeight="1" x14ac:dyDescent="0.25">
      <c r="A404" s="549">
        <v>497666</v>
      </c>
      <c r="C404" s="539" t="str">
        <f>CONCATENATE($H404,"-",$J$18)</f>
        <v>1700-biela mat</v>
      </c>
      <c r="D404" s="549">
        <v>497666</v>
      </c>
      <c r="E404" s="541" t="str">
        <f>+VLOOKUP(A404,cennik!$A:$G,2,FALSE)</f>
        <v>SEVROLL 05939 Gemini 10 spodná krycia lišta 1,7m 10mm biela mat</v>
      </c>
      <c r="F404" s="541" t="str">
        <f>+VLOOKUP(A404,cennik!A:B,2,FALSE)</f>
        <v>SEVROLL 05939 Gemini 10 spodná krycia lišta 1,7m 10mm biela mat</v>
      </c>
      <c r="H404" s="547">
        <v>1700</v>
      </c>
      <c r="I404" s="539" t="str">
        <f>CONCATENATE($H404,"-",$J$18)</f>
        <v>1700-biela mat</v>
      </c>
      <c r="Z404" s="1"/>
    </row>
    <row r="405" spans="1:26" s="547" customFormat="1" ht="15" customHeight="1" x14ac:dyDescent="0.25">
      <c r="A405" s="549">
        <v>497668</v>
      </c>
      <c r="C405" s="539" t="str">
        <f t="shared" ref="C405:C406" si="62">CONCATENATE($H405,"-",$J$18)</f>
        <v>2350-biela mat</v>
      </c>
      <c r="D405" s="549">
        <v>497668</v>
      </c>
      <c r="E405" s="541" t="str">
        <f>+VLOOKUP(A405,cennik!$A:$G,2,FALSE)</f>
        <v>SEVROLL 05940 Gemini 10 spodná krycia lišta 2,35m 10mm biela mat</v>
      </c>
      <c r="F405" s="541" t="str">
        <f>+VLOOKUP(A405,cennik!A:B,2,FALSE)</f>
        <v>SEVROLL 05940 Gemini 10 spodná krycia lišta 2,35m 10mm biela mat</v>
      </c>
      <c r="H405" s="547">
        <v>2350</v>
      </c>
      <c r="I405" s="539" t="str">
        <f t="shared" ref="I405:I406" si="63">CONCATENATE($H405,"-",$J$18)</f>
        <v>2350-biela mat</v>
      </c>
      <c r="Z405" s="1"/>
    </row>
    <row r="406" spans="1:26" s="547" customFormat="1" ht="15" customHeight="1" x14ac:dyDescent="0.25">
      <c r="A406" s="549">
        <v>497669</v>
      </c>
      <c r="C406" s="539" t="str">
        <f t="shared" si="62"/>
        <v>3000-biela mat</v>
      </c>
      <c r="D406" s="549">
        <v>497669</v>
      </c>
      <c r="E406" s="541" t="str">
        <f>+VLOOKUP(A406,cennik!$A:$G,2,FALSE)</f>
        <v>SEVROLL 05941 Gemini 10 spodná krycia lišta 3m 10mm biela mat</v>
      </c>
      <c r="F406" s="541" t="str">
        <f>+VLOOKUP(A406,cennik!A:B,2,FALSE)</f>
        <v>SEVROLL 05941 Gemini 10 spodná krycia lišta 3m 10mm biela mat</v>
      </c>
      <c r="H406" s="547">
        <v>3000</v>
      </c>
      <c r="I406" s="539" t="str">
        <f t="shared" si="63"/>
        <v>3000-biela mat</v>
      </c>
      <c r="Z406" s="1"/>
    </row>
    <row r="407" spans="1:26" s="539" customFormat="1" ht="15" customHeight="1" x14ac:dyDescent="0.25">
      <c r="A407" s="547">
        <v>422027</v>
      </c>
      <c r="B407" s="547"/>
      <c r="C407" s="539" t="str">
        <f t="shared" si="60"/>
        <v>1700-čierna mat</v>
      </c>
      <c r="D407" s="547">
        <v>422027</v>
      </c>
      <c r="E407" s="548" t="s">
        <v>1313</v>
      </c>
      <c r="F407" s="548" t="s">
        <v>1313</v>
      </c>
      <c r="G407" s="547"/>
      <c r="H407" s="547">
        <v>1700</v>
      </c>
      <c r="I407" s="539" t="str">
        <f t="shared" si="61"/>
        <v>1700-čierna mat</v>
      </c>
      <c r="Z407" s="1" t="b">
        <f t="shared" si="59"/>
        <v>1</v>
      </c>
    </row>
    <row r="408" spans="1:26" s="539" customFormat="1" ht="15" customHeight="1" x14ac:dyDescent="0.25">
      <c r="A408" s="547">
        <v>422029</v>
      </c>
      <c r="B408" s="547"/>
      <c r="C408" s="539" t="str">
        <f t="shared" si="60"/>
        <v>2350-čierna mat</v>
      </c>
      <c r="D408" s="547">
        <v>422029</v>
      </c>
      <c r="E408" s="548" t="s">
        <v>1314</v>
      </c>
      <c r="F408" s="548" t="s">
        <v>1314</v>
      </c>
      <c r="G408" s="547"/>
      <c r="H408" s="547">
        <v>2350</v>
      </c>
      <c r="I408" s="539" t="str">
        <f t="shared" si="61"/>
        <v>2350-čierna mat</v>
      </c>
      <c r="Z408" s="1" t="b">
        <f t="shared" si="59"/>
        <v>1</v>
      </c>
    </row>
    <row r="409" spans="1:26" s="539" customFormat="1" ht="15" customHeight="1" x14ac:dyDescent="0.25">
      <c r="A409" s="547">
        <v>422032</v>
      </c>
      <c r="B409" s="547"/>
      <c r="C409" s="539" t="str">
        <f t="shared" si="60"/>
        <v>3000-čierna mat</v>
      </c>
      <c r="D409" s="547">
        <v>422032</v>
      </c>
      <c r="E409" s="548" t="s">
        <v>1316</v>
      </c>
      <c r="F409" s="548" t="s">
        <v>1316</v>
      </c>
      <c r="G409" s="547"/>
      <c r="H409" s="547">
        <v>3000</v>
      </c>
      <c r="I409" s="539" t="str">
        <f t="shared" si="61"/>
        <v>3000-čierna mat</v>
      </c>
      <c r="Z409" s="1" t="b">
        <f t="shared" si="59"/>
        <v>1</v>
      </c>
    </row>
    <row r="410" spans="1:26" s="539" customFormat="1" ht="15" customHeight="1" x14ac:dyDescent="0.25">
      <c r="A410" s="545">
        <v>452737</v>
      </c>
      <c r="B410" s="541"/>
      <c r="C410" s="539" t="str">
        <f>CONCATENATE($H410,"-",$J$17)</f>
        <v>3000-čierna mat</v>
      </c>
      <c r="D410" s="545">
        <v>452737</v>
      </c>
      <c r="E410" s="545" t="s">
        <v>1294</v>
      </c>
      <c r="F410" s="545" t="s">
        <v>1294</v>
      </c>
      <c r="H410" s="539">
        <v>3000</v>
      </c>
      <c r="I410" s="539" t="str">
        <f>CONCATENATE($H410,"-",$J$16)</f>
        <v>3000-čierna lesk</v>
      </c>
      <c r="Z410" s="1" t="b">
        <f t="shared" si="59"/>
        <v>1</v>
      </c>
    </row>
    <row r="411" spans="1:26" ht="15" customHeight="1" x14ac:dyDescent="0.25">
      <c r="A411" s="540"/>
      <c r="B411" s="541"/>
      <c r="C411" s="539"/>
      <c r="D411" s="540"/>
      <c r="E411" s="541"/>
      <c r="F411" s="541"/>
      <c r="G411" s="539"/>
      <c r="H411" s="539"/>
      <c r="I411" s="539"/>
      <c r="Z411" s="1" t="b">
        <f t="shared" si="59"/>
        <v>1</v>
      </c>
    </row>
    <row r="412" spans="1:26" ht="15" customHeight="1" x14ac:dyDescent="0.25">
      <c r="A412" s="540"/>
      <c r="B412" s="541"/>
      <c r="C412" s="539"/>
      <c r="D412" s="540"/>
      <c r="E412" s="541"/>
      <c r="F412" s="541"/>
      <c r="G412" s="539"/>
      <c r="H412" s="539"/>
      <c r="I412" s="539"/>
      <c r="Z412" s="1" t="b">
        <f t="shared" si="59"/>
        <v>1</v>
      </c>
    </row>
    <row r="413" spans="1:26" ht="15" customHeight="1" x14ac:dyDescent="0.25">
      <c r="A413" s="540"/>
      <c r="B413" s="541"/>
      <c r="C413" s="539"/>
      <c r="D413" s="540"/>
      <c r="E413" s="541"/>
      <c r="F413" s="541"/>
      <c r="G413" s="539"/>
      <c r="H413" s="539"/>
      <c r="I413" s="539"/>
      <c r="Z413" s="1" t="b">
        <f t="shared" si="59"/>
        <v>1</v>
      </c>
    </row>
    <row r="414" spans="1:26" s="552" customFormat="1" ht="15" customHeight="1" x14ac:dyDescent="0.25">
      <c r="A414" s="1"/>
      <c r="B414" s="52" t="s">
        <v>850</v>
      </c>
      <c r="C414" s="1"/>
      <c r="D414" s="1"/>
      <c r="E414" s="52"/>
      <c r="F414" s="52"/>
      <c r="G414" s="1"/>
      <c r="H414" s="1"/>
      <c r="I414" s="1"/>
      <c r="Z414" s="1" t="b">
        <f t="shared" si="59"/>
        <v>1</v>
      </c>
    </row>
    <row r="415" spans="1:26" s="552" customFormat="1" ht="15" customHeight="1" x14ac:dyDescent="0.25">
      <c r="A415" s="53">
        <v>278056</v>
      </c>
      <c r="B415" s="52"/>
      <c r="C415" s="1" t="str">
        <f>$J$4</f>
        <v xml:space="preserve">strieborná </v>
      </c>
      <c r="D415" s="53">
        <v>278056</v>
      </c>
      <c r="E415" s="52" t="str">
        <f>+VLOOKUP(A415,cennik!$A:$G,2,FALSE)</f>
        <v>SEVROLL 04094 Pax úchytová lišta 2,7m strieborná</v>
      </c>
      <c r="F415" s="52" t="str">
        <f>+VLOOKUP(A415,cennik!A:B,2,FALSE)</f>
        <v>SEVROLL 04094 Pax úchytová lišta 2,7m strieborná</v>
      </c>
      <c r="G415" s="1"/>
      <c r="H415" s="1">
        <v>2700</v>
      </c>
      <c r="I415" s="1" t="str">
        <f>$J$4</f>
        <v xml:space="preserve">strieborná </v>
      </c>
      <c r="Z415" s="1" t="b">
        <f t="shared" si="59"/>
        <v>1</v>
      </c>
    </row>
    <row r="416" spans="1:26" ht="15" customHeight="1" x14ac:dyDescent="0.25">
      <c r="A416" s="53">
        <v>284521</v>
      </c>
      <c r="B416" s="176"/>
      <c r="C416" s="1" t="str">
        <f>$J$15</f>
        <v>biela lesk</v>
      </c>
      <c r="D416" s="53">
        <v>284521</v>
      </c>
      <c r="E416" s="52" t="str">
        <f>+VLOOKUP(A416,cennik!$A:$G,2,FALSE)</f>
        <v>SEVROLL 04098 Pax úchytová lišta 2,7m biela lesk</v>
      </c>
      <c r="F416" s="52" t="str">
        <f>+VLOOKUP(A416,cennik!A:B,2,FALSE)</f>
        <v>SEVROLL 04098 Pax úchytová lišta 2,7m biela lesk</v>
      </c>
      <c r="H416" s="1">
        <v>2700</v>
      </c>
      <c r="I416" s="1" t="str">
        <f>$J$15</f>
        <v>biela lesk</v>
      </c>
      <c r="Z416" s="1" t="b">
        <f t="shared" si="59"/>
        <v>1</v>
      </c>
    </row>
    <row r="417" spans="1:26" ht="15" customHeight="1" x14ac:dyDescent="0.25">
      <c r="A417" s="553">
        <v>456332</v>
      </c>
      <c r="B417" s="552"/>
      <c r="C417" s="552" t="str">
        <f>$J$17</f>
        <v>čierna mat</v>
      </c>
      <c r="D417" s="553">
        <v>456332</v>
      </c>
      <c r="E417" s="52" t="str">
        <f>+VLOOKUP(A417,cennik!$A:$G,2,FALSE)</f>
        <v>SEVROLL 05325 Pax úchytová lišta 2,7m čierna mat</v>
      </c>
      <c r="F417" s="52" t="str">
        <f>+VLOOKUP(A417,cennik!A:B,2,FALSE)</f>
        <v>SEVROLL 05325 Pax úchytová lišta 2,7m čierna mat</v>
      </c>
      <c r="G417" s="552"/>
      <c r="H417" s="552">
        <v>2700</v>
      </c>
      <c r="I417" s="552" t="str">
        <f>$J$17</f>
        <v>čierna mat</v>
      </c>
      <c r="Z417" s="1" t="b">
        <f t="shared" si="59"/>
        <v>1</v>
      </c>
    </row>
    <row r="418" spans="1:26" s="552" customFormat="1" ht="15" customHeight="1" x14ac:dyDescent="0.25">
      <c r="A418" s="553"/>
      <c r="D418" s="553"/>
      <c r="E418" s="52"/>
      <c r="F418" s="52"/>
      <c r="Z418" s="1" t="b">
        <f t="shared" si="59"/>
        <v>1</v>
      </c>
    </row>
    <row r="419" spans="1:26" s="552" customFormat="1" ht="15" customHeight="1" x14ac:dyDescent="0.25">
      <c r="A419" s="53">
        <v>278057</v>
      </c>
      <c r="B419" s="176"/>
      <c r="C419" s="1" t="str">
        <f>$J$4</f>
        <v xml:space="preserve">strieborná </v>
      </c>
      <c r="D419" s="53">
        <v>278057</v>
      </c>
      <c r="E419" s="52" t="str">
        <f>+VLOOKUP(A419,cennik!$A:$G,2,FALSE)</f>
        <v>SEVROLL Pax úchytová lišta 3m strieborná</v>
      </c>
      <c r="F419" s="52" t="str">
        <f>+VLOOKUP(A419,cennik!A:B,2,FALSE)</f>
        <v>SEVROLL Pax úchytová lišta 3m strieborná</v>
      </c>
      <c r="G419" s="1"/>
      <c r="H419" s="1">
        <v>3000</v>
      </c>
      <c r="I419" s="1" t="str">
        <f>$J$4</f>
        <v xml:space="preserve">strieborná </v>
      </c>
      <c r="Z419" s="1" t="b">
        <f t="shared" si="59"/>
        <v>1</v>
      </c>
    </row>
    <row r="420" spans="1:26" ht="15" customHeight="1" x14ac:dyDescent="0.25">
      <c r="A420" s="53">
        <v>284523</v>
      </c>
      <c r="B420" s="176"/>
      <c r="C420" s="1" t="str">
        <f>$J$15</f>
        <v>biela lesk</v>
      </c>
      <c r="D420" s="53">
        <v>284523</v>
      </c>
      <c r="E420" s="52" t="str">
        <f>+VLOOKUP(A420,cennik!$A:$G,2,FALSE)</f>
        <v>SEVROLL 04101 Pax úchytová lišta 3m biela lesk</v>
      </c>
      <c r="F420" s="52" t="str">
        <f>+VLOOKUP(A420,cennik!A:B,2,FALSE)</f>
        <v>SEVROLL 04101 Pax úchytová lišta 3m biela lesk</v>
      </c>
      <c r="H420" s="1">
        <v>3000</v>
      </c>
      <c r="I420" s="1" t="str">
        <f>$J$15</f>
        <v>biela lesk</v>
      </c>
      <c r="Z420" s="1" t="b">
        <f t="shared" si="59"/>
        <v>1</v>
      </c>
    </row>
    <row r="421" spans="1:26" ht="15" customHeight="1" x14ac:dyDescent="0.25">
      <c r="A421" s="553">
        <v>456333</v>
      </c>
      <c r="B421" s="552"/>
      <c r="C421" s="552" t="str">
        <f>$J$17</f>
        <v>čierna mat</v>
      </c>
      <c r="D421" s="553">
        <v>456333</v>
      </c>
      <c r="E421" s="52" t="str">
        <f>+VLOOKUP(A421,cennik!$A:$G,2,FALSE)</f>
        <v>SEVROLL 05326 Pax úchytová lišta 3m čierna mat</v>
      </c>
      <c r="F421" s="52" t="str">
        <f>+VLOOKUP(A421,cennik!A:B,2,FALSE)</f>
        <v>SEVROLL 05326 Pax úchytová lišta 3m čierna mat</v>
      </c>
      <c r="G421" s="552"/>
      <c r="H421" s="552">
        <v>3000</v>
      </c>
      <c r="I421" s="552" t="str">
        <f>$J$17</f>
        <v>čierna mat</v>
      </c>
      <c r="Z421" s="1" t="b">
        <f t="shared" si="59"/>
        <v>1</v>
      </c>
    </row>
    <row r="422" spans="1:26" ht="15" customHeight="1" x14ac:dyDescent="0.25">
      <c r="A422" s="553"/>
      <c r="B422" s="552"/>
      <c r="C422" s="552"/>
      <c r="D422" s="553"/>
      <c r="E422" s="52"/>
      <c r="F422" s="52"/>
      <c r="G422" s="552"/>
      <c r="H422" s="552"/>
      <c r="I422" s="552"/>
      <c r="Z422" s="1" t="b">
        <f t="shared" si="59"/>
        <v>1</v>
      </c>
    </row>
    <row r="423" spans="1:26" ht="14.25" customHeight="1" x14ac:dyDescent="0.25">
      <c r="A423" s="53">
        <v>278058</v>
      </c>
      <c r="B423" s="176" t="s">
        <v>855</v>
      </c>
      <c r="C423" s="1" t="str">
        <f>CONCATENATE(H423,"-",$K$15)</f>
        <v>3000-bílá lesk</v>
      </c>
      <c r="D423" s="53">
        <v>278058</v>
      </c>
      <c r="E423" s="52" t="str">
        <f>+VLOOKUP(A423,cennik!$A:$G,2,FALSE)</f>
        <v>SEVROLL 04096 Pax horná vodiaca lišta 3m strieborná</v>
      </c>
      <c r="F423" s="52" t="str">
        <f>+VLOOKUP(A423,cennik!A:B,2,FALSE)</f>
        <v>SEVROLL 04096 Pax horná vodiaca lišta 3m strieborná</v>
      </c>
      <c r="H423" s="1">
        <v>3000</v>
      </c>
      <c r="I423" s="1" t="str">
        <f>J$4</f>
        <v xml:space="preserve">strieborná </v>
      </c>
      <c r="Z423" s="1" t="b">
        <f t="shared" si="59"/>
        <v>1</v>
      </c>
    </row>
    <row r="424" spans="1:26" ht="15" customHeight="1" x14ac:dyDescent="0.25">
      <c r="A424" s="53">
        <v>284525</v>
      </c>
      <c r="B424" s="176"/>
      <c r="C424" s="1" t="str">
        <f>CONCATENATE(H424,"-",$K$15)</f>
        <v>3000-bílá lesk</v>
      </c>
      <c r="D424" s="53">
        <v>284525</v>
      </c>
      <c r="E424" s="52" t="str">
        <f>+VLOOKUP(A424,cennik!$A:$G,2,FALSE)</f>
        <v>SEVROLL 04100 Pax horná vodiaca lišta 3m biela lesk</v>
      </c>
      <c r="F424" s="52" t="str">
        <f>+VLOOKUP(A424,cennik!A:B,2,FALSE)</f>
        <v>SEVROLL 04100 Pax horná vodiaca lišta 3m biela lesk</v>
      </c>
      <c r="H424" s="1">
        <v>3000</v>
      </c>
      <c r="I424" s="1" t="str">
        <f>K$15</f>
        <v>bílá lesk</v>
      </c>
      <c r="Z424" s="1" t="b">
        <f t="shared" si="59"/>
        <v>1</v>
      </c>
    </row>
    <row r="425" spans="1:26" ht="15" customHeight="1" x14ac:dyDescent="0.25">
      <c r="A425" s="53">
        <v>278059</v>
      </c>
      <c r="B425" s="176" t="s">
        <v>856</v>
      </c>
      <c r="C425" s="1" t="str">
        <f>CONCATENATE(H425,"-",$K$15)</f>
        <v>3000-bílá lesk</v>
      </c>
      <c r="D425" s="53">
        <v>278059</v>
      </c>
      <c r="E425" s="52" t="str">
        <f>+VLOOKUP(A425,cennik!$A:$G,2,FALSE)</f>
        <v>SEVROLL 04095 Pax spodná krycia lišta 3m 4mm strieborná</v>
      </c>
      <c r="F425" s="52" t="str">
        <f>+VLOOKUP(A425,cennik!A:B,2,FALSE)</f>
        <v>SEVROLL 04095 Pax spodná krycia lišta 3m 4mm strieborná</v>
      </c>
      <c r="H425" s="1">
        <v>3000</v>
      </c>
      <c r="I425" s="1" t="str">
        <f>J$4</f>
        <v xml:space="preserve">strieborná </v>
      </c>
      <c r="Z425" s="1" t="b">
        <f t="shared" si="59"/>
        <v>1</v>
      </c>
    </row>
    <row r="426" spans="1:26" s="556" customFormat="1" ht="15" customHeight="1" x14ac:dyDescent="0.25">
      <c r="A426" s="53">
        <v>284526</v>
      </c>
      <c r="B426" s="176"/>
      <c r="C426" s="1" t="str">
        <f>CONCATENATE(H426,"-",$K$15)</f>
        <v>3000-bílá lesk</v>
      </c>
      <c r="D426" s="53">
        <v>284526</v>
      </c>
      <c r="E426" s="52" t="str">
        <f>+VLOOKUP(A426,cennik!$A:$G,2,FALSE)</f>
        <v>SEVROLL 04099Gemini 4 Pax spodná krycia lišta 3m 4mm biela lesk</v>
      </c>
      <c r="F426" s="52" t="str">
        <f>+VLOOKUP(A426,cennik!A:B,2,FALSE)</f>
        <v>SEVROLL 04099Gemini 4 Pax spodná krycia lišta 3m 4mm biela lesk</v>
      </c>
      <c r="G426" s="1"/>
      <c r="H426" s="1">
        <v>3000</v>
      </c>
      <c r="I426" s="1" t="str">
        <f>K$15</f>
        <v>bílá lesk</v>
      </c>
      <c r="Z426" s="1" t="b">
        <f t="shared" si="59"/>
        <v>1</v>
      </c>
    </row>
    <row r="427" spans="1:26" s="556" customFormat="1" ht="15" customHeight="1" x14ac:dyDescent="0.25">
      <c r="A427" s="53">
        <v>288126</v>
      </c>
      <c r="B427" s="176" t="s">
        <v>858</v>
      </c>
      <c r="C427" s="155" t="str">
        <f>J$4</f>
        <v xml:space="preserve">strieborná </v>
      </c>
      <c r="D427" s="53">
        <v>288126</v>
      </c>
      <c r="E427" s="52" t="str">
        <f>+VLOOKUP(A427,cennik!$A:$G,2,FALSE)</f>
        <v>SEVROLL 20328 Pax nalepovacia úchytka strieborná</v>
      </c>
      <c r="F427" s="52" t="str">
        <f>+VLOOKUP(A427,cennik!A:B,2,FALSE)</f>
        <v>SEVROLL 20328 Pax nalepovacia úchytka strieborná</v>
      </c>
      <c r="G427" s="1"/>
      <c r="H427" s="1"/>
      <c r="I427" s="1" t="str">
        <f>J$4</f>
        <v xml:space="preserve">strieborná </v>
      </c>
      <c r="Z427" s="1" t="b">
        <f t="shared" si="59"/>
        <v>1</v>
      </c>
    </row>
    <row r="428" spans="1:26" ht="15" customHeight="1" x14ac:dyDescent="0.25">
      <c r="A428" s="53">
        <v>288125</v>
      </c>
      <c r="B428" s="52"/>
      <c r="C428" s="155" t="str">
        <f>J$15</f>
        <v>biela lesk</v>
      </c>
      <c r="D428" s="53">
        <v>288125</v>
      </c>
      <c r="E428" s="52" t="str">
        <f>+VLOOKUP(A428,cennik!$A:$G,2,FALSE)</f>
        <v>SEVROLL 20329 Pax nalepovacia úchytka biela lesk</v>
      </c>
      <c r="F428" s="52" t="str">
        <f>+VLOOKUP(A428,cennik!A:B,2,FALSE)</f>
        <v>SEVROLL 20329 Pax nalepovacia úchytka biela lesk</v>
      </c>
      <c r="I428" s="1" t="str">
        <f>J$15</f>
        <v>biela lesk</v>
      </c>
      <c r="Z428" s="1" t="b">
        <f t="shared" si="59"/>
        <v>1</v>
      </c>
    </row>
    <row r="429" spans="1:26" ht="15" customHeight="1" x14ac:dyDescent="0.25">
      <c r="A429" s="557">
        <v>278060</v>
      </c>
      <c r="B429" s="555" t="s">
        <v>857</v>
      </c>
      <c r="C429" s="556" t="str">
        <f>$J$4</f>
        <v xml:space="preserve">strieborná </v>
      </c>
      <c r="D429" s="557">
        <v>278060</v>
      </c>
      <c r="E429" s="554" t="str">
        <f>+VLOOKUP(A429,cennik!$A:$G,2,FALSE)</f>
        <v>SEVROLL 20298 Pax záslepka profilu (4 ks) strieborná</v>
      </c>
      <c r="F429" s="554" t="str">
        <f>+VLOOKUP(A429,cennik!A:B,2,FALSE)</f>
        <v>SEVROLL 20298 Pax záslepka profilu (4 ks) strieborná</v>
      </c>
      <c r="G429" s="556"/>
      <c r="H429" s="556"/>
      <c r="I429" s="556" t="str">
        <f>J$4</f>
        <v xml:space="preserve">strieborná </v>
      </c>
      <c r="Z429" s="1" t="b">
        <f t="shared" si="59"/>
        <v>1</v>
      </c>
    </row>
    <row r="430" spans="1:26" ht="15" customHeight="1" x14ac:dyDescent="0.25">
      <c r="A430" s="557">
        <v>284529</v>
      </c>
      <c r="B430" s="555"/>
      <c r="C430" s="556" t="str">
        <f>$J$15</f>
        <v>biela lesk</v>
      </c>
      <c r="D430" s="557">
        <v>284529</v>
      </c>
      <c r="E430" s="554" t="str">
        <f>+VLOOKUP(A430,cennik!$A:$G,2,FALSE)</f>
        <v>SEVROLL 20299 Pax záslepka profilu (4 ks) biela lesk</v>
      </c>
      <c r="F430" s="554" t="str">
        <f>+VLOOKUP(A430,cennik!A:B,2,FALSE)</f>
        <v>SEVROLL 20299 Pax záslepka profilu (4 ks) biela lesk</v>
      </c>
      <c r="G430" s="556"/>
      <c r="H430" s="556"/>
      <c r="I430" s="556" t="str">
        <f>K$15</f>
        <v>bílá lesk</v>
      </c>
      <c r="Z430" s="1" t="b">
        <f t="shared" si="59"/>
        <v>1</v>
      </c>
    </row>
    <row r="431" spans="1:26" ht="15" customHeight="1" x14ac:dyDescent="0.25">
      <c r="A431" s="1">
        <v>422012</v>
      </c>
      <c r="C431" s="1" t="str">
        <f>$J$17</f>
        <v>čierna mat</v>
      </c>
      <c r="D431" s="1">
        <v>422012</v>
      </c>
      <c r="E431" s="52" t="str">
        <f>+VLOOKUP(A431,cennik!$A:$G,2,FALSE)</f>
        <v>SEVROLL 05327 Pax záslepka profilu (4 ks) čierna mat</v>
      </c>
      <c r="F431" s="52" t="str">
        <f>+VLOOKUP(A431,cennik!A:B,2,FALSE)</f>
        <v>SEVROLL 05327 Pax záslepka profilu (4 ks) čierna mat</v>
      </c>
      <c r="I431" s="1" t="str">
        <f>$J$17</f>
        <v>čierna mat</v>
      </c>
      <c r="Z431" s="1" t="b">
        <f t="shared" si="59"/>
        <v>1</v>
      </c>
    </row>
    <row r="432" spans="1:26" ht="15" customHeight="1" x14ac:dyDescent="0.25">
      <c r="A432" s="53"/>
      <c r="B432" s="176"/>
      <c r="D432" s="53"/>
      <c r="E432" s="52"/>
      <c r="F432" s="52"/>
      <c r="Z432" s="1" t="b">
        <f t="shared" si="59"/>
        <v>1</v>
      </c>
    </row>
    <row r="433" spans="1:26" ht="15" customHeight="1" x14ac:dyDescent="0.25">
      <c r="A433" s="53">
        <v>212616</v>
      </c>
      <c r="B433" s="52"/>
      <c r="D433" s="53">
        <v>212616</v>
      </c>
      <c r="E433" s="52" t="str">
        <f>+VLOOKUP(A433,cennik!$A:$G,2,FALSE)</f>
        <v>SEVROLL 20208 brzda k lište Hide N a M</v>
      </c>
      <c r="F433" s="52" t="str">
        <f>+VLOOKUP(A433,cennik!A:B,2,FALSE)</f>
        <v>SEVROLL 20208 brzda k lište Hide N a M</v>
      </c>
      <c r="Z433" s="1" t="b">
        <f t="shared" si="59"/>
        <v>1</v>
      </c>
    </row>
    <row r="434" spans="1:26" ht="15" customHeight="1" x14ac:dyDescent="0.25">
      <c r="A434" s="53">
        <v>283904</v>
      </c>
      <c r="B434" s="52"/>
      <c r="C434" s="1" t="str">
        <f>CONCATENATE(H434,"-",$J$4)</f>
        <v xml:space="preserve">3000-strieborná </v>
      </c>
      <c r="D434" s="53">
        <v>283904</v>
      </c>
      <c r="E434" s="52" t="str">
        <f>+VLOOKUP(A434,cennik!$A:$G,2,FALSE)</f>
        <v>SEVROLL 04318 Pax výztuha 3m strieborná</v>
      </c>
      <c r="F434" s="52" t="str">
        <f>+VLOOKUP(A434,cennik!A:B,2,FALSE)</f>
        <v>SEVROLL 04318 Pax výztuha 3m strieborná</v>
      </c>
      <c r="H434" s="1">
        <v>3000</v>
      </c>
      <c r="I434" s="1" t="str">
        <f>J$4</f>
        <v xml:space="preserve">strieborná </v>
      </c>
      <c r="Z434" s="1" t="b">
        <f t="shared" si="59"/>
        <v>1</v>
      </c>
    </row>
    <row r="435" spans="1:26" ht="15" customHeight="1" x14ac:dyDescent="0.25">
      <c r="A435" s="53"/>
      <c r="B435" s="52"/>
      <c r="D435" s="53"/>
      <c r="E435" s="52"/>
      <c r="F435" s="52"/>
      <c r="Z435" s="1" t="b">
        <f t="shared" si="59"/>
        <v>1</v>
      </c>
    </row>
    <row r="436" spans="1:26" ht="15" customHeight="1" x14ac:dyDescent="0.25">
      <c r="A436" s="53"/>
      <c r="B436" s="177" t="s">
        <v>970</v>
      </c>
      <c r="D436" s="53"/>
      <c r="E436" s="52"/>
      <c r="F436" s="52"/>
      <c r="G436" s="1" t="e">
        <f>+VLOOKUP(A436,#REF!,4,FALSE)</f>
        <v>#REF!</v>
      </c>
      <c r="H436" s="1" t="s">
        <v>71</v>
      </c>
      <c r="Z436" s="1" t="b">
        <f t="shared" si="59"/>
        <v>1</v>
      </c>
    </row>
    <row r="437" spans="1:26" ht="15" customHeight="1" x14ac:dyDescent="0.25">
      <c r="A437" s="53">
        <v>224152</v>
      </c>
      <c r="B437" s="177"/>
      <c r="C437" s="1" t="str">
        <f>CONCATENATE(H437,"-",$J$4)</f>
        <v xml:space="preserve">1500-strieborná </v>
      </c>
      <c r="D437" s="53">
        <v>224152</v>
      </c>
      <c r="E437" s="52" t="str">
        <f>+VLOOKUP(A437,cennik!$A:$G,2,FALSE)</f>
        <v>SEVROLL spodná krycia lišta Simple/Blue 1,5m (pre lamino 10mm) strieborná</v>
      </c>
      <c r="F437" s="52" t="str">
        <f>+VLOOKUP(A437,cennik!A:B,2,FALSE)</f>
        <v>SEVROLL spodná krycia lišta Simple/Blue 1,5m (pre lamino 10mm) strieborná</v>
      </c>
      <c r="H437" s="1">
        <v>1500</v>
      </c>
      <c r="I437" s="1" t="str">
        <f>CONCATENATE(H437,"-",$J$4)</f>
        <v xml:space="preserve">1500-strieborná </v>
      </c>
      <c r="Z437" s="1" t="b">
        <f t="shared" si="59"/>
        <v>1</v>
      </c>
    </row>
    <row r="438" spans="1:26" ht="15" customHeight="1" x14ac:dyDescent="0.25">
      <c r="A438" s="53">
        <v>224153</v>
      </c>
      <c r="B438" s="177"/>
      <c r="C438" s="1" t="str">
        <f>CONCATENATE(H438,"-",$J$4)</f>
        <v xml:space="preserve">2000-strieborná </v>
      </c>
      <c r="D438" s="53">
        <v>224153</v>
      </c>
      <c r="E438" s="52" t="str">
        <f>+VLOOKUP(A438,cennik!$A:$G,2,FALSE)</f>
        <v>SEVROLL spodná krycia lišta Simple/Blue 2m(pre lamino 10mm) strieborná</v>
      </c>
      <c r="F438" s="52" t="str">
        <f>+VLOOKUP(A438,cennik!A:B,2,FALSE)</f>
        <v>SEVROLL spodná krycia lišta Simple/Blue 2m(pre lamino 10mm) strieborná</v>
      </c>
      <c r="H438" s="1">
        <v>2000</v>
      </c>
      <c r="I438" s="1" t="str">
        <f>CONCATENATE(H438,"-",$J$4)</f>
        <v xml:space="preserve">2000-strieborná </v>
      </c>
      <c r="Z438" s="1" t="b">
        <f t="shared" si="59"/>
        <v>1</v>
      </c>
    </row>
    <row r="439" spans="1:26" ht="15" customHeight="1" x14ac:dyDescent="0.25">
      <c r="A439" s="53">
        <v>222574</v>
      </c>
      <c r="B439" s="178"/>
      <c r="C439" s="1" t="str">
        <f>CONCATENATE(H439,"-",$J$4)</f>
        <v xml:space="preserve">3000-strieborná </v>
      </c>
      <c r="D439" s="53">
        <v>222574</v>
      </c>
      <c r="E439" s="52" t="str">
        <f>+VLOOKUP(A439,cennik!$A:$G,2,FALSE)</f>
        <v>SEVROLL spodná krycia lišta Simple/Blue 3m (pre lamino 10mm) strieborná</v>
      </c>
      <c r="F439" s="52" t="str">
        <f>+VLOOKUP(A439,cennik!A:B,2,FALSE)</f>
        <v>SEVROLL spodná krycia lišta Simple/Blue 3m (pre lamino 10mm) strieborná</v>
      </c>
      <c r="H439" s="1">
        <v>3000</v>
      </c>
      <c r="I439" s="1" t="str">
        <f>CONCATENATE(H439,"-",$J$4)</f>
        <v xml:space="preserve">3000-strieborná </v>
      </c>
      <c r="Z439" s="1" t="b">
        <f t="shared" si="59"/>
        <v>1</v>
      </c>
    </row>
    <row r="440" spans="1:26" ht="15" customHeight="1" x14ac:dyDescent="0.25">
      <c r="A440" s="53">
        <v>224155</v>
      </c>
      <c r="B440" s="178"/>
      <c r="C440" s="1" t="str">
        <f>CONCATENATE(H440,"-",$J$6)</f>
        <v>1500-oliva</v>
      </c>
      <c r="D440" s="53">
        <v>224155</v>
      </c>
      <c r="E440" s="52" t="str">
        <f>+VLOOKUP(A440,cennik!$A:$G,2,FALSE)</f>
        <v>SEVROLL 03751 spodná krycia lišta Simple/Blue 1,5m (pre lamino 10mm) oliva</v>
      </c>
      <c r="F440" s="52" t="str">
        <f>+VLOOKUP(A440,cennik!A:B,2,FALSE)</f>
        <v>SEVROLL 03751 spodná krycia lišta Simple/Blue 1,5m (pre lamino 10mm) oliva</v>
      </c>
      <c r="H440" s="1">
        <v>1500</v>
      </c>
      <c r="I440" s="1" t="str">
        <f>CONCATENATE(H440,"-",$J$6)</f>
        <v>1500-oliva</v>
      </c>
      <c r="Z440" s="1" t="b">
        <f t="shared" si="59"/>
        <v>1</v>
      </c>
    </row>
    <row r="441" spans="1:26" ht="15" customHeight="1" x14ac:dyDescent="0.25">
      <c r="A441" s="53">
        <v>224156</v>
      </c>
      <c r="B441" s="178"/>
      <c r="C441" s="1" t="str">
        <f>CONCATENATE(H441,"-",$J$6)</f>
        <v>2000-oliva</v>
      </c>
      <c r="D441" s="53">
        <v>224156</v>
      </c>
      <c r="E441" s="52" t="str">
        <f>+VLOOKUP(A441,cennik!$A:$G,2,FALSE)</f>
        <v>SEVROLL 03752 spodná krycia lišta Simple/Blue 2m (pre lamino 10mm) oliva</v>
      </c>
      <c r="F441" s="52" t="str">
        <f>+VLOOKUP(A441,cennik!A:B,2,FALSE)</f>
        <v>SEVROLL 03752 spodná krycia lišta Simple/Blue 2m (pre lamino 10mm) oliva</v>
      </c>
      <c r="H441" s="1">
        <v>2000</v>
      </c>
      <c r="I441" s="1" t="str">
        <f>CONCATENATE(H441,"-",$J$6)</f>
        <v>2000-oliva</v>
      </c>
      <c r="Z441" s="1" t="b">
        <f t="shared" si="59"/>
        <v>1</v>
      </c>
    </row>
    <row r="442" spans="1:26" ht="15" customHeight="1" x14ac:dyDescent="0.25">
      <c r="A442" s="53">
        <v>223564</v>
      </c>
      <c r="B442" s="178"/>
      <c r="C442" s="1" t="str">
        <f>CONCATENATE(H442,"-",$J$6)</f>
        <v>3000-oliva</v>
      </c>
      <c r="D442" s="53">
        <v>223564</v>
      </c>
      <c r="E442" s="52" t="str">
        <f>+VLOOKUP(A442,cennik!$A:$G,2,FALSE)</f>
        <v>SEVROLL spodná krycia lišta Simple/Blue 3m (pre lamino 10mm) oliva</v>
      </c>
      <c r="F442" s="52" t="str">
        <f>+VLOOKUP(A442,cennik!A:B,2,FALSE)</f>
        <v>SEVROLL spodná krycia lišta Simple/Blue 3m (pre lamino 10mm) oliva</v>
      </c>
      <c r="H442" s="1">
        <v>3000</v>
      </c>
      <c r="I442" s="1" t="str">
        <f>CONCATENATE(H442,"-",$J$6)</f>
        <v>3000-oliva</v>
      </c>
      <c r="Z442" s="1" t="b">
        <f t="shared" si="59"/>
        <v>1</v>
      </c>
    </row>
    <row r="443" spans="1:26" ht="15" customHeight="1" x14ac:dyDescent="0.25">
      <c r="A443" s="53"/>
      <c r="B443" s="177" t="s">
        <v>971</v>
      </c>
      <c r="D443" s="53"/>
      <c r="E443" s="52" t="e">
        <f>+VLOOKUP(A443,cennik!$A:$G,2,FALSE)</f>
        <v>#N/A</v>
      </c>
      <c r="F443" s="52" t="e">
        <f>+VLOOKUP(A443,cennik!A:B,2,FALSE)</f>
        <v>#N/A</v>
      </c>
      <c r="Z443" s="1" t="b">
        <f t="shared" si="59"/>
        <v>1</v>
      </c>
    </row>
    <row r="444" spans="1:26" ht="15" customHeight="1" x14ac:dyDescent="0.25">
      <c r="A444" s="53">
        <v>224137</v>
      </c>
      <c r="B444" s="177"/>
      <c r="C444" s="1" t="str">
        <f>CONCATENATE(H444,"-",$J$4)</f>
        <v xml:space="preserve">1500-strieborná </v>
      </c>
      <c r="D444" s="53">
        <v>224137</v>
      </c>
      <c r="E444" s="52" t="str">
        <f>+VLOOKUP(A444,cennik!$A:$G,2,FALSE)</f>
        <v>SEVROLL 04452 spodná krycia lišta Simple/Blue 1,5m (pre lamino 18mm) strieborná</v>
      </c>
      <c r="F444" s="52" t="str">
        <f>+VLOOKUP(A444,cennik!A:B,2,FALSE)</f>
        <v>SEVROLL 04452 spodná krycia lišta Simple/Blue 1,5m (pre lamino 18mm) strieborná</v>
      </c>
      <c r="H444" s="1">
        <v>1500</v>
      </c>
      <c r="I444" s="1" t="str">
        <f>CONCATENATE(H444,"-",$J$4)</f>
        <v xml:space="preserve">1500-strieborná </v>
      </c>
      <c r="Z444" s="1" t="b">
        <f t="shared" si="59"/>
        <v>1</v>
      </c>
    </row>
    <row r="445" spans="1:26" ht="15" customHeight="1" x14ac:dyDescent="0.25">
      <c r="A445" s="53">
        <v>224138</v>
      </c>
      <c r="B445" s="177"/>
      <c r="C445" s="1" t="str">
        <f>CONCATENATE(H445,"-",$J$4)</f>
        <v xml:space="preserve">2000-strieborná </v>
      </c>
      <c r="D445" s="53">
        <v>224138</v>
      </c>
      <c r="E445" s="52" t="str">
        <f>+VLOOKUP(A445,cennik!$A:$G,2,FALSE)</f>
        <v>SEVROLL 04453 spodná krycia lišta Simple/Blue 2m (pre lamino 18mm) strieborná</v>
      </c>
      <c r="F445" s="52" t="str">
        <f>+VLOOKUP(A445,cennik!A:B,2,FALSE)</f>
        <v>SEVROLL 04453 spodná krycia lišta Simple/Blue 2m (pre lamino 18mm) strieborná</v>
      </c>
      <c r="H445" s="1">
        <v>2000</v>
      </c>
      <c r="I445" s="1" t="str">
        <f>CONCATENATE(H445,"-",$J$4)</f>
        <v xml:space="preserve">2000-strieborná </v>
      </c>
      <c r="Z445" s="1" t="b">
        <f t="shared" si="59"/>
        <v>1</v>
      </c>
    </row>
    <row r="446" spans="1:26" ht="15" customHeight="1" x14ac:dyDescent="0.25">
      <c r="A446" s="53">
        <v>222572</v>
      </c>
      <c r="B446" s="178"/>
      <c r="C446" s="1" t="str">
        <f>CONCATENATE(H446,"-",$J$4)</f>
        <v xml:space="preserve">3000-strieborná </v>
      </c>
      <c r="D446" s="53">
        <v>222572</v>
      </c>
      <c r="E446" s="52" t="str">
        <f>+VLOOKUP(A446,cennik!$A:$G,2,FALSE)</f>
        <v>SEVROLL 04455 spodná krycia lišta Simple/Blue 3m (pre lamino 18mm) strieborná</v>
      </c>
      <c r="F446" s="52" t="str">
        <f>+VLOOKUP(A446,cennik!A:B,2,FALSE)</f>
        <v>SEVROLL 04455 spodná krycia lišta Simple/Blue 3m (pre lamino 18mm) strieborná</v>
      </c>
      <c r="H446" s="1">
        <v>3000</v>
      </c>
      <c r="I446" s="1" t="str">
        <f>CONCATENATE(H446,"-",$J$4)</f>
        <v xml:space="preserve">3000-strieborná </v>
      </c>
      <c r="Z446" s="1" t="b">
        <f t="shared" si="59"/>
        <v>1</v>
      </c>
    </row>
    <row r="447" spans="1:26" ht="15" customHeight="1" x14ac:dyDescent="0.25">
      <c r="A447" s="1">
        <v>488235</v>
      </c>
      <c r="B447" s="568"/>
      <c r="C447" s="1" t="str">
        <f>CONCATENATE(H447,"-",$J$17)</f>
        <v>1500-čierna mat</v>
      </c>
      <c r="D447" s="1">
        <v>488235</v>
      </c>
      <c r="E447" s="52" t="str">
        <f>+VLOOKUP(A447,cennik!$A:$G,2,FALSE)</f>
        <v>SEVROLL 05747 spodná krycia lišta Simple/Blue 2m (pre lamino 18mm) čierna mat</v>
      </c>
      <c r="F447" s="52" t="str">
        <f>+VLOOKUP(A447,cennik!A:B,2,FALSE)</f>
        <v>SEVROLL 05747 spodná krycia lišta Simple/Blue 2m (pre lamino 18mm) čierna mat</v>
      </c>
      <c r="H447" s="1">
        <v>1500</v>
      </c>
      <c r="I447" s="1" t="str">
        <f>CONCATENATE(H447,"-",$J$17)</f>
        <v>1500-čierna mat</v>
      </c>
      <c r="Z447" s="1" t="b">
        <f t="shared" si="59"/>
        <v>1</v>
      </c>
    </row>
    <row r="448" spans="1:26" ht="15" customHeight="1" x14ac:dyDescent="0.25">
      <c r="A448" s="1">
        <v>488235</v>
      </c>
      <c r="B448" s="568"/>
      <c r="C448" s="1" t="str">
        <f t="shared" ref="C448:C449" si="64">CONCATENATE(H448,"-",$J$17)</f>
        <v>2000-čierna mat</v>
      </c>
      <c r="D448" s="1">
        <v>488235</v>
      </c>
      <c r="E448" s="52" t="str">
        <f>+VLOOKUP(A448,cennik!$A:$G,2,FALSE)</f>
        <v>SEVROLL 05747 spodná krycia lišta Simple/Blue 2m (pre lamino 18mm) čierna mat</v>
      </c>
      <c r="F448" s="52" t="str">
        <f>+VLOOKUP(A448,cennik!A:B,2,FALSE)</f>
        <v>SEVROLL 05747 spodná krycia lišta Simple/Blue 2m (pre lamino 18mm) čierna mat</v>
      </c>
      <c r="H448" s="1">
        <v>2000</v>
      </c>
      <c r="I448" s="1" t="str">
        <f t="shared" ref="I448:I449" si="65">CONCATENATE(H448,"-",$J$17)</f>
        <v>2000-čierna mat</v>
      </c>
      <c r="Z448" s="1" t="b">
        <f t="shared" si="59"/>
        <v>1</v>
      </c>
    </row>
    <row r="449" spans="1:26" ht="15" customHeight="1" x14ac:dyDescent="0.25">
      <c r="A449" s="1">
        <v>488236</v>
      </c>
      <c r="B449" s="568"/>
      <c r="C449" s="1" t="str">
        <f t="shared" si="64"/>
        <v>3000-čierna mat</v>
      </c>
      <c r="D449" s="1">
        <v>488236</v>
      </c>
      <c r="E449" s="52" t="str">
        <f>+VLOOKUP(A449,cennik!$A:$G,2,FALSE)</f>
        <v>SEVROLL 05748 spodná krycia lišta Simple/Blue 3m (pre lamino 18mm) čierna mat</v>
      </c>
      <c r="F449" s="52" t="str">
        <f>+VLOOKUP(A449,cennik!A:B,2,FALSE)</f>
        <v>SEVROLL 05748 spodná krycia lišta Simple/Blue 3m (pre lamino 18mm) čierna mat</v>
      </c>
      <c r="H449" s="1">
        <v>3000</v>
      </c>
      <c r="I449" s="1" t="str">
        <f t="shared" si="65"/>
        <v>3000-čierna mat</v>
      </c>
      <c r="Z449" s="1" t="b">
        <f t="shared" si="59"/>
        <v>1</v>
      </c>
    </row>
    <row r="450" spans="1:26" ht="15" customHeight="1" x14ac:dyDescent="0.25">
      <c r="A450" s="556">
        <v>394231</v>
      </c>
      <c r="B450" s="556"/>
      <c r="C450" s="556" t="str">
        <f t="shared" ref="C450" si="66">CONCATENATE(H450,"-",$J$15)</f>
        <v>1500-biela lesk</v>
      </c>
      <c r="D450" s="556">
        <v>394231</v>
      </c>
      <c r="E450" s="554" t="str">
        <f>+VLOOKUP(A450,cennik!$A:$G,2,FALSE)</f>
        <v>SEVROLL 04940 spodná krycia lišta Simple/Blue 2m (pre lamino 18mm) biely lesk</v>
      </c>
      <c r="F450" s="554" t="str">
        <f>+VLOOKUP(A450,cennik!A:B,2,FALSE)</f>
        <v>SEVROLL 04940 spodná krycia lišta Simple/Blue 2m (pre lamino 18mm) biely lesk</v>
      </c>
      <c r="G450" s="556"/>
      <c r="H450" s="556">
        <v>1500</v>
      </c>
      <c r="I450" s="556" t="str">
        <f t="shared" ref="I450:I452" si="67">CONCATENATE(H450,"-",$J$15)</f>
        <v>1500-biela lesk</v>
      </c>
      <c r="Z450" s="1" t="b">
        <f t="shared" si="59"/>
        <v>1</v>
      </c>
    </row>
    <row r="451" spans="1:26" ht="15" customHeight="1" x14ac:dyDescent="0.25">
      <c r="A451" s="556">
        <v>394231</v>
      </c>
      <c r="B451" s="556"/>
      <c r="C451" s="556" t="str">
        <f t="shared" ref="C451:C452" si="68">CONCATENATE(H451,"-",$J$15)</f>
        <v>2000-biela lesk</v>
      </c>
      <c r="D451" s="556">
        <v>394231</v>
      </c>
      <c r="E451" s="554" t="str">
        <f>+VLOOKUP(A451,cennik!$A:$G,2,FALSE)</f>
        <v>SEVROLL 04940 spodná krycia lišta Simple/Blue 2m (pre lamino 18mm) biely lesk</v>
      </c>
      <c r="F451" s="554" t="str">
        <f>+VLOOKUP(A451,cennik!A:B,2,FALSE)</f>
        <v>SEVROLL 04940 spodná krycia lišta Simple/Blue 2m (pre lamino 18mm) biely lesk</v>
      </c>
      <c r="G451" s="556"/>
      <c r="H451" s="556">
        <v>2000</v>
      </c>
      <c r="I451" s="556" t="str">
        <f t="shared" si="67"/>
        <v>2000-biela lesk</v>
      </c>
      <c r="Z451" s="1" t="b">
        <f t="shared" si="59"/>
        <v>1</v>
      </c>
    </row>
    <row r="452" spans="1:26" ht="15" customHeight="1" x14ac:dyDescent="0.25">
      <c r="A452" s="556">
        <v>394265</v>
      </c>
      <c r="B452" s="556"/>
      <c r="C452" s="556" t="str">
        <f t="shared" si="68"/>
        <v>3000-biela lesk</v>
      </c>
      <c r="D452" s="556">
        <v>394265</v>
      </c>
      <c r="E452" s="554" t="str">
        <f>+VLOOKUP(A452,cennik!$A:$G,2,FALSE)</f>
        <v>SEVROLL 04941 spodná krycia lišta Simple/Blue 3m (pre lamino 18mm) biely lesk</v>
      </c>
      <c r="F452" s="554" t="str">
        <f>+VLOOKUP(A452,cennik!A:B,2,FALSE)</f>
        <v>SEVROLL 04941 spodná krycia lišta Simple/Blue 3m (pre lamino 18mm) biely lesk</v>
      </c>
      <c r="G452" s="556"/>
      <c r="H452" s="556">
        <v>3000</v>
      </c>
      <c r="I452" s="556" t="str">
        <f t="shared" si="67"/>
        <v>3000-biela lesk</v>
      </c>
      <c r="Z452" s="1" t="b">
        <f t="shared" si="59"/>
        <v>1</v>
      </c>
    </row>
    <row r="453" spans="1:26" ht="15" customHeight="1" x14ac:dyDescent="0.25">
      <c r="A453" s="53">
        <v>224140</v>
      </c>
      <c r="B453" s="178"/>
      <c r="C453" s="1" t="str">
        <f>CONCATENATE(H453,"-",$J$6)</f>
        <v>1500-oliva</v>
      </c>
      <c r="D453" s="53">
        <v>224140</v>
      </c>
      <c r="E453" s="52" t="e">
        <f>+VLOOKUP(A453,cennik!$A:$G,2,FALSE)</f>
        <v>#N/A</v>
      </c>
      <c r="F453" s="52" t="e">
        <f>+VLOOKUP(A453,cennik!A:B,2,FALSE)</f>
        <v>#N/A</v>
      </c>
      <c r="H453" s="1">
        <v>1500</v>
      </c>
      <c r="I453" s="1" t="str">
        <f>CONCATENATE(H453,"-",$J$6)</f>
        <v>1500-oliva</v>
      </c>
      <c r="Z453" s="1" t="b">
        <f t="shared" si="59"/>
        <v>1</v>
      </c>
    </row>
    <row r="454" spans="1:26" s="547" customFormat="1" ht="15" customHeight="1" x14ac:dyDescent="0.25">
      <c r="A454" s="53">
        <v>224141</v>
      </c>
      <c r="B454" s="178"/>
      <c r="C454" s="1" t="str">
        <f>CONCATENATE(H454,"-",$J$6)</f>
        <v>2000-oliva</v>
      </c>
      <c r="D454" s="53">
        <v>224141</v>
      </c>
      <c r="E454" s="52" t="str">
        <f>+VLOOKUP(A454,cennik!$A:$G,2,FALSE)</f>
        <v>SEVROLL 04449 spodná krycia lišta Simple/Blue 2m (pre lamino 18mm) oliva</v>
      </c>
      <c r="F454" s="52" t="str">
        <f>+VLOOKUP(A454,cennik!A:B,2,FALSE)</f>
        <v>SEVROLL 04449 spodná krycia lišta Simple/Blue 2m (pre lamino 18mm) oliva</v>
      </c>
      <c r="G454" s="1"/>
      <c r="H454" s="1">
        <v>2000</v>
      </c>
      <c r="I454" s="1" t="str">
        <f>CONCATENATE(H454,"-",$J$6)</f>
        <v>2000-oliva</v>
      </c>
      <c r="Z454" s="1" t="b">
        <f t="shared" si="59"/>
        <v>1</v>
      </c>
    </row>
    <row r="455" spans="1:26" s="547" customFormat="1" ht="15" customHeight="1" x14ac:dyDescent="0.25">
      <c r="A455" s="53">
        <v>223562</v>
      </c>
      <c r="B455" s="178"/>
      <c r="C455" s="1" t="str">
        <f>CONCATENATE(H455,"-",$J$6)</f>
        <v>3000-oliva</v>
      </c>
      <c r="D455" s="53">
        <v>223562</v>
      </c>
      <c r="E455" s="52" t="str">
        <f>+VLOOKUP(A455,cennik!$A:$G,2,FALSE)</f>
        <v>SEVROLL 04451 spodná krycia lišta Simple/Blue 3m (pre lamino 18mm) oliva</v>
      </c>
      <c r="F455" s="52" t="str">
        <f>+VLOOKUP(A455,cennik!A:B,2,FALSE)</f>
        <v>SEVROLL 04451 spodná krycia lišta Simple/Blue 3m (pre lamino 18mm) oliva</v>
      </c>
      <c r="G455" s="1"/>
      <c r="H455" s="1">
        <v>3000</v>
      </c>
      <c r="I455" s="1" t="str">
        <f>CONCATENATE(H455,"-",$J$6)</f>
        <v>3000-oliva</v>
      </c>
      <c r="Z455" s="1" t="b">
        <f t="shared" si="59"/>
        <v>1</v>
      </c>
    </row>
    <row r="456" spans="1:26" s="547" customFormat="1" ht="15" customHeight="1" x14ac:dyDescent="0.25">
      <c r="A456" s="53"/>
      <c r="B456" s="52"/>
      <c r="C456" s="1"/>
      <c r="D456" s="53"/>
      <c r="E456" s="52" t="e">
        <f>+VLOOKUP(A456,cennik!$A:$G,2,FALSE)</f>
        <v>#N/A</v>
      </c>
      <c r="F456" s="52" t="e">
        <f>+VLOOKUP(A456,cennik!A:B,2,FALSE)</f>
        <v>#N/A</v>
      </c>
      <c r="G456" s="1" t="e">
        <f>+VLOOKUP(A456,#REF!,4,FALSE)</f>
        <v>#REF!</v>
      </c>
      <c r="H456" s="1" t="s">
        <v>71</v>
      </c>
      <c r="I456" s="1"/>
      <c r="Z456" s="1" t="b">
        <f t="shared" si="59"/>
        <v>1</v>
      </c>
    </row>
    <row r="457" spans="1:26" s="547" customFormat="1" ht="15" customHeight="1" x14ac:dyDescent="0.25">
      <c r="A457" s="550">
        <v>89236</v>
      </c>
      <c r="B457" s="548" t="s">
        <v>30</v>
      </c>
      <c r="C457" s="547" t="str">
        <f>$J$4</f>
        <v xml:space="preserve">strieborná </v>
      </c>
      <c r="D457" s="550">
        <v>89236</v>
      </c>
      <c r="E457" s="548" t="str">
        <f>+VLOOKUP(A457,cennik!$A:$G,2,FALSE)</f>
        <v>SEVROLL SPOJ.LIŠTA "H10" 3M STR.</v>
      </c>
      <c r="F457" s="548" t="str">
        <f>+VLOOKUP(A457,cennik!A:B,2,FALSE)</f>
        <v>SEVROLL SPOJ.LIŠTA "H10" 3M STR.</v>
      </c>
      <c r="G457" s="547" t="e">
        <f>+VLOOKUP(A457,#REF!,4,FALSE)</f>
        <v>#REF!</v>
      </c>
      <c r="I457" s="547" t="str">
        <f>$J$4</f>
        <v xml:space="preserve">strieborná </v>
      </c>
      <c r="Z457" s="1" t="b">
        <f t="shared" si="59"/>
        <v>1</v>
      </c>
    </row>
    <row r="458" spans="1:26" s="547" customFormat="1" ht="15" customHeight="1" x14ac:dyDescent="0.25">
      <c r="A458" s="550">
        <v>89257</v>
      </c>
      <c r="B458" s="548"/>
      <c r="C458" s="547" t="str">
        <f>$J$5</f>
        <v>zlatá</v>
      </c>
      <c r="D458" s="550">
        <v>89257</v>
      </c>
      <c r="E458" s="548" t="str">
        <f>+VLOOKUP(A458,cennik!$A:$G,2,FALSE)</f>
        <v>SEVROLL spojovacia lišta H10 3m zlatá</v>
      </c>
      <c r="F458" s="548" t="str">
        <f>+VLOOKUP(A458,cennik!A:B,2,FALSE)</f>
        <v>SEVROLL spojovacia lišta H10 3m zlatá</v>
      </c>
      <c r="G458" s="547" t="e">
        <f>+VLOOKUP(A458,#REF!,4,FALSE)</f>
        <v>#REF!</v>
      </c>
      <c r="I458" s="547" t="str">
        <f>$J$5</f>
        <v>zlatá</v>
      </c>
      <c r="Z458" s="1" t="b">
        <f t="shared" si="59"/>
        <v>1</v>
      </c>
    </row>
    <row r="459" spans="1:26" s="547" customFormat="1" ht="15" customHeight="1" x14ac:dyDescent="0.25">
      <c r="A459" s="550">
        <v>89237</v>
      </c>
      <c r="B459" s="548"/>
      <c r="C459" s="547" t="str">
        <f>$J$6</f>
        <v>oliva</v>
      </c>
      <c r="D459" s="550">
        <v>89237</v>
      </c>
      <c r="E459" s="548" t="str">
        <f>+VLOOKUP(A459,cennik!$A:$G,2,FALSE)</f>
        <v>SEVROLL 153 SPOJ.LIŠTA "H 10"3M OLIVOVÁ</v>
      </c>
      <c r="F459" s="548" t="str">
        <f>+VLOOKUP(A459,cennik!A:B,2,FALSE)</f>
        <v>SEVROLL 153 SPOJ.LIŠTA "H 10"3M OLIVOVÁ</v>
      </c>
      <c r="G459" s="547" t="e">
        <f>+VLOOKUP(A459,#REF!,4,FALSE)</f>
        <v>#REF!</v>
      </c>
      <c r="I459" s="547" t="str">
        <f>$J$6</f>
        <v>oliva</v>
      </c>
      <c r="Z459" s="1" t="b">
        <f t="shared" si="59"/>
        <v>1</v>
      </c>
    </row>
    <row r="460" spans="1:26" s="547" customFormat="1" ht="15" customHeight="1" x14ac:dyDescent="0.25">
      <c r="A460" s="550">
        <v>121028</v>
      </c>
      <c r="B460" s="548"/>
      <c r="C460" s="547" t="str">
        <f>$J$7</f>
        <v>oliva kartáčovaná</v>
      </c>
      <c r="D460" s="550">
        <v>121028</v>
      </c>
      <c r="E460" s="548" t="str">
        <f>+VLOOKUP(A460,cennik!$A:$G,2,FALSE)</f>
        <v>SEVROLL SPOJ.LIŠTA "H 10" 3M OLIVA kartáčovaná</v>
      </c>
      <c r="F460" s="548" t="str">
        <f>+VLOOKUP(A460,cennik!A:B,2,FALSE)</f>
        <v>SEVROLL SPOJ.LIŠTA "H 10" 3M OLIVA kartáčovaná</v>
      </c>
      <c r="I460" s="547" t="str">
        <f>$J$7</f>
        <v>oliva kartáčovaná</v>
      </c>
      <c r="Z460" s="1" t="b">
        <f t="shared" si="59"/>
        <v>1</v>
      </c>
    </row>
    <row r="461" spans="1:26" s="547" customFormat="1" ht="15" customHeight="1" x14ac:dyDescent="0.25">
      <c r="A461" s="550">
        <v>205160</v>
      </c>
      <c r="B461" s="548"/>
      <c r="C461" s="547" t="str">
        <f>$J$8</f>
        <v>kart. tm. oliva</v>
      </c>
      <c r="D461" s="550">
        <v>205160</v>
      </c>
      <c r="E461" s="548" t="str">
        <f>+VLOOKUP(A461,cennik!$A:$G,2,FALSE)</f>
        <v>SEVROLL 03104 spojovacia lišta H10 3m oliva tmavá kartáčovaná</v>
      </c>
      <c r="F461" s="548" t="str">
        <f>+VLOOKUP(A461,cennik!A:B,2,FALSE)</f>
        <v>SEVROLL 03104 spojovacia lišta H10 3m oliva tmavá kartáčovaná</v>
      </c>
      <c r="I461" s="547" t="str">
        <f>$J$8</f>
        <v>kart. tm. oliva</v>
      </c>
      <c r="Z461" s="1" t="b">
        <f t="shared" si="59"/>
        <v>1</v>
      </c>
    </row>
    <row r="462" spans="1:26" s="547" customFormat="1" ht="15" customHeight="1" x14ac:dyDescent="0.25">
      <c r="A462" s="550">
        <v>205161</v>
      </c>
      <c r="B462" s="548"/>
      <c r="C462" s="547" t="str">
        <f>$J$9</f>
        <v>kart. čierna</v>
      </c>
      <c r="D462" s="550">
        <v>205161</v>
      </c>
      <c r="E462" s="548" t="str">
        <f>+VLOOKUP(A462,cennik!$A:$G,2,FALSE)</f>
        <v>SEVROLL spoj.lišta H10 3m čierna kartáč</v>
      </c>
      <c r="F462" s="548" t="str">
        <f>+VLOOKUP(A462,cennik!A:B,2,FALSE)</f>
        <v>SEVROLL spoj.lišta H10 3m čierna kartáč</v>
      </c>
      <c r="I462" s="547" t="str">
        <f>$J$9</f>
        <v>kart. čierna</v>
      </c>
      <c r="Z462" s="1" t="b">
        <f t="shared" si="59"/>
        <v>1</v>
      </c>
    </row>
    <row r="463" spans="1:26" ht="15" customHeight="1" x14ac:dyDescent="0.25">
      <c r="A463" s="550">
        <v>276739</v>
      </c>
      <c r="B463" s="548"/>
      <c r="C463" s="547" t="str">
        <f>$J$15</f>
        <v>biela lesk</v>
      </c>
      <c r="D463" s="550">
        <v>276739</v>
      </c>
      <c r="E463" s="548" t="str">
        <f>+VLOOKUP(A463,cennik!$A:$G,2,FALSE)</f>
        <v>SEVROLL 04050 spojovacia lišta H10 3m biela lesk</v>
      </c>
      <c r="F463" s="548" t="str">
        <f>+VLOOKUP(A463,cennik!A:B,2,FALSE)</f>
        <v>SEVROLL 04050 spojovacia lišta H10 3m biela lesk</v>
      </c>
      <c r="G463" s="547"/>
      <c r="H463" s="547"/>
      <c r="I463" s="547" t="str">
        <f>$J$15</f>
        <v>biela lesk</v>
      </c>
      <c r="Z463" s="1" t="b">
        <f t="shared" si="59"/>
        <v>1</v>
      </c>
    </row>
    <row r="464" spans="1:26" ht="15" customHeight="1" x14ac:dyDescent="0.25">
      <c r="A464" s="549">
        <v>497953</v>
      </c>
      <c r="B464" s="547"/>
      <c r="C464" s="547" t="str">
        <f>$J$18</f>
        <v>biela mat</v>
      </c>
      <c r="D464" s="549">
        <v>497953</v>
      </c>
      <c r="E464" s="548" t="str">
        <f>+VLOOKUP(A464,cennik!$A:$G,2,FALSE)</f>
        <v>SEVROLL 05181 spojovacia lišta H10 3m biela mat</v>
      </c>
      <c r="F464" s="548" t="str">
        <f>+VLOOKUP(A464,cennik!A:B,2,FALSE)</f>
        <v>SEVROLL 05181 spojovacia lišta H10 3m biela mat</v>
      </c>
      <c r="G464" s="547"/>
      <c r="H464" s="547"/>
      <c r="I464" s="547" t="str">
        <f>$J$18</f>
        <v>biela mat</v>
      </c>
    </row>
    <row r="465" spans="1:26" ht="15" customHeight="1" x14ac:dyDescent="0.25">
      <c r="A465" s="549">
        <v>395508</v>
      </c>
      <c r="B465" s="547"/>
      <c r="C465" s="547" t="str">
        <f>$J$16</f>
        <v>čierna lesk</v>
      </c>
      <c r="D465" s="549">
        <v>395508</v>
      </c>
      <c r="E465" s="548" t="str">
        <f>+VLOOKUP(A465,cennik!$A:$G,2,FALSE)</f>
        <v>SEVROLL 05182 spojovacia lišta H10 3m čierna lesk</v>
      </c>
      <c r="F465" s="548" t="str">
        <f>+VLOOKUP(A465,cennik!A:B,2,FALSE)</f>
        <v>SEVROLL 05182 spojovacia lišta H10 3m čierna lesk</v>
      </c>
      <c r="G465" s="548" t="e">
        <f>+VLOOKUP(C465,cennik!$A:$G,2,FALSE)</f>
        <v>#N/A</v>
      </c>
      <c r="H465" s="547"/>
      <c r="I465" s="547" t="str">
        <f>$J$16</f>
        <v>čierna lesk</v>
      </c>
      <c r="Z465" s="1" t="b">
        <f t="shared" si="59"/>
        <v>1</v>
      </c>
    </row>
    <row r="466" spans="1:26" ht="15" customHeight="1" x14ac:dyDescent="0.25">
      <c r="A466" s="549">
        <v>496358</v>
      </c>
      <c r="B466" s="547"/>
      <c r="C466" s="547" t="str">
        <f>$J$12</f>
        <v>grafit</v>
      </c>
      <c r="D466" s="549">
        <v>496358</v>
      </c>
      <c r="E466" s="548" t="str">
        <f>+VLOOKUP(A466,cennik!$A:$G,2,FALSE)</f>
        <v>SEVROLL 05971 spojovacia lišta H10 3m grafit</v>
      </c>
      <c r="F466" s="548" t="str">
        <f>+VLOOKUP(A466,cennik!A:B,2,FALSE)</f>
        <v>SEVROLL 05971 spojovacia lišta H10 3m grafit</v>
      </c>
      <c r="G466" s="547"/>
      <c r="H466" s="547"/>
      <c r="I466" s="547" t="str">
        <f>$J$12</f>
        <v>grafit</v>
      </c>
      <c r="Z466" s="1" t="b">
        <f t="shared" si="59"/>
        <v>1</v>
      </c>
    </row>
    <row r="467" spans="1:26" ht="15" customHeight="1" x14ac:dyDescent="0.25">
      <c r="A467" s="549">
        <v>452761</v>
      </c>
      <c r="B467" s="547"/>
      <c r="C467" s="547" t="str">
        <f>$J$17</f>
        <v>čierna mat</v>
      </c>
      <c r="D467" s="549">
        <v>452761</v>
      </c>
      <c r="E467" s="548" t="str">
        <f>+VLOOKUP(A467,cennik!$A:$G,2,FALSE)</f>
        <v>SEVROLL 05303 spojovacia lišta H10 3m čierna mat</v>
      </c>
      <c r="F467" s="548" t="str">
        <f>+VLOOKUP(A467,cennik!A:B,2,FALSE)</f>
        <v>SEVROLL 05303 spojovacia lišta H10 3m čierna mat</v>
      </c>
      <c r="G467" s="547"/>
      <c r="H467" s="547"/>
      <c r="I467" s="547" t="str">
        <f>$J$17</f>
        <v>čierna mat</v>
      </c>
      <c r="Z467" s="1" t="b">
        <f t="shared" ref="Z467:Z530" si="69">A467=D467</f>
        <v>1</v>
      </c>
    </row>
    <row r="468" spans="1:26" ht="15" customHeight="1" x14ac:dyDescent="0.25">
      <c r="A468" s="53">
        <v>89069</v>
      </c>
      <c r="B468" s="52" t="s">
        <v>31</v>
      </c>
      <c r="C468" s="1" t="str">
        <f>$J$4</f>
        <v xml:space="preserve">strieborná </v>
      </c>
      <c r="D468" s="53">
        <v>89069</v>
      </c>
      <c r="E468" s="52" t="str">
        <f>+VLOOKUP(A468,cennik!$A:$G,2,FALSE)</f>
        <v>SEVROLL 253S-SPOJ.LIŠTA H-30mm STR 3m</v>
      </c>
      <c r="F468" s="52" t="str">
        <f>+VLOOKUP(A468,cennik!A:B,2,FALSE)</f>
        <v>SEVROLL 253S-SPOJ.LIŠTA H-30mm STR 3m</v>
      </c>
      <c r="G468" s="1" t="e">
        <f>+VLOOKUP(A468,#REF!,4,FALSE)</f>
        <v>#REF!</v>
      </c>
      <c r="I468" s="1" t="str">
        <f>$J$4</f>
        <v xml:space="preserve">strieborná </v>
      </c>
      <c r="Z468" s="1" t="b">
        <f t="shared" si="69"/>
        <v>1</v>
      </c>
    </row>
    <row r="469" spans="1:26" ht="15" customHeight="1" x14ac:dyDescent="0.25">
      <c r="A469" s="53" t="s">
        <v>117</v>
      </c>
      <c r="B469" s="52"/>
      <c r="C469" s="1" t="str">
        <f>$J$5</f>
        <v>zlatá</v>
      </c>
      <c r="D469" s="53" t="s">
        <v>117</v>
      </c>
      <c r="E469" s="52" t="e">
        <f>+VLOOKUP(A469,cennik!$A:$G,2,FALSE)</f>
        <v>#N/A</v>
      </c>
      <c r="F469" s="52" t="e">
        <f>+VLOOKUP(A469,cennik!A:B,2,FALSE)</f>
        <v>#N/A</v>
      </c>
      <c r="G469" s="1" t="e">
        <f>+VLOOKUP(A469,#REF!,4,FALSE)</f>
        <v>#REF!</v>
      </c>
      <c r="I469" s="1" t="str">
        <f>$J$5</f>
        <v>zlatá</v>
      </c>
      <c r="Z469" s="1" t="b">
        <f t="shared" si="69"/>
        <v>1</v>
      </c>
    </row>
    <row r="470" spans="1:26" ht="15" customHeight="1" x14ac:dyDescent="0.25">
      <c r="A470" s="53">
        <v>89071</v>
      </c>
      <c r="B470" s="52"/>
      <c r="C470" s="1" t="str">
        <f>$J$6</f>
        <v>oliva</v>
      </c>
      <c r="D470" s="53">
        <v>89071</v>
      </c>
      <c r="E470" s="52" t="str">
        <f>+VLOOKUP(A470,cennik!$A:$G,2,FALSE)</f>
        <v>SEVROLL 00219 spojovacia lišta H30 3m oliva</v>
      </c>
      <c r="F470" s="52" t="str">
        <f>+VLOOKUP(A470,cennik!A:B,2,FALSE)</f>
        <v>SEVROLL 00219 spojovacia lišta H30 3m oliva</v>
      </c>
      <c r="G470" s="1" t="e">
        <f>+VLOOKUP(A470,#REF!,4,FALSE)</f>
        <v>#REF!</v>
      </c>
      <c r="I470" s="1" t="str">
        <f>$J$6</f>
        <v>oliva</v>
      </c>
      <c r="Z470" s="1" t="b">
        <f t="shared" si="69"/>
        <v>1</v>
      </c>
    </row>
    <row r="471" spans="1:26" ht="15" customHeight="1" x14ac:dyDescent="0.25">
      <c r="A471" s="53" t="s">
        <v>117</v>
      </c>
      <c r="B471" s="52"/>
      <c r="C471" s="1" t="str">
        <f>$J$7</f>
        <v>oliva kartáčovaná</v>
      </c>
      <c r="D471" s="53" t="s">
        <v>117</v>
      </c>
      <c r="E471" s="52" t="e">
        <f>+VLOOKUP(A471,cennik!$A:$G,2,FALSE)</f>
        <v>#N/A</v>
      </c>
      <c r="F471" s="52" t="e">
        <f>+VLOOKUP(A471,cennik!A:B,2,FALSE)</f>
        <v>#N/A</v>
      </c>
      <c r="G471" s="1" t="e">
        <f>+VLOOKUP(A471,#REF!,4,FALSE)</f>
        <v>#REF!</v>
      </c>
      <c r="I471" s="1" t="str">
        <f>$J$7</f>
        <v>oliva kartáčovaná</v>
      </c>
      <c r="Z471" s="1" t="b">
        <f t="shared" si="69"/>
        <v>1</v>
      </c>
    </row>
    <row r="472" spans="1:26" s="547" customFormat="1" ht="15" customHeight="1" x14ac:dyDescent="0.25">
      <c r="A472" s="53" t="s">
        <v>117</v>
      </c>
      <c r="B472" s="52"/>
      <c r="C472" s="1" t="str">
        <f>$J$8</f>
        <v>kart. tm. oliva</v>
      </c>
      <c r="D472" s="53" t="s">
        <v>117</v>
      </c>
      <c r="E472" s="52" t="e">
        <f>+VLOOKUP(A472,cennik!$A:$G,2,FALSE)</f>
        <v>#N/A</v>
      </c>
      <c r="F472" s="52" t="e">
        <f>+VLOOKUP(A472,cennik!A:B,2,FALSE)</f>
        <v>#N/A</v>
      </c>
      <c r="G472" s="1"/>
      <c r="H472" s="1"/>
      <c r="I472" s="1" t="str">
        <f>$J$8</f>
        <v>kart. tm. oliva</v>
      </c>
      <c r="Z472" s="1" t="b">
        <f t="shared" si="69"/>
        <v>1</v>
      </c>
    </row>
    <row r="473" spans="1:26" ht="15" customHeight="1" x14ac:dyDescent="0.25">
      <c r="A473" s="53" t="s">
        <v>117</v>
      </c>
      <c r="B473" s="52"/>
      <c r="C473" s="1" t="str">
        <f>$J$9</f>
        <v>kart. čierna</v>
      </c>
      <c r="D473" s="53" t="s">
        <v>117</v>
      </c>
      <c r="E473" s="52" t="e">
        <f>+VLOOKUP(A473,cennik!$A:$G,2,FALSE)</f>
        <v>#N/A</v>
      </c>
      <c r="F473" s="52" t="e">
        <f>+VLOOKUP(A473,cennik!A:B,2,FALSE)</f>
        <v>#N/A</v>
      </c>
      <c r="I473" s="1" t="str">
        <f>$J$9</f>
        <v>kart. čierna</v>
      </c>
      <c r="Z473" s="1" t="b">
        <f t="shared" si="69"/>
        <v>1</v>
      </c>
    </row>
    <row r="474" spans="1:26" ht="15" customHeight="1" x14ac:dyDescent="0.25">
      <c r="A474" s="53">
        <v>308627</v>
      </c>
      <c r="B474" s="52"/>
      <c r="C474" s="1" t="str">
        <f>$J$15</f>
        <v>biela lesk</v>
      </c>
      <c r="D474" s="53">
        <v>308627</v>
      </c>
      <c r="E474" s="52" t="str">
        <f>+VLOOKUP(A474,cennik!$A:$G,2,FALSE)</f>
        <v>SEVROLL 03212 spojovacia lišta H30 3m biela lesk</v>
      </c>
      <c r="F474" s="52" t="str">
        <f>+VLOOKUP(A474,cennik!A:B,2,FALSE)</f>
        <v>SEVROLL 03212 spojovacia lišta H30 3m biela lesk</v>
      </c>
      <c r="I474" s="1" t="str">
        <f>$J$15</f>
        <v>biela lesk</v>
      </c>
      <c r="Z474" s="1" t="b">
        <f t="shared" si="69"/>
        <v>1</v>
      </c>
    </row>
    <row r="475" spans="1:26" ht="15" customHeight="1" x14ac:dyDescent="0.25">
      <c r="A475" s="547">
        <v>452604</v>
      </c>
      <c r="B475" s="547"/>
      <c r="C475" s="547" t="str">
        <f>$J$17</f>
        <v>čierna mat</v>
      </c>
      <c r="D475" s="547">
        <v>452604</v>
      </c>
      <c r="E475" s="548" t="str">
        <f>+VLOOKUP(A475,cennik!$A:$G,2,FALSE)</f>
        <v>SEVROLL 03606 spojovacia lišta H30 decor 3m čierna mat</v>
      </c>
      <c r="F475" s="548" t="str">
        <f>+VLOOKUP(A475,cennik!A:B,2,FALSE)</f>
        <v>SEVROLL 03606 spojovacia lišta H30 decor 3m čierna mat</v>
      </c>
      <c r="G475" s="547"/>
      <c r="H475" s="547"/>
      <c r="I475" s="547" t="str">
        <f>$J$17</f>
        <v>čierna mat</v>
      </c>
      <c r="Z475" s="1" t="b">
        <f t="shared" si="69"/>
        <v>1</v>
      </c>
    </row>
    <row r="476" spans="1:26" s="556" customFormat="1" ht="15" customHeight="1" x14ac:dyDescent="0.25">
      <c r="A476" s="53" t="s">
        <v>117</v>
      </c>
      <c r="B476" s="52"/>
      <c r="C476" s="547" t="str">
        <f>$J$16</f>
        <v>čierna lesk</v>
      </c>
      <c r="D476" s="53" t="s">
        <v>117</v>
      </c>
      <c r="E476" s="52"/>
      <c r="F476" s="52"/>
      <c r="G476" s="1"/>
      <c r="H476" s="1"/>
      <c r="I476" s="547" t="str">
        <f>$J$16</f>
        <v>čierna lesk</v>
      </c>
      <c r="Z476" s="1" t="b">
        <f t="shared" si="69"/>
        <v>1</v>
      </c>
    </row>
    <row r="477" spans="1:26" ht="15" customHeight="1" x14ac:dyDescent="0.25">
      <c r="A477" s="53">
        <v>336796</v>
      </c>
      <c r="B477" s="177" t="s">
        <v>972</v>
      </c>
      <c r="C477" s="1" t="str">
        <f>$J$4</f>
        <v xml:space="preserve">strieborná </v>
      </c>
      <c r="D477" s="53">
        <v>336796</v>
      </c>
      <c r="E477" s="52" t="str">
        <f>+VLOOKUP(A477,cennik!$A:$G,2,FALSE)</f>
        <v>SEVROLL 04447 spojovacia lišta Simple/Blue H21 3m (pre lamino 18mm) strieborná</v>
      </c>
      <c r="F477" s="52" t="str">
        <f>+VLOOKUP(A477,cennik!A:B,2,FALSE)</f>
        <v>SEVROLL 04447 spojovacia lišta Simple/Blue H21 3m (pre lamino 18mm) strieborná</v>
      </c>
      <c r="I477" s="1" t="str">
        <f>$J$4</f>
        <v xml:space="preserve">strieborná </v>
      </c>
      <c r="Z477" s="1" t="b">
        <f t="shared" si="69"/>
        <v>1</v>
      </c>
    </row>
    <row r="478" spans="1:26" ht="15" customHeight="1" x14ac:dyDescent="0.25">
      <c r="A478" s="2">
        <v>488239</v>
      </c>
      <c r="B478" s="567"/>
      <c r="C478" s="1" t="str">
        <f>$J$17</f>
        <v>čierna mat</v>
      </c>
      <c r="D478" s="2">
        <v>488239</v>
      </c>
      <c r="E478" s="52" t="str">
        <f>+VLOOKUP(A478,cennik!$A:$G,2,FALSE)</f>
        <v>SEVROLL 05746 spojovacia lišta Simple/Blue H21 3m (pre lamino 18mm) čierna mat</v>
      </c>
      <c r="F478" s="52" t="str">
        <f>+VLOOKUP(A478,cennik!A:B,2,FALSE)</f>
        <v>SEVROLL 05746 spojovacia lišta Simple/Blue H21 3m (pre lamino 18mm) čierna mat</v>
      </c>
      <c r="I478" s="1" t="str">
        <f>$J$17</f>
        <v>čierna mat</v>
      </c>
      <c r="Z478" s="1" t="b">
        <f t="shared" si="69"/>
        <v>1</v>
      </c>
    </row>
    <row r="479" spans="1:26" ht="15" customHeight="1" x14ac:dyDescent="0.25">
      <c r="A479" s="556">
        <v>394273</v>
      </c>
      <c r="B479" s="556"/>
      <c r="C479" s="556" t="str">
        <f>$J$15</f>
        <v>biela lesk</v>
      </c>
      <c r="D479" s="556">
        <v>394273</v>
      </c>
      <c r="E479" s="554" t="str">
        <f>+VLOOKUP(A479,cennik!$A:$G,2,FALSE)</f>
        <v>SEVROLL 04929 spojovacia lišta Simple/Blue H21 3m (pre lamino 18mm) biely lesk</v>
      </c>
      <c r="F479" s="554" t="str">
        <f>+VLOOKUP(A479,cennik!A:B,2,FALSE)</f>
        <v>SEVROLL 04929 spojovacia lišta Simple/Blue H21 3m (pre lamino 18mm) biely lesk</v>
      </c>
      <c r="G479" s="556"/>
      <c r="H479" s="556"/>
      <c r="I479" s="556" t="str">
        <f>$J$15</f>
        <v>biela lesk</v>
      </c>
      <c r="Z479" s="1" t="b">
        <f t="shared" si="69"/>
        <v>1</v>
      </c>
    </row>
    <row r="480" spans="1:26" ht="15" customHeight="1" x14ac:dyDescent="0.25">
      <c r="A480" s="53">
        <v>224158</v>
      </c>
      <c r="B480" s="178"/>
      <c r="C480" s="1" t="str">
        <f>$J$6</f>
        <v>oliva</v>
      </c>
      <c r="D480" s="53">
        <v>224158</v>
      </c>
      <c r="E480" s="52" t="str">
        <f>+VLOOKUP(A480,cennik!$A:$G,2,FALSE)</f>
        <v>SEVROLL 04446 spojovacia lišta Simple/Blue H21 3m (pre lamino 18mm) oliva</v>
      </c>
      <c r="F480" s="52" t="str">
        <f>+VLOOKUP(A480,cennik!A:B,2,FALSE)</f>
        <v>SEVROLL 04446 spojovacia lišta Simple/Blue H21 3m (pre lamino 18mm) oliva</v>
      </c>
      <c r="I480" s="1" t="str">
        <f>$J$6</f>
        <v>oliva</v>
      </c>
      <c r="Z480" s="1" t="b">
        <f t="shared" si="69"/>
        <v>1</v>
      </c>
    </row>
    <row r="481" spans="1:26" ht="15" customHeight="1" x14ac:dyDescent="0.25">
      <c r="A481" s="53">
        <v>328825</v>
      </c>
      <c r="B481" s="177" t="s">
        <v>973</v>
      </c>
      <c r="C481" s="1" t="str">
        <f>$J$4</f>
        <v xml:space="preserve">strieborná </v>
      </c>
      <c r="D481" s="53">
        <v>328825</v>
      </c>
      <c r="E481" s="52" t="str">
        <f>+VLOOKUP(A481,cennik!$A:$G,2,FALSE)</f>
        <v>SEVROLL 04445 spojovacia lišta Simple/Blue H28 3m (pre lamino 18mm) strieborná</v>
      </c>
      <c r="F481" s="52" t="str">
        <f>+VLOOKUP(A481,cennik!A:B,2,FALSE)</f>
        <v>SEVROLL 04445 spojovacia lišta Simple/Blue H28 3m (pre lamino 18mm) strieborná</v>
      </c>
      <c r="I481" s="1" t="str">
        <f>$J$4</f>
        <v xml:space="preserve">strieborná </v>
      </c>
      <c r="Z481" s="1" t="b">
        <f t="shared" si="69"/>
        <v>1</v>
      </c>
    </row>
    <row r="482" spans="1:26" ht="15" customHeight="1" x14ac:dyDescent="0.25">
      <c r="A482" s="556">
        <v>394281</v>
      </c>
      <c r="B482" s="556"/>
      <c r="C482" s="556" t="str">
        <f>$J$15</f>
        <v>biela lesk</v>
      </c>
      <c r="D482" s="556">
        <v>394281</v>
      </c>
      <c r="E482" s="554" t="str">
        <f>+VLOOKUP(A482,cennik!$A:$G,2,FALSE)</f>
        <v>SEVROLL 04932 spojovacia lišta Simple/Blue H28 3m (pre lamino 18mm) biely lesk</v>
      </c>
      <c r="F482" s="554" t="str">
        <f>+VLOOKUP(A482,cennik!A:B,2,FALSE)</f>
        <v>SEVROLL 04932 spojovacia lišta Simple/Blue H28 3m (pre lamino 18mm) biely lesk</v>
      </c>
      <c r="G482" s="556"/>
      <c r="H482" s="556"/>
      <c r="I482" s="556" t="str">
        <f>$J$15</f>
        <v>biela lesk</v>
      </c>
      <c r="Z482" s="1" t="b">
        <f t="shared" si="69"/>
        <v>1</v>
      </c>
    </row>
    <row r="483" spans="1:26" ht="15" customHeight="1" x14ac:dyDescent="0.25">
      <c r="A483" s="53">
        <v>223560</v>
      </c>
      <c r="B483" s="178"/>
      <c r="C483" s="1" t="str">
        <f>$J$6</f>
        <v>oliva</v>
      </c>
      <c r="D483" s="53">
        <v>223560</v>
      </c>
      <c r="E483" s="52" t="str">
        <f>+VLOOKUP(A483,cennik!$A:$G,2,FALSE)</f>
        <v>SEVROLL 04444 spojovacia lišta Simple/Blue H28 3m (pre lamino 18mm) oliva</v>
      </c>
      <c r="F483" s="52" t="str">
        <f>+VLOOKUP(A483,cennik!A:B,2,FALSE)</f>
        <v>SEVROLL 04444 spojovacia lišta Simple/Blue H28 3m (pre lamino 18mm) oliva</v>
      </c>
      <c r="I483" s="1" t="str">
        <f>$J$6</f>
        <v>oliva</v>
      </c>
      <c r="Z483" s="1" t="b">
        <f t="shared" si="69"/>
        <v>1</v>
      </c>
    </row>
    <row r="484" spans="1:26" ht="15" customHeight="1" x14ac:dyDescent="0.25">
      <c r="A484" s="569" t="s">
        <v>117</v>
      </c>
      <c r="B484" s="52"/>
      <c r="C484" s="1" t="str">
        <f>$J$17</f>
        <v>čierna mat</v>
      </c>
      <c r="D484" s="569" t="s">
        <v>117</v>
      </c>
      <c r="E484" s="52"/>
      <c r="F484" s="52"/>
      <c r="Z484" s="1" t="b">
        <f t="shared" si="69"/>
        <v>1</v>
      </c>
    </row>
    <row r="485" spans="1:26" ht="15" customHeight="1" x14ac:dyDescent="0.25">
      <c r="A485" s="53">
        <v>98070</v>
      </c>
      <c r="B485" s="52" t="s">
        <v>32</v>
      </c>
      <c r="C485" s="1" t="str">
        <f>$J$4</f>
        <v xml:space="preserve">strieborná </v>
      </c>
      <c r="D485" s="53">
        <v>98070</v>
      </c>
      <c r="E485" s="52" t="str">
        <f>+VLOOKUP(A485,cennik!$A:$G,2,FALSE)</f>
        <v>SEVROLL Gemini-2 úch.lišta 2,7m strieborná</v>
      </c>
      <c r="F485" s="52" t="str">
        <f>+VLOOKUP(A485,cennik!A:B,2,FALSE)</f>
        <v>SEVROLL Gemini-2 úch.lišta 2,7m strieborná</v>
      </c>
      <c r="G485" s="1" t="e">
        <f>+VLOOKUP(A485,#REF!,4,FALSE)</f>
        <v>#REF!</v>
      </c>
      <c r="I485" s="1" t="str">
        <f>$J$4</f>
        <v xml:space="preserve">strieborná </v>
      </c>
      <c r="Z485" s="1" t="b">
        <f t="shared" si="69"/>
        <v>1</v>
      </c>
    </row>
    <row r="486" spans="1:26" ht="15" customHeight="1" x14ac:dyDescent="0.25">
      <c r="A486" s="53">
        <v>278164</v>
      </c>
      <c r="B486" s="52"/>
      <c r="C486" s="1" t="str">
        <f>$J$17</f>
        <v>čierna mat</v>
      </c>
      <c r="D486" s="53">
        <v>278164</v>
      </c>
      <c r="E486" s="52" t="str">
        <f>+VLOOKUP(A486,cennik!$A:$G,2,FALSE)</f>
        <v>SEVROLL 03607 Gemini úchytová lišta 2,7m čierna mat</v>
      </c>
      <c r="F486" s="52" t="str">
        <f>+VLOOKUP(A486,cennik!A:B,2,FALSE)</f>
        <v>SEVROLL 03607 Gemini úchytová lišta 2,7m čierna mat</v>
      </c>
      <c r="Z486" s="1" t="b">
        <f t="shared" si="69"/>
        <v>1</v>
      </c>
    </row>
    <row r="487" spans="1:26" ht="15" customHeight="1" x14ac:dyDescent="0.25">
      <c r="A487" s="53">
        <v>98071</v>
      </c>
      <c r="B487" s="52"/>
      <c r="C487" s="1" t="str">
        <f>$J$6</f>
        <v>oliva</v>
      </c>
      <c r="D487" s="53">
        <v>98071</v>
      </c>
      <c r="E487" s="52" t="str">
        <f>+VLOOKUP(A487,cennik!$A:$G,2,FALSE)</f>
        <v>SEVROLL Gemini-2 úch.lišta 2,7m oliva</v>
      </c>
      <c r="F487" s="52" t="str">
        <f>+VLOOKUP(A487,cennik!A:B,2,FALSE)</f>
        <v>SEVROLL Gemini-2 úch.lišta 2,7m oliva</v>
      </c>
      <c r="G487" s="1" t="e">
        <f>+VLOOKUP(A487,#REF!,4,FALSE)</f>
        <v>#REF!</v>
      </c>
      <c r="I487" s="1" t="str">
        <f>$J$6</f>
        <v>oliva</v>
      </c>
      <c r="Z487" s="1" t="b">
        <f t="shared" si="69"/>
        <v>1</v>
      </c>
    </row>
    <row r="488" spans="1:26" ht="15" customHeight="1" x14ac:dyDescent="0.25">
      <c r="A488" s="52">
        <v>394690</v>
      </c>
      <c r="B488" s="176" t="s">
        <v>2650</v>
      </c>
      <c r="C488" s="1" t="str">
        <f>$J$4</f>
        <v xml:space="preserve">strieborná </v>
      </c>
      <c r="D488" s="52">
        <v>394690</v>
      </c>
      <c r="E488" s="52" t="str">
        <f>+VLOOKUP(A488,cennik!$A:$G,2,FALSE)</f>
        <v>SEVROLL 04920-A Lynx úchytová lišta 2,7m strieborná</v>
      </c>
      <c r="F488" s="52" t="str">
        <f>+VLOOKUP(A488,cennik!A:B,2,FALSE)</f>
        <v>SEVROLL 04920-A Lynx úchytová lišta 2,7m strieborná</v>
      </c>
      <c r="I488" s="1" t="str">
        <f>$J$4</f>
        <v xml:space="preserve">strieborná </v>
      </c>
      <c r="Z488" s="1" t="b">
        <f t="shared" si="69"/>
        <v>1</v>
      </c>
    </row>
    <row r="489" spans="1:26" ht="15" customHeight="1" x14ac:dyDescent="0.25">
      <c r="A489" s="52">
        <v>394691</v>
      </c>
      <c r="B489" s="52"/>
      <c r="C489" s="1" t="str">
        <f>$J$6</f>
        <v>oliva</v>
      </c>
      <c r="D489" s="52">
        <v>394691</v>
      </c>
      <c r="E489" s="52" t="str">
        <f>+VLOOKUP(A489,cennik!$A:$G,2,FALSE)</f>
        <v>SEVROLL 04920 Lynx úchytová lišta 2,7m oliva</v>
      </c>
      <c r="F489" s="52" t="str">
        <f>+VLOOKUP(A489,cennik!A:B,2,FALSE)</f>
        <v>SEVROLL 04920 Lynx úchytová lišta 2,7m oliva</v>
      </c>
      <c r="I489" s="1" t="str">
        <f>$J$6</f>
        <v>oliva</v>
      </c>
      <c r="Z489" s="1" t="b">
        <f t="shared" si="69"/>
        <v>1</v>
      </c>
    </row>
    <row r="490" spans="1:26" ht="15" customHeight="1" x14ac:dyDescent="0.25">
      <c r="A490" s="53">
        <v>98072</v>
      </c>
      <c r="B490" s="52"/>
      <c r="C490" s="1" t="str">
        <f>$J$5</f>
        <v>zlatá</v>
      </c>
      <c r="D490" s="53">
        <v>98072</v>
      </c>
      <c r="E490" s="52" t="str">
        <f>+VLOOKUP(A490,cennik!$A:$G,2,FALSE)</f>
        <v>SEVROLL Gemini Gemini-2 úchytová lišta 2,7m</v>
      </c>
      <c r="F490" s="52" t="str">
        <f>+VLOOKUP(A490,cennik!A:B,2,FALSE)</f>
        <v>SEVROLL Gemini Gemini-2 úchytová lišta 2,7m</v>
      </c>
      <c r="G490" s="1" t="e">
        <f>+VLOOKUP(A490,#REF!,4,FALSE)</f>
        <v>#REF!</v>
      </c>
      <c r="I490" s="1" t="str">
        <f>$J$5</f>
        <v>zlatá</v>
      </c>
      <c r="Z490" s="1" t="b">
        <f t="shared" si="69"/>
        <v>1</v>
      </c>
    </row>
    <row r="491" spans="1:26" ht="15" customHeight="1" x14ac:dyDescent="0.25">
      <c r="A491" s="53"/>
      <c r="B491" s="52"/>
      <c r="D491" s="53"/>
      <c r="E491" s="52" t="e">
        <f>+VLOOKUP(A491,cennik!$A:$G,2,FALSE)</f>
        <v>#N/A</v>
      </c>
      <c r="F491" s="52" t="e">
        <f>+VLOOKUP(A491,cennik!A:B,2,FALSE)</f>
        <v>#N/A</v>
      </c>
      <c r="G491" s="1" t="e">
        <f>+VLOOKUP(A491,#REF!,4,FALSE)</f>
        <v>#REF!</v>
      </c>
      <c r="Z491" s="1" t="b">
        <f t="shared" si="69"/>
        <v>1</v>
      </c>
    </row>
    <row r="492" spans="1:26" ht="15" customHeight="1" x14ac:dyDescent="0.25">
      <c r="A492" s="53">
        <v>135366</v>
      </c>
      <c r="B492" s="52" t="s">
        <v>33</v>
      </c>
      <c r="C492" s="1" t="str">
        <f>$J$4</f>
        <v xml:space="preserve">strieborná </v>
      </c>
      <c r="D492" s="53">
        <v>135366</v>
      </c>
      <c r="E492" s="52" t="str">
        <f>+VLOOKUP(A492,cennik!$A:$G,2,FALSE)</f>
        <v>SEVROLL ROMEO II ÚCH.LIŠTA 2,7 M STR.</v>
      </c>
      <c r="F492" s="52" t="str">
        <f>+VLOOKUP(A492,cennik!A:B,2,FALSE)</f>
        <v>SEVROLL ROMEO II ÚCH.LIŠTA 2,7 M STR.</v>
      </c>
      <c r="G492" s="1" t="e">
        <f>+VLOOKUP(A492,#REF!,4,FALSE)</f>
        <v>#REF!</v>
      </c>
      <c r="I492" s="1" t="str">
        <f>$J$4</f>
        <v xml:space="preserve">strieborná </v>
      </c>
      <c r="Z492" s="1" t="b">
        <f t="shared" si="69"/>
        <v>1</v>
      </c>
    </row>
    <row r="493" spans="1:26" ht="15" customHeight="1" x14ac:dyDescent="0.25">
      <c r="A493" s="53">
        <v>135365</v>
      </c>
      <c r="B493" s="52"/>
      <c r="C493" s="1" t="str">
        <f>$J$6</f>
        <v>oliva</v>
      </c>
      <c r="D493" s="53">
        <v>135365</v>
      </c>
      <c r="E493" s="52" t="str">
        <f>+VLOOKUP(A493,cennik!$A:$G,2,FALSE)</f>
        <v>SEVROLL Romeo II úch.lišta 2,7m oliva</v>
      </c>
      <c r="F493" s="52" t="str">
        <f>+VLOOKUP(A493,cennik!A:B,2,FALSE)</f>
        <v>SEVROLL Romeo II úch.lišta 2,7m oliva</v>
      </c>
      <c r="G493" s="1" t="e">
        <f>+VLOOKUP(A493,#REF!,4,FALSE)</f>
        <v>#REF!</v>
      </c>
      <c r="I493" s="1" t="str">
        <f>$J$6</f>
        <v>oliva</v>
      </c>
      <c r="Z493" s="1" t="b">
        <f t="shared" si="69"/>
        <v>1</v>
      </c>
    </row>
    <row r="494" spans="1:26" ht="15" customHeight="1" x14ac:dyDescent="0.25">
      <c r="A494" s="53"/>
      <c r="B494" s="52"/>
      <c r="D494" s="53"/>
      <c r="E494" s="52" t="e">
        <f>+VLOOKUP(A494,cennik!$A:$G,2,FALSE)</f>
        <v>#N/A</v>
      </c>
      <c r="F494" s="52" t="e">
        <f>+VLOOKUP(A494,cennik!A:B,2,FALSE)</f>
        <v>#N/A</v>
      </c>
      <c r="G494" s="1" t="e">
        <f>+VLOOKUP(A494,#REF!,4,FALSE)</f>
        <v>#REF!</v>
      </c>
      <c r="Z494" s="1" t="b">
        <f t="shared" si="69"/>
        <v>1</v>
      </c>
    </row>
    <row r="495" spans="1:26" ht="15" customHeight="1" x14ac:dyDescent="0.25">
      <c r="A495" s="53">
        <v>135344</v>
      </c>
      <c r="B495" s="176" t="s">
        <v>974</v>
      </c>
      <c r="C495" s="1" t="str">
        <f>$J$4</f>
        <v xml:space="preserve">strieborná </v>
      </c>
      <c r="D495" s="53">
        <v>135344</v>
      </c>
      <c r="E495" s="52" t="str">
        <f>+VLOOKUP(A495,cennik!$A:$G,2,FALSE)</f>
        <v>SEVROLL Julia II úch.lišta 2,7m strieborná</v>
      </c>
      <c r="F495" s="52" t="str">
        <f>+VLOOKUP(A495,cennik!A:B,2,FALSE)</f>
        <v>SEVROLL Julia II úch.lišta 2,7m strieborná</v>
      </c>
      <c r="G495" s="1" t="e">
        <f>+VLOOKUP(A495,#REF!,4,FALSE)</f>
        <v>#REF!</v>
      </c>
      <c r="I495" s="1" t="str">
        <f>$J$4</f>
        <v xml:space="preserve">strieborná </v>
      </c>
      <c r="Z495" s="1" t="b">
        <f t="shared" si="69"/>
        <v>1</v>
      </c>
    </row>
    <row r="496" spans="1:26" ht="15" customHeight="1" x14ac:dyDescent="0.25">
      <c r="A496" s="53">
        <v>135342</v>
      </c>
      <c r="B496" s="52"/>
      <c r="C496" s="1" t="str">
        <f>$J$6</f>
        <v>oliva</v>
      </c>
      <c r="D496" s="53">
        <v>135342</v>
      </c>
      <c r="E496" s="52" t="str">
        <f>+VLOOKUP(A496,cennik!$A:$G,2,FALSE)</f>
        <v>SEVROLL Julia II úch.lišta 2,7m oliva</v>
      </c>
      <c r="F496" s="52" t="str">
        <f>+VLOOKUP(A496,cennik!A:B,2,FALSE)</f>
        <v>SEVROLL Julia II úch.lišta 2,7m oliva</v>
      </c>
      <c r="G496" s="1" t="e">
        <f>+VLOOKUP(A496,#REF!,4,FALSE)</f>
        <v>#REF!</v>
      </c>
      <c r="I496" s="1" t="str">
        <f>$J$6</f>
        <v>oliva</v>
      </c>
      <c r="Z496" s="1" t="b">
        <f t="shared" si="69"/>
        <v>1</v>
      </c>
    </row>
    <row r="497" spans="1:26" ht="15" customHeight="1" x14ac:dyDescent="0.25">
      <c r="A497" s="2"/>
      <c r="B497" s="52"/>
      <c r="E497" s="52"/>
      <c r="F497" s="52"/>
      <c r="Z497" s="1" t="b">
        <f t="shared" si="69"/>
        <v>1</v>
      </c>
    </row>
    <row r="498" spans="1:26" ht="15" customHeight="1" x14ac:dyDescent="0.25">
      <c r="A498" s="210">
        <v>223573</v>
      </c>
      <c r="B498" s="176" t="s">
        <v>845</v>
      </c>
      <c r="C498" s="1" t="str">
        <f>$J$6</f>
        <v>oliva</v>
      </c>
      <c r="D498" s="210">
        <v>223573</v>
      </c>
      <c r="E498" s="52" t="str">
        <f>+VLOOKUP(A498,cennik!$A:$G,2,FALSE)</f>
        <v>SEVROLL karat úchytová lišta 2,7m oliva</v>
      </c>
      <c r="F498" s="52" t="str">
        <f>+VLOOKUP(A498,cennik!A:B,2,FALSE)</f>
        <v>SEVROLL karat úchytová lišta 2,7m oliva</v>
      </c>
      <c r="I498" s="1" t="str">
        <f>$J$6</f>
        <v>oliva</v>
      </c>
      <c r="Z498" s="1" t="b">
        <f t="shared" si="69"/>
        <v>1</v>
      </c>
    </row>
    <row r="499" spans="1:26" ht="15" customHeight="1" x14ac:dyDescent="0.25">
      <c r="A499" s="210">
        <v>223572</v>
      </c>
      <c r="B499" s="52"/>
      <c r="C499" s="1" t="str">
        <f>$J$4</f>
        <v xml:space="preserve">strieborná </v>
      </c>
      <c r="D499" s="210">
        <v>223572</v>
      </c>
      <c r="E499" s="52" t="str">
        <f>+VLOOKUP(A499,cennik!$A:$G,2,FALSE)</f>
        <v>SEVROLL Karat úch.lišta 2,7m str</v>
      </c>
      <c r="F499" s="52" t="str">
        <f>+VLOOKUP(A499,cennik!A:B,2,FALSE)</f>
        <v>SEVROLL Karat úch.lišta 2,7m str</v>
      </c>
      <c r="I499" s="1" t="str">
        <f>$J$4</f>
        <v xml:space="preserve">strieborná </v>
      </c>
      <c r="Z499" s="1" t="b">
        <f t="shared" si="69"/>
        <v>1</v>
      </c>
    </row>
    <row r="500" spans="1:26" ht="15" customHeight="1" x14ac:dyDescent="0.25">
      <c r="A500" s="53"/>
      <c r="B500" s="52"/>
      <c r="D500" s="53"/>
      <c r="E500" s="52"/>
      <c r="F500" s="52"/>
      <c r="Z500" s="1" t="b">
        <f t="shared" si="69"/>
        <v>1</v>
      </c>
    </row>
    <row r="501" spans="1:26" ht="15" customHeight="1" x14ac:dyDescent="0.25">
      <c r="A501" s="53"/>
      <c r="B501" s="52"/>
      <c r="D501" s="53"/>
      <c r="E501" s="52"/>
      <c r="F501" s="52"/>
      <c r="Z501" s="1" t="b">
        <f t="shared" si="69"/>
        <v>1</v>
      </c>
    </row>
    <row r="502" spans="1:26" ht="15" customHeight="1" x14ac:dyDescent="0.25">
      <c r="A502" s="53">
        <v>179229</v>
      </c>
      <c r="B502" s="176" t="s">
        <v>714</v>
      </c>
      <c r="C502" s="1" t="str">
        <f>$J$4</f>
        <v xml:space="preserve">strieborná </v>
      </c>
      <c r="D502" s="53">
        <v>179229</v>
      </c>
      <c r="E502" s="52" t="str">
        <f>+VLOOKUP(A502,cennik!$A:$G,2,FALSE)</f>
        <v>SEVROLL Future II úch.lišta 2,7m strieborná</v>
      </c>
      <c r="F502" s="52" t="str">
        <f>+VLOOKUP(A502,cennik!A:B,2,FALSE)</f>
        <v>SEVROLL Future II úch.lišta 2,7m strieborná</v>
      </c>
      <c r="G502" s="1" t="e">
        <f>+VLOOKUP(A502,#REF!,4,FALSE)</f>
        <v>#REF!</v>
      </c>
      <c r="I502" s="1" t="str">
        <f>$J$4</f>
        <v xml:space="preserve">strieborná </v>
      </c>
      <c r="Z502" s="1" t="b">
        <f t="shared" si="69"/>
        <v>1</v>
      </c>
    </row>
    <row r="503" spans="1:26" ht="15" customHeight="1" x14ac:dyDescent="0.25">
      <c r="A503" s="53">
        <v>179230</v>
      </c>
      <c r="B503" s="52"/>
      <c r="C503" s="1" t="str">
        <f>$J$6</f>
        <v>oliva</v>
      </c>
      <c r="D503" s="53">
        <v>179230</v>
      </c>
      <c r="E503" s="52" t="str">
        <f>+VLOOKUP(A503,cennik!$A:$G,2,FALSE)</f>
        <v>SEVROLL 03046 Future II úchytová lišta 2,7m oliva</v>
      </c>
      <c r="F503" s="52" t="str">
        <f>+VLOOKUP(A503,cennik!A:B,2,FALSE)</f>
        <v>SEVROLL 03046 Future II úchytová lišta 2,7m oliva</v>
      </c>
      <c r="G503" s="1" t="e">
        <f>+VLOOKUP(A503,#REF!,4,FALSE)</f>
        <v>#REF!</v>
      </c>
      <c r="I503" s="1" t="str">
        <f>$J$6</f>
        <v>oliva</v>
      </c>
      <c r="Z503" s="1" t="b">
        <f t="shared" si="69"/>
        <v>1</v>
      </c>
    </row>
    <row r="504" spans="1:26" ht="15" customHeight="1" x14ac:dyDescent="0.25">
      <c r="A504" s="2"/>
      <c r="B504" s="52"/>
      <c r="E504" s="52"/>
      <c r="F504" s="52"/>
      <c r="Z504" s="1" t="b">
        <f t="shared" si="69"/>
        <v>1</v>
      </c>
    </row>
    <row r="505" spans="1:26" ht="15" customHeight="1" x14ac:dyDescent="0.25">
      <c r="A505" s="62">
        <v>179224</v>
      </c>
      <c r="B505" s="52" t="s">
        <v>88</v>
      </c>
      <c r="C505" s="1" t="str">
        <f>$J$4</f>
        <v xml:space="preserve">strieborná </v>
      </c>
      <c r="D505" s="62">
        <v>179224</v>
      </c>
      <c r="E505" s="52" t="str">
        <f>+VLOOKUP(A505,cennik!$A:$G,2,FALSE)</f>
        <v>SEVROLL FUTURE II ÚCH.LIŠTA 3,5 M str.</v>
      </c>
      <c r="F505" s="52" t="str">
        <f>+VLOOKUP(A505,cennik!A:B,2,FALSE)</f>
        <v>SEVROLL FUTURE II ÚCH.LIŠTA 3,5 M str.</v>
      </c>
      <c r="I505" s="1" t="str">
        <f>$J$4</f>
        <v xml:space="preserve">strieborná </v>
      </c>
      <c r="Z505" s="1" t="b">
        <f t="shared" si="69"/>
        <v>1</v>
      </c>
    </row>
    <row r="506" spans="1:26" ht="15" customHeight="1" x14ac:dyDescent="0.25">
      <c r="A506" s="62">
        <v>179227</v>
      </c>
      <c r="B506" s="52"/>
      <c r="C506" s="1" t="str">
        <f>$J$6</f>
        <v>oliva</v>
      </c>
      <c r="D506" s="62">
        <v>179227</v>
      </c>
      <c r="E506" s="52" t="str">
        <f>+VLOOKUP(A506,cennik!$A:$G,2,FALSE)</f>
        <v>SEVROLL 03047 Future II úchytová lišta 3,5m oliva</v>
      </c>
      <c r="F506" s="52" t="str">
        <f>+VLOOKUP(A506,cennik!A:B,2,FALSE)</f>
        <v>SEVROLL 03047 Future II úchytová lišta 3,5m oliva</v>
      </c>
      <c r="I506" s="1" t="str">
        <f>$J$6</f>
        <v>oliva</v>
      </c>
      <c r="Z506" s="1" t="b">
        <f t="shared" si="69"/>
        <v>1</v>
      </c>
    </row>
    <row r="507" spans="1:26" ht="15" customHeight="1" x14ac:dyDescent="0.25">
      <c r="A507" s="62"/>
      <c r="B507" s="52"/>
      <c r="D507" s="62"/>
      <c r="E507" s="52"/>
      <c r="F507" s="52"/>
      <c r="Z507" s="1" t="b">
        <f t="shared" si="69"/>
        <v>1</v>
      </c>
    </row>
    <row r="508" spans="1:26" ht="15" customHeight="1" x14ac:dyDescent="0.25">
      <c r="A508" s="184">
        <v>100102</v>
      </c>
      <c r="B508" s="176" t="s">
        <v>694</v>
      </c>
      <c r="C508" s="1" t="str">
        <f>$J$4</f>
        <v xml:space="preserve">strieborná </v>
      </c>
      <c r="D508" s="184">
        <v>100102</v>
      </c>
      <c r="E508" s="52" t="str">
        <f>+VLOOKUP(A508,cennik!$A:$G,2,FALSE)</f>
        <v>SEVROLL 02376 Master úchytová lišta 2,7m strieborná</v>
      </c>
      <c r="F508" s="52" t="str">
        <f>+VLOOKUP(A508,cennik!A:B,2,FALSE)</f>
        <v>SEVROLL 02376 Master úchytová lišta 2,7m strieborná</v>
      </c>
      <c r="I508" s="1" t="str">
        <f>$J$4</f>
        <v xml:space="preserve">strieborná </v>
      </c>
      <c r="Z508" s="1" t="b">
        <f t="shared" si="69"/>
        <v>1</v>
      </c>
    </row>
    <row r="509" spans="1:26" ht="15" customHeight="1" x14ac:dyDescent="0.25">
      <c r="A509" s="184">
        <v>100103</v>
      </c>
      <c r="B509" s="52"/>
      <c r="C509" s="1" t="str">
        <f>$J$6</f>
        <v>oliva</v>
      </c>
      <c r="D509" s="184">
        <v>100103</v>
      </c>
      <c r="E509" s="52" t="str">
        <f>+VLOOKUP(A509,cennik!$A:$G,2,FALSE)</f>
        <v>SEVROLL 02377 Master úchytová lišta 2,7m oliva</v>
      </c>
      <c r="F509" s="52" t="str">
        <f>+VLOOKUP(A509,cennik!A:B,2,FALSE)</f>
        <v>SEVROLL 02377 Master úchytová lišta 2,7m oliva</v>
      </c>
      <c r="I509" s="1" t="str">
        <f>$J$6</f>
        <v>oliva</v>
      </c>
      <c r="Z509" s="1" t="b">
        <f t="shared" si="69"/>
        <v>1</v>
      </c>
    </row>
    <row r="510" spans="1:26" ht="15" customHeight="1" x14ac:dyDescent="0.25">
      <c r="A510" s="184">
        <v>100105</v>
      </c>
      <c r="B510" s="176" t="s">
        <v>695</v>
      </c>
      <c r="C510" s="1" t="str">
        <f>$J$4</f>
        <v xml:space="preserve">strieborná </v>
      </c>
      <c r="D510" s="184">
        <v>100105</v>
      </c>
      <c r="E510" s="52" t="str">
        <f>+VLOOKUP(A510,cennik!$A:$G,2,FALSE)</f>
        <v>SEVROLL Master úch.lišta 3m strieborná</v>
      </c>
      <c r="F510" s="52" t="str">
        <f>+VLOOKUP(A510,cennik!A:B,2,FALSE)</f>
        <v>SEVROLL Master úch.lišta 3m strieborná</v>
      </c>
      <c r="I510" s="1" t="str">
        <f>$J$4</f>
        <v xml:space="preserve">strieborná </v>
      </c>
      <c r="Z510" s="1" t="b">
        <f t="shared" si="69"/>
        <v>1</v>
      </c>
    </row>
    <row r="511" spans="1:26" ht="15" customHeight="1" x14ac:dyDescent="0.25">
      <c r="A511" s="184">
        <v>100106</v>
      </c>
      <c r="B511" s="52"/>
      <c r="C511" s="1" t="str">
        <f>$J$6</f>
        <v>oliva</v>
      </c>
      <c r="D511" s="184">
        <v>100106</v>
      </c>
      <c r="E511" s="52" t="str">
        <f>+VLOOKUP(A511,cennik!$A:$G,2,FALSE)</f>
        <v>SEVROLL 02380 Master úchytová lišta 3m oliva</v>
      </c>
      <c r="F511" s="52" t="str">
        <f>+VLOOKUP(A511,cennik!A:B,2,FALSE)</f>
        <v>SEVROLL 02380 Master úchytová lišta 3m oliva</v>
      </c>
      <c r="I511" s="1" t="str">
        <f>$J$6</f>
        <v>oliva</v>
      </c>
      <c r="Z511" s="1" t="b">
        <f t="shared" si="69"/>
        <v>1</v>
      </c>
    </row>
    <row r="512" spans="1:26" ht="15" customHeight="1" x14ac:dyDescent="0.25">
      <c r="A512" s="184"/>
      <c r="B512" s="176" t="s">
        <v>1007</v>
      </c>
      <c r="D512" s="184"/>
      <c r="E512" s="52"/>
      <c r="F512" s="52"/>
      <c r="Z512" s="1" t="b">
        <f t="shared" si="69"/>
        <v>1</v>
      </c>
    </row>
    <row r="513" spans="1:26" ht="15" customHeight="1" x14ac:dyDescent="0.25">
      <c r="A513" s="184">
        <v>215234</v>
      </c>
      <c r="B513" s="52"/>
      <c r="C513" s="1" t="str">
        <f>$J$4</f>
        <v xml:space="preserve">strieborná </v>
      </c>
      <c r="D513" s="184">
        <v>215234</v>
      </c>
      <c r="E513" s="52" t="str">
        <f>+VLOOKUP(A513,cennik!$A:$G,2,FALSE)</f>
        <v>SEVROLL Polo úch.lišta 10mm 2,70m strieborná</v>
      </c>
      <c r="F513" s="52" t="str">
        <f>+VLOOKUP(A513,cennik!A:B,2,FALSE)</f>
        <v>SEVROLL Polo úch.lišta 10mm 2,70m strieborná</v>
      </c>
      <c r="I513" s="1" t="str">
        <f>$J$4</f>
        <v xml:space="preserve">strieborná </v>
      </c>
      <c r="Z513" s="1" t="b">
        <f t="shared" si="69"/>
        <v>1</v>
      </c>
    </row>
    <row r="514" spans="1:26" ht="15" customHeight="1" x14ac:dyDescent="0.25">
      <c r="A514">
        <v>223551</v>
      </c>
      <c r="B514" s="52"/>
      <c r="C514" s="1" t="str">
        <f>$J$6</f>
        <v>oliva</v>
      </c>
      <c r="D514">
        <v>223551</v>
      </c>
      <c r="E514" s="52" t="str">
        <f>+VLOOKUP(A514,cennik!$A:$G,2,FALSE)</f>
        <v>SEVROLL Polo úchytová lišta 10mm 2,7m oliva</v>
      </c>
      <c r="F514" s="52" t="str">
        <f>+VLOOKUP(A514,cennik!A:B,2,FALSE)</f>
        <v>SEVROLL Polo úchytová lišta 10mm 2,7m oliva</v>
      </c>
      <c r="I514" s="1" t="str">
        <f>$J$6</f>
        <v>oliva</v>
      </c>
      <c r="Z514" s="1" t="b">
        <f t="shared" si="69"/>
        <v>1</v>
      </c>
    </row>
    <row r="515" spans="1:26" ht="15" customHeight="1" x14ac:dyDescent="0.25">
      <c r="A515" s="184"/>
      <c r="B515" s="176" t="s">
        <v>996</v>
      </c>
      <c r="D515" s="184"/>
      <c r="E515" s="52"/>
      <c r="F515" s="52"/>
      <c r="Z515" s="1" t="b">
        <f t="shared" si="69"/>
        <v>1</v>
      </c>
    </row>
    <row r="516" spans="1:26" ht="15" customHeight="1" x14ac:dyDescent="0.25">
      <c r="A516" s="184">
        <v>215233</v>
      </c>
      <c r="B516" s="52"/>
      <c r="C516" s="1" t="str">
        <f>$J$4</f>
        <v xml:space="preserve">strieborná </v>
      </c>
      <c r="D516" s="184">
        <v>215233</v>
      </c>
      <c r="E516" s="52" t="str">
        <f>+VLOOKUP(A516,cennik!$A:$G,2,FALSE)</f>
        <v>SEVROLL Fala úch.lišta 10mm 2,70m strieborná</v>
      </c>
      <c r="F516" s="52" t="str">
        <f>+VLOOKUP(A516,cennik!A:B,2,FALSE)</f>
        <v>SEVROLL Fala úch.lišta 10mm 2,70m strieborná</v>
      </c>
      <c r="I516" s="1" t="str">
        <f>$J$4</f>
        <v xml:space="preserve">strieborná </v>
      </c>
      <c r="Z516" s="1" t="b">
        <f t="shared" si="69"/>
        <v>1</v>
      </c>
    </row>
    <row r="517" spans="1:26" ht="15" customHeight="1" x14ac:dyDescent="0.25">
      <c r="A517" s="184">
        <v>223550</v>
      </c>
      <c r="B517" s="52"/>
      <c r="C517" s="1" t="str">
        <f>$J$6</f>
        <v>oliva</v>
      </c>
      <c r="D517" s="184">
        <v>223550</v>
      </c>
      <c r="E517" s="52" t="str">
        <f>+VLOOKUP(A517,cennik!$A:$G,2,FALSE)</f>
        <v>SEVROLL Fala úchytová lišta 10mm 2,70m oliva</v>
      </c>
      <c r="F517" s="52" t="str">
        <f>+VLOOKUP(A517,cennik!A:B,2,FALSE)</f>
        <v>SEVROLL Fala úchytová lišta 10mm 2,70m oliva</v>
      </c>
      <c r="I517" s="1" t="str">
        <f>$J$6</f>
        <v>oliva</v>
      </c>
      <c r="Z517" s="1" t="b">
        <f t="shared" si="69"/>
        <v>1</v>
      </c>
    </row>
    <row r="518" spans="1:26" ht="15" customHeight="1" x14ac:dyDescent="0.25">
      <c r="A518" s="184"/>
      <c r="B518" s="176" t="s">
        <v>1005</v>
      </c>
      <c r="D518" s="184"/>
      <c r="E518" s="52"/>
      <c r="F518" s="52"/>
      <c r="Z518" s="1" t="b">
        <f t="shared" si="69"/>
        <v>1</v>
      </c>
    </row>
    <row r="519" spans="1:26" ht="15" customHeight="1" x14ac:dyDescent="0.25">
      <c r="A519" s="184">
        <v>349474</v>
      </c>
      <c r="B519" s="52"/>
      <c r="C519" s="1" t="str">
        <f>$J$4</f>
        <v xml:space="preserve">strieborná </v>
      </c>
      <c r="D519" s="184">
        <v>349474</v>
      </c>
      <c r="E519" s="52" t="str">
        <f>+VLOOKUP(A519,cennik!$A:$G,2,FALSE)</f>
        <v>SEVROLL 04512 Era úchytová lišta 18mm 2,70m strieborná</v>
      </c>
      <c r="F519" s="52" t="str">
        <f>+VLOOKUP(A519,cennik!A:B,2,FALSE)</f>
        <v>SEVROLL 04512 Era úchytová lišta 18mm 2,70m strieborná</v>
      </c>
      <c r="I519" s="1" t="str">
        <f>$J$4</f>
        <v xml:space="preserve">strieborná </v>
      </c>
      <c r="Z519" s="1" t="b">
        <f t="shared" si="69"/>
        <v>1</v>
      </c>
    </row>
    <row r="520" spans="1:26" ht="15" customHeight="1" x14ac:dyDescent="0.25">
      <c r="A520" s="62">
        <v>488246</v>
      </c>
      <c r="C520" s="1" t="str">
        <f>$J$17</f>
        <v>čierna mat</v>
      </c>
      <c r="D520" s="62">
        <v>488246</v>
      </c>
      <c r="E520" s="52" t="str">
        <f>+VLOOKUP(A520,cennik!$A:$G,2,FALSE)</f>
        <v>SEVROLL 05745 Era úchytová lišta 18mm 2,70m čierna mat</v>
      </c>
      <c r="F520" s="52" t="str">
        <f>+VLOOKUP(A520,cennik!A:B,2,FALSE)</f>
        <v>SEVROLL 05745 Era úchytová lišta 18mm 2,70m čierna mat</v>
      </c>
      <c r="Z520" s="1" t="b">
        <f t="shared" si="69"/>
        <v>1</v>
      </c>
    </row>
    <row r="521" spans="1:26" ht="15" customHeight="1" x14ac:dyDescent="0.25">
      <c r="A521" s="556">
        <v>372603</v>
      </c>
      <c r="B521" s="556"/>
      <c r="C521" s="556" t="str">
        <f>$J$15</f>
        <v>biela lesk</v>
      </c>
      <c r="D521" s="556">
        <v>372603</v>
      </c>
      <c r="E521" s="554" t="str">
        <f>+VLOOKUP(A521,cennik!$A:$G,2,FALSE)</f>
        <v>SEVROLL 04933 Era úchytová lišta 18mm 2,70m biely lesk</v>
      </c>
      <c r="F521" s="554" t="str">
        <f>+VLOOKUP(A521,cennik!A:B,2,FALSE)</f>
        <v>SEVROLL 04933 Era úchytová lišta 18mm 2,70m biely lesk</v>
      </c>
      <c r="G521" s="556"/>
      <c r="H521" s="556"/>
      <c r="I521" s="556" t="str">
        <f>$J$15</f>
        <v>biela lesk</v>
      </c>
      <c r="Z521" s="1" t="b">
        <f t="shared" si="69"/>
        <v>1</v>
      </c>
    </row>
    <row r="522" spans="1:26" ht="15" customHeight="1" x14ac:dyDescent="0.25">
      <c r="A522" s="184">
        <v>349794</v>
      </c>
      <c r="B522" s="52"/>
      <c r="C522" s="1" t="str">
        <f>$J$6</f>
        <v>oliva</v>
      </c>
      <c r="D522" s="184">
        <v>349794</v>
      </c>
      <c r="E522" s="52" t="str">
        <f>+VLOOKUP(A522,cennik!$A:$G,2,FALSE)</f>
        <v>SEVROLL 04511 Era úchytová lišta 18mm 2,70m oliva</v>
      </c>
      <c r="F522" s="52" t="str">
        <f>+VLOOKUP(A522,cennik!A:B,2,FALSE)</f>
        <v>SEVROLL 04511 Era úchytová lišta 18mm 2,70m oliva</v>
      </c>
      <c r="I522" s="1" t="str">
        <f>$J$6</f>
        <v>oliva</v>
      </c>
      <c r="Z522" s="1" t="b">
        <f t="shared" si="69"/>
        <v>1</v>
      </c>
    </row>
    <row r="523" spans="1:26" ht="15" customHeight="1" x14ac:dyDescent="0.25">
      <c r="A523"/>
      <c r="B523" s="176" t="s">
        <v>1006</v>
      </c>
      <c r="D523"/>
      <c r="E523" s="52"/>
      <c r="F523" s="52"/>
      <c r="Z523" s="1" t="b">
        <f t="shared" si="69"/>
        <v>1</v>
      </c>
    </row>
    <row r="524" spans="1:26" ht="15" customHeight="1" x14ac:dyDescent="0.25">
      <c r="A524" s="184">
        <v>341559</v>
      </c>
      <c r="B524" s="52"/>
      <c r="C524" s="1" t="str">
        <f>$J$4</f>
        <v xml:space="preserve">strieborná </v>
      </c>
      <c r="D524" s="184">
        <v>341559</v>
      </c>
      <c r="E524" s="52" t="str">
        <f>+VLOOKUP(A524,cennik!$A:$G,2,FALSE)</f>
        <v>SEVROLL 04748 Rekord úchytová lišta 18mm 2,70m strieborná</v>
      </c>
      <c r="F524" s="52" t="str">
        <f>+VLOOKUP(A524,cennik!A:B,2,FALSE)</f>
        <v>SEVROLL 04748 Rekord úchytová lišta 18mm 2,70m strieborná</v>
      </c>
      <c r="I524" s="1" t="str">
        <f>$J$4</f>
        <v xml:space="preserve">strieborná </v>
      </c>
      <c r="Z524" s="1" t="b">
        <f t="shared" si="69"/>
        <v>1</v>
      </c>
    </row>
    <row r="525" spans="1:26" ht="15" customHeight="1" x14ac:dyDescent="0.25">
      <c r="A525" s="184">
        <v>488247</v>
      </c>
      <c r="B525" s="52"/>
      <c r="C525" s="1" t="str">
        <f>$J$17</f>
        <v>čierna mat</v>
      </c>
      <c r="D525" s="184">
        <v>488247</v>
      </c>
      <c r="E525" s="52" t="str">
        <f>+VLOOKUP(A525,cennik!$A:$G,2,FALSE)</f>
        <v>SEVROLL 05909 Rekord úchytová lišta 18mm 2,70m čierna mat</v>
      </c>
      <c r="F525" s="52" t="str">
        <f>+VLOOKUP(A525,cennik!A:B,2,FALSE)</f>
        <v>SEVROLL 05909 Rekord úchytová lišta 18mm 2,70m čierna mat</v>
      </c>
      <c r="Z525" s="1" t="b">
        <f t="shared" si="69"/>
        <v>1</v>
      </c>
    </row>
    <row r="526" spans="1:26" s="559" customFormat="1" ht="15" customHeight="1" x14ac:dyDescent="0.25">
      <c r="A526" s="184">
        <v>341560</v>
      </c>
      <c r="B526" s="52"/>
      <c r="C526" s="1" t="str">
        <f>$J$6</f>
        <v>oliva</v>
      </c>
      <c r="D526" s="184">
        <v>341560</v>
      </c>
      <c r="E526" s="52" t="str">
        <f>+VLOOKUP(A526,cennik!$A:$G,2,FALSE)</f>
        <v>SEVROLL 04747 Rekord úchytová lišta 18mm 2,70m oliva</v>
      </c>
      <c r="F526" s="52" t="str">
        <f>+VLOOKUP(A526,cennik!A:B,2,FALSE)</f>
        <v>SEVROLL 04747 Rekord úchytová lišta 18mm 2,70m oliva</v>
      </c>
      <c r="G526" s="1"/>
      <c r="H526" s="1"/>
      <c r="I526" s="1" t="str">
        <f>$J$6</f>
        <v>oliva</v>
      </c>
      <c r="Z526" s="1" t="b">
        <f t="shared" si="69"/>
        <v>1</v>
      </c>
    </row>
    <row r="527" spans="1:26" s="559" customFormat="1" ht="15" customHeight="1" x14ac:dyDescent="0.25">
      <c r="A527" s="184"/>
      <c r="B527" s="52"/>
      <c r="C527" s="1"/>
      <c r="D527" s="184"/>
      <c r="E527" s="52"/>
      <c r="F527" s="52"/>
      <c r="G527" s="1"/>
      <c r="H527" s="1"/>
      <c r="I527" s="1"/>
      <c r="Z527" s="1" t="b">
        <f t="shared" si="69"/>
        <v>1</v>
      </c>
    </row>
    <row r="528" spans="1:26" s="559" customFormat="1" ht="15" customHeight="1" x14ac:dyDescent="0.25">
      <c r="A528" s="561">
        <v>222788</v>
      </c>
      <c r="B528" s="562" t="s">
        <v>722</v>
      </c>
      <c r="C528" s="559" t="str">
        <f>$J$4</f>
        <v xml:space="preserve">strieborná </v>
      </c>
      <c r="D528" s="561">
        <v>222788</v>
      </c>
      <c r="E528" s="560" t="str">
        <f>+VLOOKUP(A528,cennik!$A:$G,2,FALSE)</f>
        <v>SEVROLL 04530 Alfa II úchytová lišta 18mm 2,70m strieborná</v>
      </c>
      <c r="F528" s="560" t="str">
        <f>+VLOOKUP(A528,cennik!A:B,2,FALSE)</f>
        <v>SEVROLL 04530 Alfa II úchytová lišta 18mm 2,70m strieborná</v>
      </c>
      <c r="I528" s="559" t="str">
        <f>$J$4</f>
        <v xml:space="preserve">strieborná </v>
      </c>
      <c r="Z528" s="1" t="b">
        <f t="shared" si="69"/>
        <v>1</v>
      </c>
    </row>
    <row r="529" spans="1:26" s="559" customFormat="1" ht="15" customHeight="1" x14ac:dyDescent="0.25">
      <c r="A529" s="561">
        <v>222789</v>
      </c>
      <c r="B529" s="560"/>
      <c r="C529" s="559" t="str">
        <f>$J$6</f>
        <v>oliva</v>
      </c>
      <c r="D529" s="561">
        <v>222789</v>
      </c>
      <c r="E529" s="560" t="str">
        <f>+VLOOKUP(A529,cennik!$A:$G,2,FALSE)</f>
        <v>SEVROLL 04529 Alfa II úchytová lišta 18mm 2,70m oliva</v>
      </c>
      <c r="F529" s="560" t="str">
        <f>+VLOOKUP(A529,cennik!A:B,2,FALSE)</f>
        <v>SEVROLL 04529 Alfa II úchytová lišta 18mm 2,70m oliva</v>
      </c>
      <c r="I529" s="559" t="str">
        <f>$J$6</f>
        <v>oliva</v>
      </c>
      <c r="Z529" s="1" t="b">
        <f t="shared" si="69"/>
        <v>1</v>
      </c>
    </row>
    <row r="530" spans="1:26" s="559" customFormat="1" ht="15" customHeight="1" x14ac:dyDescent="0.25">
      <c r="A530" s="561">
        <v>222787</v>
      </c>
      <c r="B530" s="560"/>
      <c r="C530" s="559" t="str">
        <f>$J$5</f>
        <v>zlatá</v>
      </c>
      <c r="D530" s="561">
        <v>222787</v>
      </c>
      <c r="E530" s="560" t="str">
        <f>+VLOOKUP(A530,cennik!$A:$G,2,FALSE)</f>
        <v>SEVROLL Alfa II úchytová lišta 18mm 2,7m zlatá</v>
      </c>
      <c r="F530" s="560" t="str">
        <f>+VLOOKUP(A530,cennik!A:B,2,FALSE)</f>
        <v>SEVROLL Alfa II úchytová lišta 18mm 2,7m zlatá</v>
      </c>
      <c r="I530" s="559" t="str">
        <f>$J$5</f>
        <v>zlatá</v>
      </c>
      <c r="Z530" s="1" t="b">
        <f t="shared" si="69"/>
        <v>1</v>
      </c>
    </row>
    <row r="531" spans="1:26" s="559" customFormat="1" ht="15" customHeight="1" x14ac:dyDescent="0.25">
      <c r="A531" s="561">
        <v>276730</v>
      </c>
      <c r="B531" s="560"/>
      <c r="C531" s="559" t="str">
        <f>$J$15</f>
        <v>biela lesk</v>
      </c>
      <c r="D531" s="561">
        <v>276730</v>
      </c>
      <c r="E531" s="560" t="str">
        <f>+VLOOKUP(A531,cennik!$A:$G,2,FALSE)</f>
        <v>SEVROLL 04532 Alfa II úchytová lišta 18mm 2,7m biela lesk</v>
      </c>
      <c r="F531" s="560" t="str">
        <f>+VLOOKUP(A531,cennik!A:B,2,FALSE)</f>
        <v>SEVROLL 04532 Alfa II úchytová lišta 18mm 2,7m biela lesk</v>
      </c>
      <c r="I531" s="559" t="str">
        <f>$J$15</f>
        <v>biela lesk</v>
      </c>
      <c r="Z531" s="1" t="b">
        <f t="shared" ref="Z531:Z594" si="70">A531=D531</f>
        <v>1</v>
      </c>
    </row>
    <row r="532" spans="1:26" s="559" customFormat="1" ht="15" customHeight="1" x14ac:dyDescent="0.25">
      <c r="A532" s="2">
        <v>395495</v>
      </c>
      <c r="B532" s="1"/>
      <c r="C532" s="1" t="str">
        <f>$J$16</f>
        <v>čierna lesk</v>
      </c>
      <c r="D532" s="2">
        <v>395495</v>
      </c>
      <c r="E532" s="52" t="str">
        <f>+VLOOKUP(A532,cennik!$A:$G,2,FALSE)</f>
        <v>SEVROLL 05152 Alfa II úchytová lišta 18mm 2,7m čierna lesk</v>
      </c>
      <c r="F532" s="52" t="str">
        <f>+VLOOKUP(A532,cennik!A:B,2,FALSE)</f>
        <v>SEVROLL 05152 Alfa II úchytová lišta 18mm 2,7m čierna lesk</v>
      </c>
      <c r="G532" s="1"/>
      <c r="H532" s="1"/>
      <c r="I532" s="1" t="str">
        <f>$J$16</f>
        <v>čierna lesk</v>
      </c>
      <c r="Z532" s="1" t="b">
        <f t="shared" si="70"/>
        <v>1</v>
      </c>
    </row>
    <row r="533" spans="1:26" s="559" customFormat="1" ht="15" customHeight="1" x14ac:dyDescent="0.25">
      <c r="A533" s="2">
        <v>494667</v>
      </c>
      <c r="B533" s="1"/>
      <c r="C533" s="1" t="str">
        <f>$J$12</f>
        <v>grafit</v>
      </c>
      <c r="D533" s="2">
        <v>494667</v>
      </c>
      <c r="E533" s="52" t="str">
        <f>+VLOOKUP(A533,cennik!$A:$G,2,FALSE)</f>
        <v>SEVROLL 06053 Alfa II úchytová lišta 18mm 2,7m grafit</v>
      </c>
      <c r="F533" s="52" t="str">
        <f>+VLOOKUP(A533,cennik!A:B,2,FALSE)</f>
        <v>SEVROLL 06053 Alfa II úchytová lišta 18mm 2,7m grafit</v>
      </c>
      <c r="G533" s="1"/>
      <c r="H533" s="1"/>
      <c r="I533" s="1"/>
      <c r="Z533" s="1" t="b">
        <f t="shared" si="70"/>
        <v>1</v>
      </c>
    </row>
    <row r="534" spans="1:26" ht="15" customHeight="1" x14ac:dyDescent="0.25">
      <c r="A534" s="1">
        <v>288252</v>
      </c>
      <c r="C534" s="1" t="str">
        <f>$J$17</f>
        <v>čierna mat</v>
      </c>
      <c r="D534" s="1">
        <v>288252</v>
      </c>
      <c r="E534" s="52" t="str">
        <f>+VLOOKUP(A534,cennik!$A:$G,2,FALSE)</f>
        <v>SEVROLL 05305 Alfa II úchytová lišta 18mm 2,7m čierna mat</v>
      </c>
      <c r="F534" s="52" t="str">
        <f>+VLOOKUP(A534,cennik!A:B,2,FALSE)</f>
        <v>SEVROLL 05305 Alfa II úchytová lišta 18mm 2,7m čierna mat</v>
      </c>
      <c r="I534" s="1" t="str">
        <f>$J$17</f>
        <v>čierna mat</v>
      </c>
      <c r="Z534" s="1" t="b">
        <f t="shared" si="70"/>
        <v>1</v>
      </c>
    </row>
    <row r="535" spans="1:26" ht="15" customHeight="1" x14ac:dyDescent="0.25">
      <c r="A535" s="558">
        <v>394791</v>
      </c>
      <c r="B535" s="559"/>
      <c r="C535" s="559" t="str">
        <f>$J$18</f>
        <v>biela mat</v>
      </c>
      <c r="D535" s="558">
        <v>394791</v>
      </c>
      <c r="E535" s="560" t="str">
        <f>+VLOOKUP(A535,cennik!$A:$G,2,FALSE)</f>
        <v>SEVROLL 05153 Alfa II úchytová lišta 18mm 2,7m biela mat</v>
      </c>
      <c r="F535" s="560" t="str">
        <f>+VLOOKUP(A535,cennik!A:B,2,FALSE)</f>
        <v>SEVROLL 05153 Alfa II úchytová lišta 18mm 2,7m biela mat</v>
      </c>
      <c r="G535" s="559"/>
      <c r="H535" s="559"/>
      <c r="I535" s="559" t="str">
        <f>$J$18</f>
        <v>biela mat</v>
      </c>
      <c r="Z535" s="1" t="b">
        <f t="shared" si="70"/>
        <v>1</v>
      </c>
    </row>
    <row r="536" spans="1:26" ht="15" customHeight="1" x14ac:dyDescent="0.25">
      <c r="A536" s="53"/>
      <c r="B536" s="52"/>
      <c r="D536" s="53"/>
      <c r="E536" s="52"/>
      <c r="F536" s="52"/>
      <c r="Z536" s="1" t="b">
        <f t="shared" si="70"/>
        <v>1</v>
      </c>
    </row>
    <row r="537" spans="1:26" ht="15" customHeight="1" x14ac:dyDescent="0.25">
      <c r="A537" s="53">
        <v>89010</v>
      </c>
      <c r="B537" s="52" t="s">
        <v>34</v>
      </c>
      <c r="C537" s="1" t="str">
        <f>$J$4</f>
        <v xml:space="preserve">strieborná </v>
      </c>
      <c r="D537" s="53">
        <v>89010</v>
      </c>
      <c r="E537" s="52" t="str">
        <f>+VLOOKUP(A537,cennik!$A:$G,2,FALSE)</f>
        <v>SEVROLL 00215 spojovacia lišta H18 3m strieborná</v>
      </c>
      <c r="F537" s="52" t="str">
        <f>+VLOOKUP(A537,cennik!A:B,2,FALSE)</f>
        <v>SEVROLL 00215 spojovacia lišta H18 3m strieborná</v>
      </c>
      <c r="G537" s="1" t="e">
        <f>+VLOOKUP(A537,#REF!,4,FALSE)</f>
        <v>#REF!</v>
      </c>
      <c r="I537" s="1" t="str">
        <f>$J$4</f>
        <v xml:space="preserve">strieborná </v>
      </c>
      <c r="Z537" s="1" t="b">
        <f t="shared" si="70"/>
        <v>1</v>
      </c>
    </row>
    <row r="538" spans="1:26" ht="15" customHeight="1" x14ac:dyDescent="0.25">
      <c r="A538" s="53">
        <v>89012</v>
      </c>
      <c r="B538" s="52"/>
      <c r="C538" s="1" t="str">
        <f>$J$6</f>
        <v>oliva</v>
      </c>
      <c r="D538" s="53">
        <v>89012</v>
      </c>
      <c r="E538" s="52" t="str">
        <f>+VLOOKUP(A538,cennik!$A:$G,2,FALSE)</f>
        <v>SEVROLL spojovacia lišta H18 3m oliva</v>
      </c>
      <c r="F538" s="52" t="str">
        <f>+VLOOKUP(A538,cennik!A:B,2,FALSE)</f>
        <v>SEVROLL spojovacia lišta H18 3m oliva</v>
      </c>
      <c r="G538" s="1" t="e">
        <f>+VLOOKUP(A538,#REF!,4,FALSE)</f>
        <v>#REF!</v>
      </c>
      <c r="I538" s="1" t="str">
        <f>$J$6</f>
        <v>oliva</v>
      </c>
      <c r="Z538" s="1" t="b">
        <f t="shared" si="70"/>
        <v>1</v>
      </c>
    </row>
    <row r="539" spans="1:26" ht="15" customHeight="1" x14ac:dyDescent="0.25">
      <c r="A539" s="53">
        <v>89011</v>
      </c>
      <c r="B539" s="52"/>
      <c r="C539" s="1" t="str">
        <f>$J$5</f>
        <v>zlatá</v>
      </c>
      <c r="D539" s="53">
        <v>89011</v>
      </c>
      <c r="E539" s="52" t="str">
        <f>+VLOOKUP(A539,cennik!$A:$G,2,FALSE)</f>
        <v>SEVROLL 00216 spojovacia lišta H18 3m zlatá</v>
      </c>
      <c r="F539" s="52" t="str">
        <f>+VLOOKUP(A539,cennik!A:B,2,FALSE)</f>
        <v>SEVROLL 00216 spojovacia lišta H18 3m zlatá</v>
      </c>
      <c r="G539" s="1" t="e">
        <f>+VLOOKUP(A539,#REF!,4,FALSE)</f>
        <v>#REF!</v>
      </c>
      <c r="I539" s="1" t="str">
        <f>$J$5</f>
        <v>zlatá</v>
      </c>
      <c r="Z539" s="1" t="b">
        <f t="shared" si="70"/>
        <v>1</v>
      </c>
    </row>
    <row r="540" spans="1:26" ht="15" customHeight="1" x14ac:dyDescent="0.25">
      <c r="A540" s="53">
        <v>191704</v>
      </c>
      <c r="B540" s="52"/>
      <c r="C540" s="1" t="str">
        <f>$J$7</f>
        <v>oliva kartáčovaná</v>
      </c>
      <c r="D540" s="53">
        <v>191704</v>
      </c>
      <c r="E540" s="52" t="str">
        <f>+VLOOKUP(A540,cennik!$A:$G,2,FALSE)</f>
        <v>SEVROLL spojovacia lišta H18 3m oliva kartáč</v>
      </c>
      <c r="F540" s="52" t="str">
        <f>+VLOOKUP(A540,cennik!A:B,2,FALSE)</f>
        <v>SEVROLL spojovacia lišta H18 3m oliva kartáč</v>
      </c>
      <c r="I540" s="1" t="str">
        <f>$J$7</f>
        <v>oliva kartáčovaná</v>
      </c>
      <c r="Z540" s="1" t="b">
        <f t="shared" si="70"/>
        <v>1</v>
      </c>
    </row>
    <row r="541" spans="1:26" ht="15" customHeight="1" x14ac:dyDescent="0.25">
      <c r="A541" s="53">
        <v>223332</v>
      </c>
      <c r="B541" s="52"/>
      <c r="C541" s="1" t="str">
        <f>$J$8</f>
        <v>kart. tm. oliva</v>
      </c>
      <c r="D541" s="53">
        <v>223332</v>
      </c>
      <c r="E541" s="52" t="str">
        <f>+VLOOKUP(A541,cennik!$A:$G,2,FALSE)</f>
        <v>SEVROLL spoj.lišta H18 3m oliva tm.kartáč</v>
      </c>
      <c r="F541" s="52" t="str">
        <f>+VLOOKUP(A541,cennik!A:B,2,FALSE)</f>
        <v>SEVROLL spoj.lišta H18 3m oliva tm.kartáč</v>
      </c>
      <c r="I541" s="1" t="str">
        <f>$J$8</f>
        <v>kart. tm. oliva</v>
      </c>
      <c r="Z541" s="1" t="b">
        <f t="shared" si="70"/>
        <v>1</v>
      </c>
    </row>
    <row r="542" spans="1:26" ht="15" customHeight="1" x14ac:dyDescent="0.25">
      <c r="A542" s="53">
        <v>223391</v>
      </c>
      <c r="B542" s="52"/>
      <c r="C542" s="1" t="str">
        <f>$J$9</f>
        <v>kart. čierna</v>
      </c>
      <c r="D542" s="53">
        <v>223391</v>
      </c>
      <c r="E542" s="52" t="str">
        <f>+VLOOKUP(A542,cennik!$A:$G,2,FALSE)</f>
        <v>SEVROLL spoj.lišta H18 3m čierna kartáč</v>
      </c>
      <c r="F542" s="52" t="str">
        <f>+VLOOKUP(A542,cennik!A:B,2,FALSE)</f>
        <v>SEVROLL spoj.lišta H18 3m čierna kartáč</v>
      </c>
      <c r="I542" s="1" t="str">
        <f>$J$9</f>
        <v>kart. čierna</v>
      </c>
      <c r="Z542" s="1" t="b">
        <f t="shared" si="70"/>
        <v>1</v>
      </c>
    </row>
    <row r="543" spans="1:26" ht="15" customHeight="1" x14ac:dyDescent="0.25">
      <c r="A543" s="2">
        <v>405392</v>
      </c>
      <c r="C543" s="1" t="str">
        <f>$J$16</f>
        <v>čierna lesk</v>
      </c>
      <c r="D543" s="2">
        <v>405392</v>
      </c>
      <c r="E543" s="52" t="str">
        <f>+VLOOKUP(A543,cennik!$A:$G,2,FALSE)</f>
        <v>SEVROLL 05294 spojovacia lišta H18 3m čierna lesk</v>
      </c>
      <c r="F543" s="52" t="str">
        <f>+VLOOKUP(A543,cennik!A:B,2,FALSE)</f>
        <v>SEVROLL 05294 spojovacia lišta H18 3m čierna lesk</v>
      </c>
      <c r="I543" s="1" t="str">
        <f>$J$16</f>
        <v>čierna lesk</v>
      </c>
      <c r="Z543" s="1" t="b">
        <f t="shared" si="70"/>
        <v>1</v>
      </c>
    </row>
    <row r="544" spans="1:26" ht="15" customHeight="1" x14ac:dyDescent="0.25">
      <c r="A544" s="2">
        <v>494727</v>
      </c>
      <c r="C544" s="1" t="str">
        <f>$J$12</f>
        <v>grafit</v>
      </c>
      <c r="D544" s="2">
        <v>494727</v>
      </c>
      <c r="E544" s="52" t="str">
        <f>+VLOOKUP(A544,cennik!$A:$G,2,FALSE)</f>
        <v>SEVROLL 06041 spojovacia lišta H18 3m grafit</v>
      </c>
      <c r="F544" s="52" t="str">
        <f>+VLOOKUP(A544,cennik!A:B,2,FALSE)</f>
        <v>SEVROLL 06041 spojovacia lišta H18 3m grafit</v>
      </c>
      <c r="I544" s="1" t="str">
        <f>$J$12</f>
        <v>grafit</v>
      </c>
      <c r="Z544" s="1" t="b">
        <f t="shared" si="70"/>
        <v>1</v>
      </c>
    </row>
    <row r="545" spans="1:26" ht="15" customHeight="1" x14ac:dyDescent="0.25">
      <c r="A545" s="1">
        <v>409683</v>
      </c>
      <c r="C545" s="1" t="str">
        <f>$J$17</f>
        <v>čierna mat</v>
      </c>
      <c r="D545" s="1">
        <v>409683</v>
      </c>
      <c r="E545" s="52" t="str">
        <f>+VLOOKUP(A545,cennik!$A:$G,2,FALSE)</f>
        <v>SEVROLL 05304 spojovacia lišta H18 3m čierna mat</v>
      </c>
      <c r="F545" s="52" t="str">
        <f>+VLOOKUP(A545,cennik!A:B,2,FALSE)</f>
        <v>SEVROLL 05304 spojovacia lišta H18 3m čierna mat</v>
      </c>
      <c r="I545" s="1" t="str">
        <f>$J$17</f>
        <v>čierna mat</v>
      </c>
      <c r="Z545" s="1" t="b">
        <f t="shared" si="70"/>
        <v>1</v>
      </c>
    </row>
    <row r="546" spans="1:26" ht="15" customHeight="1" x14ac:dyDescent="0.25">
      <c r="A546" s="558">
        <v>406463</v>
      </c>
      <c r="B546" s="559"/>
      <c r="C546" s="559" t="str">
        <f>$J$18</f>
        <v>biela mat</v>
      </c>
      <c r="D546" s="558">
        <v>406463</v>
      </c>
      <c r="E546" s="560" t="str">
        <f>+VLOOKUP(A546,cennik!$A:$G,2,FALSE)</f>
        <v>SEVROLL 05293 spojovacia lišta H18 3m biela mat</v>
      </c>
      <c r="F546" s="560" t="str">
        <f>+VLOOKUP(A546,cennik!A:B,2,FALSE)</f>
        <v>SEVROLL 05293 spojovacia lišta H18 3m biela mat</v>
      </c>
      <c r="G546" s="559"/>
      <c r="H546" s="559"/>
      <c r="I546" s="559" t="str">
        <f>$J$18</f>
        <v>biela mat</v>
      </c>
      <c r="Z546" s="1" t="b">
        <f t="shared" si="70"/>
        <v>1</v>
      </c>
    </row>
    <row r="547" spans="1:26" ht="15" customHeight="1" x14ac:dyDescent="0.25">
      <c r="A547" s="53">
        <v>252567</v>
      </c>
      <c r="B547" s="52"/>
      <c r="C547" s="1" t="str">
        <f>$J$15</f>
        <v>biela lesk</v>
      </c>
      <c r="D547" s="53">
        <v>252567</v>
      </c>
      <c r="E547" s="52" t="str">
        <f>+VLOOKUP(A547,cennik!$A:$G,2,FALSE)</f>
        <v>SEVROLL 04051 spojovacia lišta H18 3m biela lesk</v>
      </c>
      <c r="F547" s="52" t="str">
        <f>+VLOOKUP(A547,cennik!A:B,2,FALSE)</f>
        <v>SEVROLL 04051 spojovacia lišta H18 3m biela lesk</v>
      </c>
      <c r="I547" s="1" t="str">
        <f>$J$15</f>
        <v>biela lesk</v>
      </c>
      <c r="Z547" s="1" t="b">
        <f t="shared" si="70"/>
        <v>1</v>
      </c>
    </row>
    <row r="548" spans="1:26" ht="15" customHeight="1" x14ac:dyDescent="0.25">
      <c r="A548" s="53">
        <v>89188</v>
      </c>
      <c r="B548" s="52" t="s">
        <v>35</v>
      </c>
      <c r="C548" s="1" t="str">
        <f>$J$4</f>
        <v xml:space="preserve">strieborná </v>
      </c>
      <c r="D548" s="53">
        <v>89188</v>
      </c>
      <c r="E548" s="52" t="str">
        <f>+VLOOKUP(A548,cennik!$A:$G,2,FALSE)</f>
        <v>SEVROLL spojovaciá lišta "T" 3m strieborná</v>
      </c>
      <c r="F548" s="52" t="str">
        <f>+VLOOKUP(A548,cennik!A:B,2,FALSE)</f>
        <v>SEVROLL spojovaciá lišta "T" 3m strieborná</v>
      </c>
      <c r="G548" s="1" t="e">
        <f>+VLOOKUP(A548,#REF!,4,FALSE)</f>
        <v>#REF!</v>
      </c>
      <c r="I548" s="1" t="str">
        <f>$J$4</f>
        <v xml:space="preserve">strieborná </v>
      </c>
      <c r="Z548" s="1" t="b">
        <f t="shared" si="70"/>
        <v>1</v>
      </c>
    </row>
    <row r="549" spans="1:26" ht="15" customHeight="1" x14ac:dyDescent="0.25">
      <c r="A549" s="53">
        <v>89187</v>
      </c>
      <c r="B549" s="52"/>
      <c r="C549" s="1" t="str">
        <f>$J$6</f>
        <v>oliva</v>
      </c>
      <c r="D549" s="53">
        <v>89187</v>
      </c>
      <c r="E549" s="52" t="str">
        <f>+VLOOKUP(A549,cennik!$A:$G,2,FALSE)</f>
        <v>SEVROLL spojovaciá lišta "T" 3m oliva</v>
      </c>
      <c r="F549" s="52" t="str">
        <f>+VLOOKUP(A549,cennik!A:B,2,FALSE)</f>
        <v>SEVROLL spojovaciá lišta "T" 3m oliva</v>
      </c>
      <c r="G549" s="1" t="e">
        <f>+VLOOKUP(A549,#REF!,4,FALSE)</f>
        <v>#REF!</v>
      </c>
      <c r="I549" s="1" t="str">
        <f>$J$6</f>
        <v>oliva</v>
      </c>
      <c r="Z549" s="1" t="b">
        <f t="shared" si="70"/>
        <v>1</v>
      </c>
    </row>
    <row r="550" spans="1:26" ht="15" customHeight="1" x14ac:dyDescent="0.25">
      <c r="A550" s="53" t="s">
        <v>117</v>
      </c>
      <c r="B550" s="52"/>
      <c r="C550" s="1" t="str">
        <f>$J$5</f>
        <v>zlatá</v>
      </c>
      <c r="D550" s="53" t="s">
        <v>117</v>
      </c>
      <c r="E550" s="52" t="e">
        <f>+VLOOKUP(A550,cennik!$A:$G,2,FALSE)</f>
        <v>#N/A</v>
      </c>
      <c r="F550" s="52" t="e">
        <f>+VLOOKUP(A550,cennik!A:B,2,FALSE)</f>
        <v>#N/A</v>
      </c>
      <c r="G550" s="1" t="e">
        <f>+VLOOKUP(A550,#REF!,4,FALSE)</f>
        <v>#REF!</v>
      </c>
      <c r="I550" s="1" t="str">
        <f>$J$5</f>
        <v>zlatá</v>
      </c>
      <c r="Z550" s="1" t="b">
        <f t="shared" si="70"/>
        <v>1</v>
      </c>
    </row>
    <row r="551" spans="1:26" ht="15" customHeight="1" x14ac:dyDescent="0.25">
      <c r="A551" s="53" t="s">
        <v>117</v>
      </c>
      <c r="B551" s="52"/>
      <c r="C551" s="1" t="str">
        <f>$J$7</f>
        <v>oliva kartáčovaná</v>
      </c>
      <c r="D551" s="53" t="s">
        <v>117</v>
      </c>
      <c r="E551" s="52" t="e">
        <f>+VLOOKUP(A551,cennik!$A:$G,2,FALSE)</f>
        <v>#N/A</v>
      </c>
      <c r="F551" s="52" t="e">
        <f>+VLOOKUP(A551,cennik!A:B,2,FALSE)</f>
        <v>#N/A</v>
      </c>
      <c r="I551" s="1" t="str">
        <f>$J$7</f>
        <v>oliva kartáčovaná</v>
      </c>
      <c r="Z551" s="1" t="b">
        <f t="shared" si="70"/>
        <v>1</v>
      </c>
    </row>
    <row r="552" spans="1:26" ht="15" customHeight="1" x14ac:dyDescent="0.25">
      <c r="A552" s="53" t="s">
        <v>117</v>
      </c>
      <c r="B552" s="52"/>
      <c r="C552" s="1" t="str">
        <f>$J$8</f>
        <v>kart. tm. oliva</v>
      </c>
      <c r="D552" s="53" t="s">
        <v>117</v>
      </c>
      <c r="E552" s="52" t="e">
        <f>+VLOOKUP(A552,cennik!$A:$G,2,FALSE)</f>
        <v>#N/A</v>
      </c>
      <c r="F552" s="52" t="e">
        <f>+VLOOKUP(A552,cennik!A:B,2,FALSE)</f>
        <v>#N/A</v>
      </c>
      <c r="I552" s="1" t="str">
        <f>$J$8</f>
        <v>kart. tm. oliva</v>
      </c>
      <c r="Z552" s="1" t="b">
        <f t="shared" si="70"/>
        <v>1</v>
      </c>
    </row>
    <row r="553" spans="1:26" ht="15" customHeight="1" x14ac:dyDescent="0.25">
      <c r="A553" s="53" t="s">
        <v>117</v>
      </c>
      <c r="B553" s="52"/>
      <c r="C553" s="1" t="str">
        <f>$J$9</f>
        <v>kart. čierna</v>
      </c>
      <c r="D553" s="53" t="s">
        <v>117</v>
      </c>
      <c r="E553" s="52" t="e">
        <f>+VLOOKUP(A553,cennik!$A:$G,2,FALSE)</f>
        <v>#N/A</v>
      </c>
      <c r="F553" s="52" t="e">
        <f>+VLOOKUP(A553,cennik!A:B,2,FALSE)</f>
        <v>#N/A</v>
      </c>
      <c r="I553" s="1" t="str">
        <f>$J$9</f>
        <v>kart. čierna</v>
      </c>
      <c r="Z553" s="1" t="b">
        <f t="shared" si="70"/>
        <v>1</v>
      </c>
    </row>
    <row r="554" spans="1:26" ht="15" customHeight="1" x14ac:dyDescent="0.25">
      <c r="A554" s="53" t="s">
        <v>117</v>
      </c>
      <c r="B554" s="559"/>
      <c r="C554" s="559" t="str">
        <f>$J$17</f>
        <v>čierna mat</v>
      </c>
      <c r="D554" s="53" t="s">
        <v>117</v>
      </c>
      <c r="E554" s="560" t="e">
        <f>+VLOOKUP(A554,cennik!$A:$G,2,FALSE)</f>
        <v>#N/A</v>
      </c>
      <c r="F554" s="560" t="e">
        <f>+VLOOKUP(A554,cennik!A:B,2,FALSE)</f>
        <v>#N/A</v>
      </c>
      <c r="G554" s="559"/>
      <c r="H554" s="559"/>
      <c r="I554" s="559" t="str">
        <f>$J$17</f>
        <v>čierna mat</v>
      </c>
      <c r="Z554" s="1" t="b">
        <f t="shared" si="70"/>
        <v>1</v>
      </c>
    </row>
    <row r="555" spans="1:26" ht="15" customHeight="1" x14ac:dyDescent="0.25">
      <c r="A555" s="53" t="s">
        <v>117</v>
      </c>
      <c r="B555" s="559"/>
      <c r="C555" s="559" t="str">
        <f>$J$16</f>
        <v>čierna lesk</v>
      </c>
      <c r="D555" s="53" t="s">
        <v>117</v>
      </c>
      <c r="E555" s="560" t="e">
        <f>+VLOOKUP(A555,cennik!$A:$G,2,FALSE)</f>
        <v>#N/A</v>
      </c>
      <c r="F555" s="560" t="e">
        <f>+VLOOKUP(A555,cennik!A:B,2,FALSE)</f>
        <v>#N/A</v>
      </c>
      <c r="G555" s="559"/>
      <c r="H555" s="559"/>
      <c r="I555" s="559" t="str">
        <f>$J$16</f>
        <v>čierna lesk</v>
      </c>
      <c r="Z555" s="1" t="b">
        <f t="shared" si="70"/>
        <v>1</v>
      </c>
    </row>
    <row r="556" spans="1:26" ht="15" customHeight="1" x14ac:dyDescent="0.25">
      <c r="A556" s="53" t="s">
        <v>117</v>
      </c>
      <c r="B556" s="559"/>
      <c r="C556" s="559" t="str">
        <f>$J$18</f>
        <v>biela mat</v>
      </c>
      <c r="D556" s="53" t="s">
        <v>117</v>
      </c>
      <c r="E556" s="560" t="e">
        <f>+VLOOKUP(A556,cennik!$A:$G,2,FALSE)</f>
        <v>#N/A</v>
      </c>
      <c r="F556" s="560" t="e">
        <f>+VLOOKUP(A556,cennik!A:B,2,FALSE)</f>
        <v>#N/A</v>
      </c>
      <c r="G556" s="559"/>
      <c r="H556" s="559"/>
      <c r="I556" s="559" t="str">
        <f>$J$18</f>
        <v>biela mat</v>
      </c>
      <c r="Z556" s="1" t="b">
        <f t="shared" si="70"/>
        <v>1</v>
      </c>
    </row>
    <row r="557" spans="1:26" ht="15" customHeight="1" x14ac:dyDescent="0.25">
      <c r="A557" s="53" t="s">
        <v>117</v>
      </c>
      <c r="B557" s="52"/>
      <c r="C557" s="1" t="str">
        <f>$J$15</f>
        <v>biela lesk</v>
      </c>
      <c r="D557" s="53" t="s">
        <v>117</v>
      </c>
      <c r="E557" s="52" t="e">
        <f>+VLOOKUP(A557,cennik!$A:$G,2,FALSE)</f>
        <v>#N/A</v>
      </c>
      <c r="F557" s="52" t="e">
        <f>+VLOOKUP(A557,cennik!A:B,2,FALSE)</f>
        <v>#N/A</v>
      </c>
      <c r="I557" s="1" t="str">
        <f>$J$15</f>
        <v>biela lesk</v>
      </c>
      <c r="Z557" s="1" t="b">
        <f t="shared" si="70"/>
        <v>1</v>
      </c>
    </row>
    <row r="558" spans="1:26" ht="15" customHeight="1" x14ac:dyDescent="0.25">
      <c r="A558" s="53">
        <v>89013</v>
      </c>
      <c r="B558" s="176" t="s">
        <v>975</v>
      </c>
      <c r="C558" s="1" t="str">
        <f>$J$4</f>
        <v xml:space="preserve">strieborná </v>
      </c>
      <c r="D558" s="53">
        <v>89013</v>
      </c>
      <c r="E558" s="52" t="str">
        <f>+VLOOKUP(A558,cennik!$A:$G,2,FALSE)</f>
        <v>SEVROLL 01373 spojovacia lišta T Decor 3m strieborná</v>
      </c>
      <c r="F558" s="52" t="str">
        <f>+VLOOKUP(A558,cennik!A:B,2,FALSE)</f>
        <v>SEVROLL 01373 spojovacia lišta T Decor 3m strieborná</v>
      </c>
      <c r="G558" s="1" t="e">
        <f>+VLOOKUP(A558,#REF!,4,FALSE)</f>
        <v>#REF!</v>
      </c>
      <c r="I558" s="1" t="str">
        <f>$J$4</f>
        <v xml:space="preserve">strieborná </v>
      </c>
      <c r="Z558" s="1" t="b">
        <f t="shared" si="70"/>
        <v>1</v>
      </c>
    </row>
    <row r="559" spans="1:26" ht="15" customHeight="1" x14ac:dyDescent="0.25">
      <c r="A559" s="53">
        <v>89015</v>
      </c>
      <c r="B559" s="52"/>
      <c r="C559" s="1" t="str">
        <f>$J$6</f>
        <v>oliva</v>
      </c>
      <c r="D559" s="53">
        <v>89015</v>
      </c>
      <c r="E559" s="52" t="str">
        <f>+VLOOKUP(A559,cennik!$A:$G,2,FALSE)</f>
        <v>SEVROLL 01373 spojovacia lišta T Decor 3m oliva</v>
      </c>
      <c r="F559" s="52" t="str">
        <f>+VLOOKUP(A559,cennik!A:B,2,FALSE)</f>
        <v>SEVROLL 01373 spojovacia lišta T Decor 3m oliva</v>
      </c>
      <c r="G559" s="1" t="e">
        <f>+VLOOKUP(A559,#REF!,4,FALSE)</f>
        <v>#REF!</v>
      </c>
      <c r="I559" s="1" t="str">
        <f>$J$6</f>
        <v>oliva</v>
      </c>
      <c r="Z559" s="1" t="b">
        <f t="shared" si="70"/>
        <v>1</v>
      </c>
    </row>
    <row r="560" spans="1:26" ht="15" customHeight="1" x14ac:dyDescent="0.25">
      <c r="A560" s="53" t="s">
        <v>117</v>
      </c>
      <c r="B560" s="52"/>
      <c r="C560" s="1" t="str">
        <f>$J$5</f>
        <v>zlatá</v>
      </c>
      <c r="D560" s="53" t="s">
        <v>117</v>
      </c>
      <c r="E560" s="52" t="e">
        <f>+VLOOKUP(A560,cennik!$A:$G,2,FALSE)</f>
        <v>#N/A</v>
      </c>
      <c r="F560" s="52" t="e">
        <f>+VLOOKUP(A560,cennik!A:B,2,FALSE)</f>
        <v>#N/A</v>
      </c>
      <c r="G560" s="1" t="e">
        <f>+VLOOKUP(A560,#REF!,4,FALSE)</f>
        <v>#REF!</v>
      </c>
      <c r="I560" s="1" t="str">
        <f>$J$5</f>
        <v>zlatá</v>
      </c>
      <c r="Z560" s="1" t="b">
        <f t="shared" si="70"/>
        <v>1</v>
      </c>
    </row>
    <row r="561" spans="1:26" ht="15" customHeight="1" x14ac:dyDescent="0.25">
      <c r="A561" s="53" t="s">
        <v>117</v>
      </c>
      <c r="B561" s="52"/>
      <c r="C561" s="1" t="str">
        <f>$J$7</f>
        <v>oliva kartáčovaná</v>
      </c>
      <c r="D561" s="53" t="s">
        <v>117</v>
      </c>
      <c r="E561" s="52" t="e">
        <f>+VLOOKUP(A561,cennik!$A:$G,2,FALSE)</f>
        <v>#N/A</v>
      </c>
      <c r="F561" s="52" t="e">
        <f>+VLOOKUP(A561,cennik!A:B,2,FALSE)</f>
        <v>#N/A</v>
      </c>
      <c r="I561" s="1" t="str">
        <f>$J$7</f>
        <v>oliva kartáčovaná</v>
      </c>
      <c r="Z561" s="1" t="b">
        <f t="shared" si="70"/>
        <v>1</v>
      </c>
    </row>
    <row r="562" spans="1:26" ht="15" customHeight="1" x14ac:dyDescent="0.25">
      <c r="A562" s="53" t="s">
        <v>117</v>
      </c>
      <c r="B562" s="559"/>
      <c r="C562" s="559" t="str">
        <f>$J$17</f>
        <v>čierna mat</v>
      </c>
      <c r="D562" s="53" t="s">
        <v>117</v>
      </c>
      <c r="E562" s="560" t="e">
        <f>+VLOOKUP(A562,cennik!$A:$G,2,FALSE)</f>
        <v>#N/A</v>
      </c>
      <c r="F562" s="560" t="e">
        <f>+VLOOKUP(A562,cennik!A:B,2,FALSE)</f>
        <v>#N/A</v>
      </c>
      <c r="G562" s="559"/>
      <c r="H562" s="559"/>
      <c r="I562" s="559" t="str">
        <f>$J$17</f>
        <v>čierna mat</v>
      </c>
      <c r="Z562" s="1" t="b">
        <f t="shared" si="70"/>
        <v>1</v>
      </c>
    </row>
    <row r="563" spans="1:26" ht="15" customHeight="1" x14ac:dyDescent="0.25">
      <c r="A563" s="53" t="s">
        <v>117</v>
      </c>
      <c r="B563" s="559"/>
      <c r="C563" s="559" t="str">
        <f>$J$16</f>
        <v>čierna lesk</v>
      </c>
      <c r="D563" s="53" t="s">
        <v>117</v>
      </c>
      <c r="E563" s="560" t="e">
        <f>+VLOOKUP(A563,cennik!$A:$G,2,FALSE)</f>
        <v>#N/A</v>
      </c>
      <c r="F563" s="560" t="e">
        <f>+VLOOKUP(A563,cennik!A:B,2,FALSE)</f>
        <v>#N/A</v>
      </c>
      <c r="G563" s="559"/>
      <c r="H563" s="559"/>
      <c r="I563" s="559" t="str">
        <f>$J$16</f>
        <v>čierna lesk</v>
      </c>
      <c r="Z563" s="1" t="b">
        <f t="shared" si="70"/>
        <v>1</v>
      </c>
    </row>
    <row r="564" spans="1:26" ht="15" customHeight="1" x14ac:dyDescent="0.25">
      <c r="A564" s="53" t="s">
        <v>117</v>
      </c>
      <c r="B564" s="52"/>
      <c r="C564" s="1" t="str">
        <f>$J$8</f>
        <v>kart. tm. oliva</v>
      </c>
      <c r="D564" s="53" t="s">
        <v>117</v>
      </c>
      <c r="E564" s="52" t="e">
        <f>+VLOOKUP(A564,cennik!$A:$G,2,FALSE)</f>
        <v>#N/A</v>
      </c>
      <c r="F564" s="52" t="e">
        <f>+VLOOKUP(A564,cennik!A:B,2,FALSE)</f>
        <v>#N/A</v>
      </c>
      <c r="I564" s="1" t="str">
        <f>$J$8</f>
        <v>kart. tm. oliva</v>
      </c>
      <c r="Z564" s="1" t="b">
        <f t="shared" si="70"/>
        <v>1</v>
      </c>
    </row>
    <row r="565" spans="1:26" ht="15" customHeight="1" x14ac:dyDescent="0.25">
      <c r="A565" s="53" t="s">
        <v>117</v>
      </c>
      <c r="B565" s="559"/>
      <c r="C565" s="559" t="str">
        <f>$J$18</f>
        <v>biela mat</v>
      </c>
      <c r="D565" s="53" t="s">
        <v>117</v>
      </c>
      <c r="E565" s="560" t="e">
        <f>+VLOOKUP(A565,cennik!$A:$G,2,FALSE)</f>
        <v>#N/A</v>
      </c>
      <c r="F565" s="560" t="e">
        <f>+VLOOKUP(A565,cennik!A:B,2,FALSE)</f>
        <v>#N/A</v>
      </c>
      <c r="G565" s="559"/>
      <c r="H565" s="559"/>
      <c r="I565" s="559" t="str">
        <f>$J$18</f>
        <v>biela mat</v>
      </c>
      <c r="Z565" s="1" t="b">
        <f t="shared" si="70"/>
        <v>1</v>
      </c>
    </row>
    <row r="566" spans="1:26" ht="15" customHeight="1" x14ac:dyDescent="0.25">
      <c r="A566" s="53" t="s">
        <v>117</v>
      </c>
      <c r="B566" s="52"/>
      <c r="C566" s="1" t="str">
        <f>$J$9</f>
        <v>kart. čierna</v>
      </c>
      <c r="D566" s="53" t="s">
        <v>117</v>
      </c>
      <c r="E566" s="52" t="e">
        <f>+VLOOKUP(A566,cennik!$A:$G,2,FALSE)</f>
        <v>#N/A</v>
      </c>
      <c r="F566" s="52" t="e">
        <f>+VLOOKUP(A566,cennik!A:B,2,FALSE)</f>
        <v>#N/A</v>
      </c>
      <c r="I566" s="1" t="str">
        <f>$J$9</f>
        <v>kart. čierna</v>
      </c>
      <c r="Z566" s="1" t="b">
        <f t="shared" si="70"/>
        <v>1</v>
      </c>
    </row>
    <row r="567" spans="1:26" ht="15" customHeight="1" x14ac:dyDescent="0.25">
      <c r="A567" s="53" t="s">
        <v>117</v>
      </c>
      <c r="B567" s="52"/>
      <c r="C567" s="1" t="str">
        <f>$J$15</f>
        <v>biela lesk</v>
      </c>
      <c r="D567" s="53" t="s">
        <v>117</v>
      </c>
      <c r="E567" s="52" t="e">
        <f>+VLOOKUP(A567,cennik!$A:$G,2,FALSE)</f>
        <v>#N/A</v>
      </c>
      <c r="F567" s="52" t="e">
        <f>+VLOOKUP(A567,cennik!A:B,2,FALSE)</f>
        <v>#N/A</v>
      </c>
      <c r="I567" s="1" t="str">
        <f>$J$15</f>
        <v>biela lesk</v>
      </c>
      <c r="Z567" s="1" t="b">
        <f t="shared" si="70"/>
        <v>1</v>
      </c>
    </row>
    <row r="568" spans="1:26" ht="15" customHeight="1" x14ac:dyDescent="0.25">
      <c r="A568" s="53">
        <v>89269</v>
      </c>
      <c r="B568" s="52" t="s">
        <v>47</v>
      </c>
      <c r="C568" s="1" t="str">
        <f>$J$4</f>
        <v xml:space="preserve">strieborná </v>
      </c>
      <c r="D568" s="53">
        <v>89269</v>
      </c>
      <c r="E568" s="52" t="str">
        <f>+VLOOKUP(A568,cennik!$A:$G,2,FALSE)</f>
        <v>SEVROLL profil "U" pre DTD 18mm 3m striebor</v>
      </c>
      <c r="F568" s="52" t="str">
        <f>+VLOOKUP(A568,cennik!A:B,2,FALSE)</f>
        <v>SEVROLL profil "U" pre DTD 18mm 3m striebor</v>
      </c>
      <c r="G568" s="1" t="e">
        <f>+VLOOKUP(A568,#REF!,4,FALSE)</f>
        <v>#REF!</v>
      </c>
      <c r="I568" s="1" t="str">
        <f>$J$4</f>
        <v xml:space="preserve">strieborná </v>
      </c>
      <c r="Z568" s="1" t="b">
        <f t="shared" si="70"/>
        <v>1</v>
      </c>
    </row>
    <row r="569" spans="1:26" ht="15" customHeight="1" x14ac:dyDescent="0.25">
      <c r="A569" s="53">
        <v>89268</v>
      </c>
      <c r="B569" s="52"/>
      <c r="C569" s="1" t="str">
        <f>$J$6</f>
        <v>oliva</v>
      </c>
      <c r="D569" s="53">
        <v>89268</v>
      </c>
      <c r="E569" s="52" t="str">
        <f>+VLOOKUP(A569,cennik!$A:$G,2,FALSE)</f>
        <v>SEVROLL 161 U PROFna DTD 18mm-3m, OLIVA</v>
      </c>
      <c r="F569" s="52" t="str">
        <f>+VLOOKUP(A569,cennik!A:B,2,FALSE)</f>
        <v>SEVROLL 161 U PROFna DTD 18mm-3m, OLIVA</v>
      </c>
      <c r="G569" s="1" t="e">
        <f>+VLOOKUP(A569,#REF!,4,FALSE)</f>
        <v>#REF!</v>
      </c>
      <c r="I569" s="1" t="str">
        <f>$J$6</f>
        <v>oliva</v>
      </c>
      <c r="Z569" s="1" t="b">
        <f t="shared" si="70"/>
        <v>1</v>
      </c>
    </row>
    <row r="570" spans="1:26" ht="15" customHeight="1" x14ac:dyDescent="0.25">
      <c r="A570" s="53">
        <v>89267</v>
      </c>
      <c r="B570" s="52"/>
      <c r="C570" s="1" t="str">
        <f>$J$5</f>
        <v>zlatá</v>
      </c>
      <c r="D570" s="53">
        <v>89267</v>
      </c>
      <c r="E570" s="52" t="str">
        <f>+VLOOKUP(A570,cennik!$A:$G,2,FALSE)</f>
        <v>SEVROLL profil "U" pre lamino 18mm 3m zlatá</v>
      </c>
      <c r="F570" s="52" t="str">
        <f>+VLOOKUP(A570,cennik!A:B,2,FALSE)</f>
        <v>SEVROLL profil "U" pre lamino 18mm 3m zlatá</v>
      </c>
      <c r="G570" s="1" t="e">
        <f>+VLOOKUP(A570,#REF!,4,FALSE)</f>
        <v>#REF!</v>
      </c>
      <c r="I570" s="1" t="str">
        <f>$J$5</f>
        <v>zlatá</v>
      </c>
      <c r="Z570" s="1" t="b">
        <f t="shared" si="70"/>
        <v>1</v>
      </c>
    </row>
    <row r="571" spans="1:26" ht="15" customHeight="1" x14ac:dyDescent="0.25">
      <c r="A571" s="53">
        <v>223341</v>
      </c>
      <c r="B571" s="52"/>
      <c r="C571" s="1" t="str">
        <f>$J$7</f>
        <v>oliva kartáčovaná</v>
      </c>
      <c r="D571" s="53">
        <v>223341</v>
      </c>
      <c r="E571" s="52" t="str">
        <f>+VLOOKUP(A571,cennik!$A:$G,2,FALSE)</f>
        <v>SEVROLL profil "U" 18mm 3m oliva kartáčovaná</v>
      </c>
      <c r="F571" s="52" t="str">
        <f>+VLOOKUP(A571,cennik!A:B,2,FALSE)</f>
        <v>SEVROLL profil "U" 18mm 3m oliva kartáčovaná</v>
      </c>
      <c r="G571" s="1" t="e">
        <f>+VLOOKUP(A571,#REF!,4,FALSE)</f>
        <v>#REF!</v>
      </c>
      <c r="I571" s="1" t="str">
        <f>$J$7</f>
        <v>oliva kartáčovaná</v>
      </c>
      <c r="Z571" s="1" t="b">
        <f t="shared" si="70"/>
        <v>1</v>
      </c>
    </row>
    <row r="572" spans="1:26" ht="15" customHeight="1" x14ac:dyDescent="0.25">
      <c r="A572" s="53">
        <v>223342</v>
      </c>
      <c r="B572" s="52"/>
      <c r="C572" s="1" t="str">
        <f>$J$8</f>
        <v>kart. tm. oliva</v>
      </c>
      <c r="D572" s="53">
        <v>223342</v>
      </c>
      <c r="E572" s="52" t="str">
        <f>+VLOOKUP(A572,cennik!$A:$G,2,FALSE)</f>
        <v>SEVROLL profil "U" 18mm 3m oliva tmavá kartáčovaná</v>
      </c>
      <c r="F572" s="52" t="str">
        <f>+VLOOKUP(A572,cennik!A:B,2,FALSE)</f>
        <v>SEVROLL profil "U" 18mm 3m oliva tmavá kartáčovaná</v>
      </c>
      <c r="I572" s="1" t="str">
        <f>$J$8</f>
        <v>kart. tm. oliva</v>
      </c>
      <c r="Z572" s="1" t="b">
        <f t="shared" si="70"/>
        <v>1</v>
      </c>
    </row>
    <row r="573" spans="1:26" ht="15" customHeight="1" x14ac:dyDescent="0.25">
      <c r="A573" s="53">
        <v>223343</v>
      </c>
      <c r="B573" s="52"/>
      <c r="C573" s="1" t="str">
        <f>$J$9</f>
        <v>kart. čierna</v>
      </c>
      <c r="D573" s="53">
        <v>223343</v>
      </c>
      <c r="E573" s="52" t="str">
        <f>+VLOOKUP(A573,cennik!$A:$G,2,FALSE)</f>
        <v>SEVROLL profil "U" 18mm 3m čierna kartáčovaná</v>
      </c>
      <c r="F573" s="52" t="str">
        <f>+VLOOKUP(A573,cennik!A:B,2,FALSE)</f>
        <v>SEVROLL profil "U" 18mm 3m čierna kartáčovaná</v>
      </c>
      <c r="I573" s="1" t="str">
        <f>$J$9</f>
        <v>kart. čierna</v>
      </c>
      <c r="Z573" s="1" t="b">
        <f t="shared" si="70"/>
        <v>1</v>
      </c>
    </row>
    <row r="574" spans="1:26" ht="15" customHeight="1" x14ac:dyDescent="0.25">
      <c r="A574" s="2">
        <v>405364</v>
      </c>
      <c r="C574" s="1" t="str">
        <f>$J$16</f>
        <v>čierna lesk</v>
      </c>
      <c r="D574" s="2">
        <v>405364</v>
      </c>
      <c r="E574" s="52" t="str">
        <f>+VLOOKUP(A574,cennik!$A:$G,2,FALSE)</f>
        <v>SEVROLL 05292 profil "U" pre lamino 18mm 3m čierna lesk</v>
      </c>
      <c r="F574" s="52" t="str">
        <f>+VLOOKUP(A574,cennik!A:B,2,FALSE)</f>
        <v>SEVROLL 05292 profil "U" pre lamino 18mm 3m čierna lesk</v>
      </c>
      <c r="I574" s="1" t="str">
        <f>$J$16</f>
        <v>čierna lesk</v>
      </c>
      <c r="Z574" s="1" t="b">
        <f t="shared" si="70"/>
        <v>1</v>
      </c>
    </row>
    <row r="575" spans="1:26" ht="15" customHeight="1" x14ac:dyDescent="0.25">
      <c r="A575" s="2">
        <v>494743</v>
      </c>
      <c r="C575" s="1" t="str">
        <f>$J$12</f>
        <v>grafit</v>
      </c>
      <c r="D575" s="2">
        <v>494743</v>
      </c>
      <c r="E575" s="52" t="str">
        <f>+VLOOKUP(A575,cennik!$A:$G,2,FALSE)</f>
        <v>SEVROLL 06033 profil "U" pre lamino 18mm 3m grafit</v>
      </c>
      <c r="F575" s="52" t="str">
        <f>+VLOOKUP(A575,cennik!A:B,2,FALSE)</f>
        <v>SEVROLL 06033 profil "U" pre lamino 18mm 3m grafit</v>
      </c>
      <c r="I575" s="1" t="str">
        <f>$J$12</f>
        <v>grafit</v>
      </c>
      <c r="Z575" s="1" t="b">
        <f t="shared" si="70"/>
        <v>1</v>
      </c>
    </row>
    <row r="576" spans="1:26" ht="15" customHeight="1" x14ac:dyDescent="0.25">
      <c r="A576" s="2">
        <v>422013</v>
      </c>
      <c r="C576" s="1" t="str">
        <f>$J$17</f>
        <v>čierna mat</v>
      </c>
      <c r="D576" s="2">
        <v>422013</v>
      </c>
      <c r="E576" s="52" t="str">
        <f>+VLOOKUP(A576,cennik!$A:$G,2,FALSE)</f>
        <v>SEVROLL profil "U" pro lamino 18mm 3m čierna mat</v>
      </c>
      <c r="F576" s="52" t="str">
        <f>+VLOOKUP(A576,cennik!A:B,2,FALSE)</f>
        <v>SEVROLL profil "U" pro lamino 18mm 3m čierna mat</v>
      </c>
      <c r="I576" s="1" t="str">
        <f>$J$16</f>
        <v>čierna lesk</v>
      </c>
      <c r="Z576" s="1" t="b">
        <f t="shared" si="70"/>
        <v>1</v>
      </c>
    </row>
    <row r="577" spans="1:26" ht="15" customHeight="1" x14ac:dyDescent="0.25">
      <c r="A577" s="558">
        <v>406464</v>
      </c>
      <c r="B577" s="559"/>
      <c r="C577" s="559" t="str">
        <f>$J$18</f>
        <v>biela mat</v>
      </c>
      <c r="D577" s="558">
        <v>406464</v>
      </c>
      <c r="E577" s="560" t="str">
        <f>+VLOOKUP(A577,cennik!$A:$G,2,FALSE)</f>
        <v>SEVROLL 05291 profil "U" pre lamino 18mm 3m biela mat</v>
      </c>
      <c r="F577" s="560" t="str">
        <f>+VLOOKUP(A577,cennik!A:B,2,FALSE)</f>
        <v>SEVROLL 05291 profil "U" pre lamino 18mm 3m biela mat</v>
      </c>
      <c r="G577" s="559"/>
      <c r="H577" s="559"/>
      <c r="I577" s="559" t="str">
        <f>$J$18</f>
        <v>biela mat</v>
      </c>
      <c r="Z577" s="1" t="b">
        <f t="shared" si="70"/>
        <v>1</v>
      </c>
    </row>
    <row r="578" spans="1:26" ht="15" customHeight="1" x14ac:dyDescent="0.25">
      <c r="A578" s="53">
        <v>360760</v>
      </c>
      <c r="B578" s="52"/>
      <c r="C578" s="1" t="str">
        <f>$J$15</f>
        <v>biela lesk</v>
      </c>
      <c r="D578" s="53">
        <v>360760</v>
      </c>
      <c r="E578" s="52" t="str">
        <f>+VLOOKUP(A578,cennik!$A:$G,2,FALSE)</f>
        <v>SEVROLL 04153 profil "U" pre lamino 18mm 3m biela lesk</v>
      </c>
      <c r="F578" s="52" t="str">
        <f>+VLOOKUP(A578,cennik!A:B,2,FALSE)</f>
        <v>SEVROLL 04153 profil "U" pre lamino 18mm 3m biela lesk</v>
      </c>
      <c r="I578" s="1" t="str">
        <f>$J$15</f>
        <v>biela lesk</v>
      </c>
      <c r="Z578" s="1" t="b">
        <f t="shared" si="70"/>
        <v>1</v>
      </c>
    </row>
    <row r="579" spans="1:26" ht="15" customHeight="1" x14ac:dyDescent="0.25">
      <c r="A579" s="53">
        <v>89016</v>
      </c>
      <c r="B579" s="176" t="s">
        <v>976</v>
      </c>
      <c r="C579" s="1" t="str">
        <f>$J$4</f>
        <v xml:space="preserve">strieborná </v>
      </c>
      <c r="D579" s="53">
        <v>89016</v>
      </c>
      <c r="E579" s="52" t="str">
        <f>+VLOOKUP(A579,cennik!$A:$G,2,FALSE)</f>
        <v>SEVROL 00036L profil "U" Decor 18mm 3m strieborná</v>
      </c>
      <c r="F579" s="52" t="str">
        <f>+VLOOKUP(A579,cennik!A:B,2,FALSE)</f>
        <v>SEVROL 00036L profil "U" Decor 18mm 3m strieborná</v>
      </c>
      <c r="G579" s="1" t="e">
        <f>+VLOOKUP(A579,#REF!,4,FALSE)</f>
        <v>#REF!</v>
      </c>
      <c r="I579" s="1" t="str">
        <f>$J$4</f>
        <v xml:space="preserve">strieborná </v>
      </c>
      <c r="Z579" s="1" t="b">
        <f t="shared" si="70"/>
        <v>1</v>
      </c>
    </row>
    <row r="580" spans="1:26" ht="15" customHeight="1" x14ac:dyDescent="0.25">
      <c r="A580" s="53">
        <v>89018</v>
      </c>
      <c r="B580" s="52"/>
      <c r="C580" s="1" t="str">
        <f>$J$6</f>
        <v>oliva</v>
      </c>
      <c r="D580" s="53">
        <v>89018</v>
      </c>
      <c r="E580" s="52" t="str">
        <f>+VLOOKUP(A580,cennik!$A:$G,2,FALSE)</f>
        <v>SEVROLL 00035 profil "U" Decor 18mm 3m oliva</v>
      </c>
      <c r="F580" s="52" t="str">
        <f>+VLOOKUP(A580,cennik!A:B,2,FALSE)</f>
        <v>SEVROLL 00035 profil "U" Decor 18mm 3m oliva</v>
      </c>
      <c r="G580" s="1" t="e">
        <f>+VLOOKUP(A580,#REF!,4,FALSE)</f>
        <v>#REF!</v>
      </c>
      <c r="I580" s="1" t="str">
        <f>$J$6</f>
        <v>oliva</v>
      </c>
      <c r="Z580" s="1" t="b">
        <f t="shared" si="70"/>
        <v>1</v>
      </c>
    </row>
    <row r="581" spans="1:26" ht="15" customHeight="1" x14ac:dyDescent="0.25">
      <c r="A581" s="53" t="s">
        <v>117</v>
      </c>
      <c r="B581" s="52"/>
      <c r="C581" s="1" t="str">
        <f>$J$7</f>
        <v>oliva kartáčovaná</v>
      </c>
      <c r="D581" s="53" t="s">
        <v>117</v>
      </c>
      <c r="E581" s="52" t="e">
        <f>+VLOOKUP(A581,cennik!$A:$G,2,FALSE)</f>
        <v>#N/A</v>
      </c>
      <c r="F581" s="52" t="e">
        <f>+VLOOKUP(A581,cennik!A:B,2,FALSE)</f>
        <v>#N/A</v>
      </c>
      <c r="G581" s="1" t="e">
        <f>+VLOOKUP(A581,#REF!,4,FALSE)</f>
        <v>#REF!</v>
      </c>
      <c r="I581" s="1" t="str">
        <f>$J$7</f>
        <v>oliva kartáčovaná</v>
      </c>
      <c r="Z581" s="1" t="b">
        <f t="shared" si="70"/>
        <v>1</v>
      </c>
    </row>
    <row r="582" spans="1:26" ht="15" customHeight="1" x14ac:dyDescent="0.25">
      <c r="A582" s="53" t="s">
        <v>117</v>
      </c>
      <c r="B582" s="52"/>
      <c r="C582" s="1" t="str">
        <f>$J$8</f>
        <v>kart. tm. oliva</v>
      </c>
      <c r="D582" s="53" t="s">
        <v>117</v>
      </c>
      <c r="E582" s="52" t="e">
        <f>+VLOOKUP(A582,cennik!$A:$G,2,FALSE)</f>
        <v>#N/A</v>
      </c>
      <c r="F582" s="52" t="e">
        <f>+VLOOKUP(A582,cennik!A:B,2,FALSE)</f>
        <v>#N/A</v>
      </c>
      <c r="I582" s="1" t="str">
        <f>$J$8</f>
        <v>kart. tm. oliva</v>
      </c>
      <c r="Z582" s="1" t="b">
        <f t="shared" si="70"/>
        <v>1</v>
      </c>
    </row>
    <row r="583" spans="1:26" ht="15" customHeight="1" x14ac:dyDescent="0.25">
      <c r="A583" s="53" t="s">
        <v>117</v>
      </c>
      <c r="B583" s="52"/>
      <c r="C583" s="1" t="str">
        <f>$J$9</f>
        <v>kart. čierna</v>
      </c>
      <c r="D583" s="53" t="s">
        <v>117</v>
      </c>
      <c r="E583" s="52" t="e">
        <f>+VLOOKUP(A583,cennik!$A:$G,2,FALSE)</f>
        <v>#N/A</v>
      </c>
      <c r="F583" s="52" t="e">
        <f>+VLOOKUP(A583,cennik!A:B,2,FALSE)</f>
        <v>#N/A</v>
      </c>
      <c r="I583" s="1" t="str">
        <f>$J$9</f>
        <v>kart. čierna</v>
      </c>
      <c r="Z583" s="1" t="b">
        <f t="shared" si="70"/>
        <v>1</v>
      </c>
    </row>
    <row r="584" spans="1:26" ht="15" customHeight="1" x14ac:dyDescent="0.25">
      <c r="A584" s="53" t="s">
        <v>117</v>
      </c>
      <c r="B584" s="52"/>
      <c r="C584" s="1" t="str">
        <f>$J$17</f>
        <v>čierna mat</v>
      </c>
      <c r="D584" s="53" t="s">
        <v>117</v>
      </c>
      <c r="E584" s="52" t="e">
        <f>+VLOOKUP(A584,cennik!$A:$G,2,FALSE)</f>
        <v>#N/A</v>
      </c>
      <c r="F584" s="52" t="e">
        <f>+VLOOKUP(A584,cennik!A:B,2,FALSE)</f>
        <v>#N/A</v>
      </c>
      <c r="G584" s="1" t="e">
        <f>+VLOOKUP(A584,#REF!,4,FALSE)</f>
        <v>#REF!</v>
      </c>
      <c r="I584" s="1" t="str">
        <f>$J$17</f>
        <v>čierna mat</v>
      </c>
      <c r="Z584" s="1" t="b">
        <f t="shared" si="70"/>
        <v>1</v>
      </c>
    </row>
    <row r="585" spans="1:26" ht="15" customHeight="1" x14ac:dyDescent="0.25">
      <c r="A585" s="53" t="s">
        <v>117</v>
      </c>
      <c r="B585" s="52"/>
      <c r="C585" s="1" t="str">
        <f>$J$16</f>
        <v>čierna lesk</v>
      </c>
      <c r="D585" s="53" t="s">
        <v>117</v>
      </c>
      <c r="E585" s="52" t="e">
        <f>+VLOOKUP(A585,cennik!$A:$G,2,FALSE)</f>
        <v>#N/A</v>
      </c>
      <c r="F585" s="52" t="e">
        <f>+VLOOKUP(A585,cennik!A:B,2,FALSE)</f>
        <v>#N/A</v>
      </c>
      <c r="G585" s="1" t="e">
        <f>+VLOOKUP(A585,#REF!,4,FALSE)</f>
        <v>#REF!</v>
      </c>
      <c r="I585" s="1" t="str">
        <f>$J$16</f>
        <v>čierna lesk</v>
      </c>
      <c r="Z585" s="1" t="b">
        <f t="shared" si="70"/>
        <v>1</v>
      </c>
    </row>
    <row r="586" spans="1:26" ht="15" customHeight="1" x14ac:dyDescent="0.25">
      <c r="A586" s="53" t="s">
        <v>117</v>
      </c>
      <c r="B586" s="52"/>
      <c r="C586" s="1" t="str">
        <f>$J$5</f>
        <v>zlatá</v>
      </c>
      <c r="D586" s="53" t="s">
        <v>117</v>
      </c>
      <c r="E586" s="52" t="e">
        <f>+VLOOKUP(A586,cennik!$A:$G,2,FALSE)</f>
        <v>#N/A</v>
      </c>
      <c r="F586" s="52" t="e">
        <f>+VLOOKUP(A586,cennik!A:B,2,FALSE)</f>
        <v>#N/A</v>
      </c>
      <c r="G586" s="1" t="e">
        <f>+VLOOKUP(A586,#REF!,4,FALSE)</f>
        <v>#REF!</v>
      </c>
      <c r="I586" s="1" t="str">
        <f>$J$5</f>
        <v>zlatá</v>
      </c>
      <c r="Z586" s="1" t="b">
        <f t="shared" si="70"/>
        <v>1</v>
      </c>
    </row>
    <row r="587" spans="1:26" s="559" customFormat="1" ht="15" customHeight="1" x14ac:dyDescent="0.25">
      <c r="A587" s="53" t="s">
        <v>117</v>
      </c>
      <c r="C587" s="559" t="str">
        <f>$J$18</f>
        <v>biela mat</v>
      </c>
      <c r="D587" s="53" t="s">
        <v>117</v>
      </c>
      <c r="E587" s="560" t="e">
        <f>+VLOOKUP(A587,cennik!$A:$G,2,FALSE)</f>
        <v>#N/A</v>
      </c>
      <c r="F587" s="560" t="e">
        <f>+VLOOKUP(A587,cennik!A:B,2,FALSE)</f>
        <v>#N/A</v>
      </c>
      <c r="I587" s="559" t="str">
        <f>$J$18</f>
        <v>biela mat</v>
      </c>
      <c r="Z587" s="1" t="b">
        <f t="shared" si="70"/>
        <v>1</v>
      </c>
    </row>
    <row r="588" spans="1:26" s="559" customFormat="1" ht="15" customHeight="1" x14ac:dyDescent="0.25">
      <c r="A588" s="53" t="s">
        <v>117</v>
      </c>
      <c r="B588" s="52"/>
      <c r="C588" s="1" t="str">
        <f>$J$15</f>
        <v>biela lesk</v>
      </c>
      <c r="D588" s="53" t="s">
        <v>117</v>
      </c>
      <c r="E588" s="52" t="e">
        <f>+VLOOKUP(A588,cennik!$A:$G,2,FALSE)</f>
        <v>#N/A</v>
      </c>
      <c r="F588" s="52" t="e">
        <f>+VLOOKUP(A588,cennik!A:B,2,FALSE)</f>
        <v>#N/A</v>
      </c>
      <c r="G588" s="1"/>
      <c r="H588" s="1"/>
      <c r="I588" s="1" t="str">
        <f>$J$15</f>
        <v>biela lesk</v>
      </c>
      <c r="Z588" s="1" t="b">
        <f t="shared" si="70"/>
        <v>1</v>
      </c>
    </row>
    <row r="589" spans="1:26" s="559" customFormat="1" ht="15" customHeight="1" x14ac:dyDescent="0.25">
      <c r="A589" s="561">
        <v>89132</v>
      </c>
      <c r="B589" s="560" t="s">
        <v>50</v>
      </c>
      <c r="C589" s="559" t="str">
        <f>$J$5</f>
        <v>zlatá</v>
      </c>
      <c r="D589" s="561">
        <v>89132</v>
      </c>
      <c r="E589" s="560" t="str">
        <f>+VLOOKUP(A589,cennik!$A:$G,2,FALSE)</f>
        <v>SEVROLL uholník Mini 17x11mm 1,7m zlatá</v>
      </c>
      <c r="F589" s="560" t="str">
        <f>+VLOOKUP(A589,cennik!A:B,2,FALSE)</f>
        <v>SEVROLL uholník Mini 17x11mm 1,7m zlatá</v>
      </c>
      <c r="G589" s="559" t="e">
        <f>+VLOOKUP(A589,#REF!,4,FALSE)</f>
        <v>#REF!</v>
      </c>
      <c r="I589" s="559" t="str">
        <f>$J$5</f>
        <v>zlatá</v>
      </c>
      <c r="Z589" s="1" t="b">
        <f t="shared" si="70"/>
        <v>1</v>
      </c>
    </row>
    <row r="590" spans="1:26" s="559" customFormat="1" ht="15" customHeight="1" x14ac:dyDescent="0.25">
      <c r="A590" s="561">
        <v>89133</v>
      </c>
      <c r="B590" s="560"/>
      <c r="C590" s="559" t="str">
        <f>$J$6</f>
        <v>oliva</v>
      </c>
      <c r="D590" s="561">
        <v>89133</v>
      </c>
      <c r="E590" s="560" t="str">
        <f>+VLOOKUP(A590,cennik!$A:$G,2,FALSE)</f>
        <v>SEVROLL 00903 uholník Mini 17x11mm 1,7m oliva</v>
      </c>
      <c r="F590" s="560" t="str">
        <f>+VLOOKUP(A590,cennik!A:B,2,FALSE)</f>
        <v>SEVROLL 00903 uholník Mini 17x11mm 1,7m oliva</v>
      </c>
      <c r="G590" s="559" t="e">
        <f>+VLOOKUP(A590,#REF!,4,FALSE)</f>
        <v>#REF!</v>
      </c>
      <c r="I590" s="559" t="str">
        <f>$J$6</f>
        <v>oliva</v>
      </c>
      <c r="Z590" s="1" t="b">
        <f t="shared" si="70"/>
        <v>1</v>
      </c>
    </row>
    <row r="591" spans="1:26" s="559" customFormat="1" ht="15" customHeight="1" x14ac:dyDescent="0.25">
      <c r="A591" s="561">
        <v>89134</v>
      </c>
      <c r="B591" s="560"/>
      <c r="C591" s="559" t="str">
        <f>$J$4</f>
        <v xml:space="preserve">strieborná </v>
      </c>
      <c r="D591" s="561">
        <v>89134</v>
      </c>
      <c r="E591" s="560" t="str">
        <f>+VLOOKUP(A591,cennik!$A:$G,2,FALSE)</f>
        <v>SEVROLL 00102 úhelník Mini 17x11mm 1,7m strieborný</v>
      </c>
      <c r="F591" s="560" t="str">
        <f>+VLOOKUP(A591,cennik!A:B,2,FALSE)</f>
        <v>SEVROLL 00102 úhelník Mini 17x11mm 1,7m strieborný</v>
      </c>
      <c r="G591" s="559" t="e">
        <f>+VLOOKUP(A591,#REF!,4,FALSE)</f>
        <v>#REF!</v>
      </c>
      <c r="I591" s="559" t="str">
        <f>$J$4</f>
        <v xml:space="preserve">strieborná </v>
      </c>
      <c r="Z591" s="1" t="b">
        <f t="shared" si="70"/>
        <v>1</v>
      </c>
    </row>
    <row r="592" spans="1:26" s="559" customFormat="1" ht="15" customHeight="1" x14ac:dyDescent="0.25">
      <c r="A592" s="561" t="s">
        <v>117</v>
      </c>
      <c r="B592" s="560"/>
      <c r="C592" s="559" t="str">
        <f>$J$7</f>
        <v>oliva kartáčovaná</v>
      </c>
      <c r="D592" s="561" t="s">
        <v>117</v>
      </c>
      <c r="E592" s="560" t="e">
        <f>+VLOOKUP(A592,cennik!$A:$G,2,FALSE)</f>
        <v>#N/A</v>
      </c>
      <c r="F592" s="560" t="e">
        <f>+VLOOKUP(A592,cennik!A:B,2,FALSE)</f>
        <v>#N/A</v>
      </c>
      <c r="G592" s="559" t="e">
        <f>+VLOOKUP(A592,#REF!,4,FALSE)</f>
        <v>#REF!</v>
      </c>
      <c r="I592" s="559" t="str">
        <f>$J$7</f>
        <v>oliva kartáčovaná</v>
      </c>
      <c r="Z592" s="1" t="b">
        <f t="shared" si="70"/>
        <v>1</v>
      </c>
    </row>
    <row r="593" spans="1:26" s="559" customFormat="1" ht="15" customHeight="1" x14ac:dyDescent="0.25">
      <c r="A593" s="561" t="s">
        <v>117</v>
      </c>
      <c r="B593" s="560"/>
      <c r="C593" s="559" t="str">
        <f>$J$8</f>
        <v>kart. tm. oliva</v>
      </c>
      <c r="D593" s="561" t="s">
        <v>117</v>
      </c>
      <c r="E593" s="560" t="e">
        <f>+VLOOKUP(A593,cennik!$A:$G,2,FALSE)</f>
        <v>#N/A</v>
      </c>
      <c r="F593" s="560" t="e">
        <f>+VLOOKUP(A593,cennik!A:B,2,FALSE)</f>
        <v>#N/A</v>
      </c>
      <c r="I593" s="559" t="str">
        <f>$J$8</f>
        <v>kart. tm. oliva</v>
      </c>
      <c r="Z593" s="1" t="b">
        <f t="shared" si="70"/>
        <v>1</v>
      </c>
    </row>
    <row r="594" spans="1:26" s="559" customFormat="1" ht="15" customHeight="1" x14ac:dyDescent="0.25">
      <c r="A594" s="2">
        <v>405365</v>
      </c>
      <c r="B594" s="1"/>
      <c r="C594" s="1" t="str">
        <f>$J$16</f>
        <v>čierna lesk</v>
      </c>
      <c r="D594" s="2">
        <v>405365</v>
      </c>
      <c r="E594" s="52" t="str">
        <f>+VLOOKUP(A594,cennik!$A:$G,2,FALSE)</f>
        <v>SEVROLL 05138 uholník Mini 17x11mm 1,7m čiena lesk</v>
      </c>
      <c r="F594" s="52" t="str">
        <f>+VLOOKUP(A594,cennik!A:B,2,FALSE)</f>
        <v>SEVROLL 05138 uholník Mini 17x11mm 1,7m čiena lesk</v>
      </c>
      <c r="G594" s="1"/>
      <c r="H594" s="1"/>
      <c r="I594" s="1" t="str">
        <f>$J$16</f>
        <v>čierna lesk</v>
      </c>
      <c r="Z594" s="1" t="b">
        <f t="shared" si="70"/>
        <v>1</v>
      </c>
    </row>
    <row r="595" spans="1:26" s="559" customFormat="1" ht="15" customHeight="1" x14ac:dyDescent="0.25">
      <c r="A595" s="2">
        <v>494744</v>
      </c>
      <c r="B595" s="1"/>
      <c r="C595" s="1" t="str">
        <f>$J$12</f>
        <v>grafit</v>
      </c>
      <c r="D595" s="2">
        <v>494744</v>
      </c>
      <c r="E595" s="52" t="str">
        <f>+VLOOKUP(A595,cennik!$A:$G,2,FALSE)</f>
        <v>SEVROLL 06034 uholník Mini 17x11mm 1,7m grafit</v>
      </c>
      <c r="F595" s="52" t="str">
        <f>+VLOOKUP(A595,cennik!A:B,2,FALSE)</f>
        <v>SEVROLL 06034 uholník Mini 17x11mm 1,7m grafit</v>
      </c>
      <c r="G595" s="1"/>
      <c r="H595" s="1"/>
      <c r="I595" s="1" t="str">
        <f>$J$12</f>
        <v>grafit</v>
      </c>
      <c r="Z595" s="1" t="b">
        <f t="shared" ref="Z595:Z658" si="71">A595=D595</f>
        <v>1</v>
      </c>
    </row>
    <row r="596" spans="1:26" s="559" customFormat="1" ht="15" customHeight="1" x14ac:dyDescent="0.25">
      <c r="A596" s="1">
        <v>422014</v>
      </c>
      <c r="B596" s="1"/>
      <c r="C596" s="1" t="str">
        <f>$J$17</f>
        <v>čierna mat</v>
      </c>
      <c r="D596" s="1">
        <v>422014</v>
      </c>
      <c r="E596" s="52" t="str">
        <f>+VLOOKUP(A596,cennik!$A:$G,2,FALSE)</f>
        <v>SEVROLL 05296 uholník Mini 17x11mm 1,7m čierna mat</v>
      </c>
      <c r="F596" s="52" t="str">
        <f>+VLOOKUP(A596,cennik!A:B,2,FALSE)</f>
        <v>SEVROLL 05296 uholník Mini 17x11mm 1,7m čierna mat</v>
      </c>
      <c r="G596" s="1"/>
      <c r="H596" s="1"/>
      <c r="I596" s="1" t="str">
        <f>$J$17</f>
        <v>čierna mat</v>
      </c>
      <c r="Z596" s="1" t="b">
        <f t="shared" si="71"/>
        <v>1</v>
      </c>
    </row>
    <row r="597" spans="1:26" ht="15" customHeight="1" x14ac:dyDescent="0.25">
      <c r="A597" s="561" t="s">
        <v>117</v>
      </c>
      <c r="B597" s="560"/>
      <c r="C597" s="559" t="str">
        <f>$J$9</f>
        <v>kart. čierna</v>
      </c>
      <c r="D597" s="561" t="s">
        <v>117</v>
      </c>
      <c r="E597" s="560" t="e">
        <f>+VLOOKUP(A597,cennik!$A:$G,2,FALSE)</f>
        <v>#N/A</v>
      </c>
      <c r="F597" s="560" t="e">
        <f>+VLOOKUP(A597,cennik!A:B,2,FALSE)</f>
        <v>#N/A</v>
      </c>
      <c r="G597" s="559"/>
      <c r="H597" s="559"/>
      <c r="I597" s="559" t="str">
        <f>$J$9</f>
        <v>kart. čierna</v>
      </c>
      <c r="Z597" s="1" t="b">
        <f t="shared" si="71"/>
        <v>1</v>
      </c>
    </row>
    <row r="598" spans="1:26" s="559" customFormat="1" ht="15" customHeight="1" x14ac:dyDescent="0.25">
      <c r="A598" s="558">
        <v>394825</v>
      </c>
      <c r="C598" s="559" t="str">
        <f>$J$18</f>
        <v>biela mat</v>
      </c>
      <c r="D598" s="558">
        <v>394825</v>
      </c>
      <c r="E598" s="560" t="str">
        <f>+VLOOKUP(A598,cennik!$A:$G,2,FALSE)</f>
        <v>SEVROLL 05136 uholník Mini 17x11mm 1,7m biely mat</v>
      </c>
      <c r="F598" s="560" t="str">
        <f>+VLOOKUP(A598,cennik!A:B,2,FALSE)</f>
        <v>SEVROLL 05136 uholník Mini 17x11mm 1,7m biely mat</v>
      </c>
      <c r="I598" s="559" t="str">
        <f>$J$18</f>
        <v>biela mat</v>
      </c>
      <c r="Z598" s="1" t="b">
        <f t="shared" si="71"/>
        <v>1</v>
      </c>
    </row>
    <row r="599" spans="1:26" s="559" customFormat="1" ht="15" customHeight="1" x14ac:dyDescent="0.25">
      <c r="A599" s="561">
        <v>276735</v>
      </c>
      <c r="B599" s="560"/>
      <c r="C599" s="559" t="str">
        <f>$J$15</f>
        <v>biela lesk</v>
      </c>
      <c r="D599" s="561">
        <v>276735</v>
      </c>
      <c r="E599" s="560" t="str">
        <f>+VLOOKUP(A599,cennik!$A:$G,2,FALSE)</f>
        <v>SEVROLL 04053 uholník Mini 17x11mm 1,7m biela lesk</v>
      </c>
      <c r="F599" s="560" t="str">
        <f>+VLOOKUP(A599,cennik!A:B,2,FALSE)</f>
        <v>SEVROLL 04053 uholník Mini 17x11mm 1,7m biela lesk</v>
      </c>
      <c r="G599" s="559" t="e">
        <f>+VLOOKUP(A599,#REF!,4,FALSE)</f>
        <v>#REF!</v>
      </c>
      <c r="I599" s="559" t="str">
        <f>$J$15</f>
        <v>biela lesk</v>
      </c>
      <c r="Z599" s="1" t="b">
        <f t="shared" si="71"/>
        <v>1</v>
      </c>
    </row>
    <row r="600" spans="1:26" s="559" customFormat="1" ht="15" customHeight="1" x14ac:dyDescent="0.25">
      <c r="A600" s="561">
        <v>89135</v>
      </c>
      <c r="B600" s="560" t="s">
        <v>51</v>
      </c>
      <c r="C600" s="559" t="str">
        <f>$J$5</f>
        <v>zlatá</v>
      </c>
      <c r="D600" s="561">
        <v>89135</v>
      </c>
      <c r="E600" s="560" t="str">
        <f>+VLOOKUP(A600,cennik!$A:$G,2,FALSE)</f>
        <v>SEVROLL uholník Mini 17x11mm 2,35m zlatá</v>
      </c>
      <c r="F600" s="560" t="str">
        <f>+VLOOKUP(A600,cennik!A:B,2,FALSE)</f>
        <v>SEVROLL uholník Mini 17x11mm 2,35m zlatá</v>
      </c>
      <c r="G600" s="559" t="e">
        <f>+VLOOKUP(A600,#REF!,4,FALSE)</f>
        <v>#REF!</v>
      </c>
      <c r="I600" s="559" t="str">
        <f>$J$5</f>
        <v>zlatá</v>
      </c>
      <c r="Z600" s="1" t="b">
        <f t="shared" si="71"/>
        <v>1</v>
      </c>
    </row>
    <row r="601" spans="1:26" s="559" customFormat="1" ht="15" customHeight="1" x14ac:dyDescent="0.25">
      <c r="A601" s="561">
        <v>89136</v>
      </c>
      <c r="B601" s="560"/>
      <c r="C601" s="559" t="str">
        <f>$J$6</f>
        <v>oliva</v>
      </c>
      <c r="D601" s="561">
        <v>89136</v>
      </c>
      <c r="E601" s="560" t="str">
        <f>+VLOOKUP(A601,cennik!$A:$G,2,FALSE)</f>
        <v>SEVROLL 00904 uholník Mini 17x11mm 2,35m oliva</v>
      </c>
      <c r="F601" s="560" t="str">
        <f>+VLOOKUP(A601,cennik!A:B,2,FALSE)</f>
        <v>SEVROLL 00904 uholník Mini 17x11mm 2,35m oliva</v>
      </c>
      <c r="G601" s="559" t="e">
        <f>+VLOOKUP(A601,#REF!,4,FALSE)</f>
        <v>#REF!</v>
      </c>
      <c r="I601" s="559" t="str">
        <f>$J$6</f>
        <v>oliva</v>
      </c>
      <c r="Z601" s="1" t="b">
        <f t="shared" si="71"/>
        <v>1</v>
      </c>
    </row>
    <row r="602" spans="1:26" s="559" customFormat="1" ht="15" customHeight="1" x14ac:dyDescent="0.25">
      <c r="A602" s="561" t="s">
        <v>117</v>
      </c>
      <c r="B602" s="560"/>
      <c r="C602" s="559" t="str">
        <f>$J$7</f>
        <v>oliva kartáčovaná</v>
      </c>
      <c r="D602" s="561" t="s">
        <v>117</v>
      </c>
      <c r="E602" s="560" t="e">
        <f>+VLOOKUP(A602,cennik!$A:$G,2,FALSE)</f>
        <v>#N/A</v>
      </c>
      <c r="F602" s="560" t="e">
        <f>+VLOOKUP(A602,cennik!A:B,2,FALSE)</f>
        <v>#N/A</v>
      </c>
      <c r="G602" s="559" t="e">
        <f>+VLOOKUP(A602,#REF!,4,FALSE)</f>
        <v>#REF!</v>
      </c>
      <c r="I602" s="559" t="str">
        <f>$J$7</f>
        <v>oliva kartáčovaná</v>
      </c>
      <c r="Z602" s="1" t="b">
        <f t="shared" si="71"/>
        <v>1</v>
      </c>
    </row>
    <row r="603" spans="1:26" s="559" customFormat="1" ht="15" customHeight="1" x14ac:dyDescent="0.25">
      <c r="A603" s="561" t="s">
        <v>117</v>
      </c>
      <c r="B603" s="560"/>
      <c r="C603" s="559" t="str">
        <f>$J$8</f>
        <v>kart. tm. oliva</v>
      </c>
      <c r="D603" s="561" t="s">
        <v>117</v>
      </c>
      <c r="E603" s="560" t="e">
        <f>+VLOOKUP(A603,cennik!$A:$G,2,FALSE)</f>
        <v>#N/A</v>
      </c>
      <c r="F603" s="560" t="e">
        <f>+VLOOKUP(A603,cennik!A:B,2,FALSE)</f>
        <v>#N/A</v>
      </c>
      <c r="I603" s="559" t="str">
        <f>$J$8</f>
        <v>kart. tm. oliva</v>
      </c>
      <c r="Z603" s="1" t="b">
        <f t="shared" si="71"/>
        <v>1</v>
      </c>
    </row>
    <row r="604" spans="1:26" s="559" customFormat="1" ht="15" customHeight="1" x14ac:dyDescent="0.25">
      <c r="A604" s="2">
        <v>405366</v>
      </c>
      <c r="B604" s="1"/>
      <c r="C604" s="559" t="str">
        <f>$J$16</f>
        <v>čierna lesk</v>
      </c>
      <c r="D604" s="2">
        <v>405366</v>
      </c>
      <c r="E604" s="560" t="str">
        <f>+VLOOKUP(A604,cennik!$A:$G,2,FALSE)</f>
        <v>SEVROLL 05139 uholník Mini 17x11mm 2,35m čierna lesk</v>
      </c>
      <c r="F604" s="560" t="str">
        <f>+VLOOKUP(A604,cennik!A:B,2,FALSE)</f>
        <v>SEVROLL 05139 uholník Mini 17x11mm 2,35m čierna lesk</v>
      </c>
      <c r="G604" s="1"/>
      <c r="H604" s="1"/>
      <c r="I604" s="559" t="str">
        <f>$J$16</f>
        <v>čierna lesk</v>
      </c>
      <c r="Z604" s="1" t="b">
        <f t="shared" si="71"/>
        <v>1</v>
      </c>
    </row>
    <row r="605" spans="1:26" s="559" customFormat="1" ht="15" customHeight="1" x14ac:dyDescent="0.25">
      <c r="A605" s="2">
        <v>494724</v>
      </c>
      <c r="B605" s="1"/>
      <c r="C605" s="559" t="str">
        <f>$J$12</f>
        <v>grafit</v>
      </c>
      <c r="D605" s="2">
        <v>494724</v>
      </c>
      <c r="E605" s="560" t="str">
        <f>+VLOOKUP(A605,cennik!$A:$G,2,FALSE)</f>
        <v>SEVROLL 06035 uholník Mini 17x11mm 2,35m grafit</v>
      </c>
      <c r="F605" s="560" t="str">
        <f>+VLOOKUP(A605,cennik!A:B,2,FALSE)</f>
        <v>SEVROLL 06035 uholník Mini 17x11mm 2,35m grafit</v>
      </c>
      <c r="G605" s="1"/>
      <c r="H605" s="1"/>
      <c r="I605" s="559" t="str">
        <f>$J$12</f>
        <v>grafit</v>
      </c>
      <c r="Z605" s="1" t="b">
        <f t="shared" si="71"/>
        <v>1</v>
      </c>
    </row>
    <row r="606" spans="1:26" s="559" customFormat="1" ht="15" customHeight="1" x14ac:dyDescent="0.25">
      <c r="A606" s="1">
        <v>409682</v>
      </c>
      <c r="B606" s="1"/>
      <c r="C606" s="559" t="str">
        <f>$J$17</f>
        <v>čierna mat</v>
      </c>
      <c r="D606" s="1">
        <v>409682</v>
      </c>
      <c r="E606" s="560" t="str">
        <f>+VLOOKUP(A606,cennik!$A:$G,2,FALSE)</f>
        <v>SEVROLL 05297 uholník Mini 17x11mm 2,35m čierna mat</v>
      </c>
      <c r="F606" s="560" t="str">
        <f>+VLOOKUP(A606,cennik!A:B,2,FALSE)</f>
        <v>SEVROLL 05297 uholník Mini 17x11mm 2,35m čierna mat</v>
      </c>
      <c r="G606" s="1"/>
      <c r="H606" s="1"/>
      <c r="I606" s="559" t="str">
        <f>$J$17</f>
        <v>čierna mat</v>
      </c>
      <c r="Z606" s="1" t="b">
        <f t="shared" si="71"/>
        <v>1</v>
      </c>
    </row>
    <row r="607" spans="1:26" s="559" customFormat="1" ht="15" customHeight="1" x14ac:dyDescent="0.25">
      <c r="A607" s="561" t="s">
        <v>117</v>
      </c>
      <c r="B607" s="560"/>
      <c r="C607" s="559" t="str">
        <f>$J$9</f>
        <v>kart. čierna</v>
      </c>
      <c r="D607" s="561" t="s">
        <v>117</v>
      </c>
      <c r="E607" s="560" t="e">
        <f>+VLOOKUP(A607,cennik!$A:$G,2,FALSE)</f>
        <v>#N/A</v>
      </c>
      <c r="F607" s="560" t="e">
        <f>+VLOOKUP(A607,cennik!A:B,2,FALSE)</f>
        <v>#N/A</v>
      </c>
      <c r="I607" s="559" t="str">
        <f>$J$9</f>
        <v>kart. čierna</v>
      </c>
      <c r="Z607" s="1" t="b">
        <f t="shared" si="71"/>
        <v>1</v>
      </c>
    </row>
    <row r="608" spans="1:26" ht="15" customHeight="1" x14ac:dyDescent="0.25">
      <c r="A608" s="561">
        <v>89137</v>
      </c>
      <c r="B608" s="560"/>
      <c r="C608" s="559" t="str">
        <f>$J$4</f>
        <v xml:space="preserve">strieborná </v>
      </c>
      <c r="D608" s="561">
        <v>89137</v>
      </c>
      <c r="E608" s="560" t="str">
        <f>+VLOOKUP(A608,cennik!$A:$G,2,FALSE)</f>
        <v>SEVROLL 00103 úhelník Mini 17x11mm 2,35m strieborný</v>
      </c>
      <c r="F608" s="560" t="str">
        <f>+VLOOKUP(A608,cennik!A:B,2,FALSE)</f>
        <v>SEVROLL 00103 úhelník Mini 17x11mm 2,35m strieborný</v>
      </c>
      <c r="G608" s="559" t="e">
        <f>+VLOOKUP(A608,#REF!,4,FALSE)</f>
        <v>#REF!</v>
      </c>
      <c r="H608" s="559"/>
      <c r="I608" s="559" t="str">
        <f>$J$4</f>
        <v xml:space="preserve">strieborná </v>
      </c>
      <c r="Z608" s="1" t="b">
        <f t="shared" si="71"/>
        <v>1</v>
      </c>
    </row>
    <row r="609" spans="1:26" ht="15" customHeight="1" x14ac:dyDescent="0.25">
      <c r="A609" s="558">
        <v>394826</v>
      </c>
      <c r="B609" s="559"/>
      <c r="C609" s="559" t="str">
        <f>$J$18</f>
        <v>biela mat</v>
      </c>
      <c r="D609" s="558">
        <v>394826</v>
      </c>
      <c r="E609" s="560" t="str">
        <f>+VLOOKUP(A609,cennik!$A:$G,2,FALSE)</f>
        <v>SEVROLL 05137 uholník Mini 17x11mm 2,35m biely mat</v>
      </c>
      <c r="F609" s="560" t="str">
        <f>+VLOOKUP(A609,cennik!A:B,2,FALSE)</f>
        <v>SEVROLL 05137 uholník Mini 17x11mm 2,35m biely mat</v>
      </c>
      <c r="G609" s="559"/>
      <c r="H609" s="559"/>
      <c r="I609" s="559" t="str">
        <f>$J$18</f>
        <v>biela mat</v>
      </c>
      <c r="Z609" s="1" t="b">
        <f t="shared" si="71"/>
        <v>1</v>
      </c>
    </row>
    <row r="610" spans="1:26" ht="15" customHeight="1" x14ac:dyDescent="0.25">
      <c r="A610" s="561">
        <v>276732</v>
      </c>
      <c r="B610" s="560"/>
      <c r="C610" s="559" t="str">
        <f>$J$15</f>
        <v>biela lesk</v>
      </c>
      <c r="D610" s="561">
        <v>276732</v>
      </c>
      <c r="E610" s="560" t="str">
        <f>+VLOOKUP(A610,cennik!$A:$G,2,FALSE)</f>
        <v>SEVROLL 04054 uholník Mini 17x11mm 2,35m biela lesk</v>
      </c>
      <c r="F610" s="560" t="str">
        <f>+VLOOKUP(A610,cennik!A:B,2,FALSE)</f>
        <v>SEVROLL 04054 uholník Mini 17x11mm 2,35m biela lesk</v>
      </c>
      <c r="G610" s="559" t="e">
        <f>+VLOOKUP(A610,#REF!,4,FALSE)</f>
        <v>#REF!</v>
      </c>
      <c r="H610" s="559"/>
      <c r="I610" s="559" t="str">
        <f>$J$15</f>
        <v>biela lesk</v>
      </c>
      <c r="Z610" s="1" t="b">
        <f t="shared" si="71"/>
        <v>1</v>
      </c>
    </row>
    <row r="611" spans="1:26" ht="15" customHeight="1" x14ac:dyDescent="0.25">
      <c r="A611" s="53">
        <v>89138</v>
      </c>
      <c r="B611" s="52" t="s">
        <v>52</v>
      </c>
      <c r="C611" s="1" t="str">
        <f>$J$5</f>
        <v>zlatá</v>
      </c>
      <c r="D611" s="53">
        <v>89138</v>
      </c>
      <c r="E611" s="52" t="str">
        <f>+VLOOKUP(A611,cennik!$A:$G,2,FALSE)</f>
        <v>SEVROLL uholník Mini 17x11mm 3m zlatá</v>
      </c>
      <c r="F611" s="52" t="str">
        <f>+VLOOKUP(A611,cennik!A:B,2,FALSE)</f>
        <v>SEVROLL uholník Mini 17x11mm 3m zlatá</v>
      </c>
      <c r="G611" s="1" t="e">
        <f>+VLOOKUP(A611,#REF!,4,FALSE)</f>
        <v>#REF!</v>
      </c>
      <c r="I611" s="1" t="str">
        <f>$J$5</f>
        <v>zlatá</v>
      </c>
      <c r="Z611" s="1" t="b">
        <f t="shared" si="71"/>
        <v>1</v>
      </c>
    </row>
    <row r="612" spans="1:26" ht="15" customHeight="1" x14ac:dyDescent="0.25">
      <c r="A612" s="53" t="s">
        <v>117</v>
      </c>
      <c r="B612" s="52"/>
      <c r="C612" s="1" t="str">
        <f>$J$7</f>
        <v>oliva kartáčovaná</v>
      </c>
      <c r="D612" s="53" t="s">
        <v>117</v>
      </c>
      <c r="E612" s="52" t="e">
        <f>+VLOOKUP(A612,cennik!$A:$G,2,FALSE)</f>
        <v>#N/A</v>
      </c>
      <c r="F612" s="52" t="e">
        <f>+VLOOKUP(A612,cennik!A:B,2,FALSE)</f>
        <v>#N/A</v>
      </c>
      <c r="G612" s="1" t="e">
        <f>+VLOOKUP(A612,#REF!,4,FALSE)</f>
        <v>#REF!</v>
      </c>
      <c r="I612" s="1" t="str">
        <f>$J$7</f>
        <v>oliva kartáčovaná</v>
      </c>
      <c r="Z612" s="1" t="b">
        <f t="shared" si="71"/>
        <v>1</v>
      </c>
    </row>
    <row r="613" spans="1:26" ht="15" customHeight="1" x14ac:dyDescent="0.25">
      <c r="A613" s="53" t="s">
        <v>117</v>
      </c>
      <c r="B613" s="52"/>
      <c r="C613" s="1" t="str">
        <f>$J$8</f>
        <v>kart. tm. oliva</v>
      </c>
      <c r="D613" s="53" t="s">
        <v>117</v>
      </c>
      <c r="E613" s="52" t="e">
        <f>+VLOOKUP(A613,cennik!$A:$G,2,FALSE)</f>
        <v>#N/A</v>
      </c>
      <c r="F613" s="52" t="e">
        <f>+VLOOKUP(A613,cennik!A:B,2,FALSE)</f>
        <v>#N/A</v>
      </c>
      <c r="I613" s="1" t="str">
        <f>$J$8</f>
        <v>kart. tm. oliva</v>
      </c>
      <c r="Z613" s="1" t="b">
        <f t="shared" si="71"/>
        <v>1</v>
      </c>
    </row>
    <row r="614" spans="1:26" ht="15" customHeight="1" x14ac:dyDescent="0.25">
      <c r="A614" s="2">
        <v>405367</v>
      </c>
      <c r="C614" s="1" t="str">
        <f>$J$16</f>
        <v>čierna lesk</v>
      </c>
      <c r="D614" s="2">
        <v>405367</v>
      </c>
      <c r="E614" s="52" t="str">
        <f>+VLOOKUP(A614,cennik!$A:$G,2,FALSE)</f>
        <v>SEVROLL 05140 uholník Mini 17x11mm 3m čierna lesk</v>
      </c>
      <c r="F614" s="52" t="str">
        <f>+VLOOKUP(A614,cennik!A:B,2,FALSE)</f>
        <v>SEVROLL 05140 uholník Mini 17x11mm 3m čierna lesk</v>
      </c>
      <c r="I614" s="1" t="str">
        <f>$J$16</f>
        <v>čierna lesk</v>
      </c>
      <c r="Z614" s="1" t="b">
        <f t="shared" si="71"/>
        <v>1</v>
      </c>
    </row>
    <row r="615" spans="1:26" ht="15" customHeight="1" x14ac:dyDescent="0.25">
      <c r="A615" s="2">
        <v>494728</v>
      </c>
      <c r="C615" s="1" t="str">
        <f>$J$12</f>
        <v>grafit</v>
      </c>
      <c r="D615" s="2">
        <v>494728</v>
      </c>
      <c r="E615" s="52" t="str">
        <f>+VLOOKUP(A615,cennik!$A:$G,2,FALSE)</f>
        <v>SEVROLL 06036 uholník Mini 17x11mm 3m grafit</v>
      </c>
      <c r="F615" s="52" t="str">
        <f>+VLOOKUP(A615,cennik!A:B,2,FALSE)</f>
        <v>SEVROLL 06036 uholník Mini 17x11mm 3m grafit</v>
      </c>
      <c r="I615" s="1" t="str">
        <f>$J$12</f>
        <v>grafit</v>
      </c>
      <c r="Z615" s="1" t="b">
        <f t="shared" si="71"/>
        <v>1</v>
      </c>
    </row>
    <row r="616" spans="1:26" ht="15" customHeight="1" x14ac:dyDescent="0.25">
      <c r="A616" s="1">
        <v>412226</v>
      </c>
      <c r="C616" s="1" t="str">
        <f>$J$17</f>
        <v>čierna mat</v>
      </c>
      <c r="D616" s="1">
        <v>412226</v>
      </c>
      <c r="E616" s="52" t="str">
        <f>+VLOOKUP(A616,cennik!$A:$G,2,FALSE)</f>
        <v>SEVROLL 05298 uholník Mini 17x11mm 3m čierna mat</v>
      </c>
      <c r="F616" s="52" t="str">
        <f>+VLOOKUP(A616,cennik!A:B,2,FALSE)</f>
        <v>SEVROLL 05298 uholník Mini 17x11mm 3m čierna mat</v>
      </c>
      <c r="I616" s="1" t="str">
        <f>$J$17</f>
        <v>čierna mat</v>
      </c>
      <c r="Z616" s="1" t="b">
        <f t="shared" si="71"/>
        <v>1</v>
      </c>
    </row>
    <row r="617" spans="1:26" ht="15" customHeight="1" x14ac:dyDescent="0.25">
      <c r="A617" s="53" t="s">
        <v>117</v>
      </c>
      <c r="B617" s="52"/>
      <c r="C617" s="1" t="str">
        <f>$J$9</f>
        <v>kart. čierna</v>
      </c>
      <c r="D617" s="53" t="s">
        <v>117</v>
      </c>
      <c r="E617" s="52" t="e">
        <f>+VLOOKUP(A617,cennik!$A:$G,2,FALSE)</f>
        <v>#N/A</v>
      </c>
      <c r="F617" s="52" t="e">
        <f>+VLOOKUP(A617,cennik!A:B,2,FALSE)</f>
        <v>#N/A</v>
      </c>
      <c r="I617" s="1" t="str">
        <f>$J$9</f>
        <v>kart. čierna</v>
      </c>
      <c r="Z617" s="1" t="b">
        <f t="shared" si="71"/>
        <v>1</v>
      </c>
    </row>
    <row r="618" spans="1:26" ht="15" customHeight="1" x14ac:dyDescent="0.25">
      <c r="A618" s="53">
        <v>89139</v>
      </c>
      <c r="B618" s="52"/>
      <c r="C618" s="1" t="str">
        <f>$J$6</f>
        <v>oliva</v>
      </c>
      <c r="D618" s="53">
        <v>89139</v>
      </c>
      <c r="E618" s="52" t="str">
        <f>+VLOOKUP(A618,cennik!$A:$G,2,FALSE)</f>
        <v>SEVROLL 00905 uholník Mini 17x11mm 3m oliva</v>
      </c>
      <c r="F618" s="52" t="str">
        <f>+VLOOKUP(A618,cennik!A:B,2,FALSE)</f>
        <v>SEVROLL 00905 uholník Mini 17x11mm 3m oliva</v>
      </c>
      <c r="G618" s="1" t="e">
        <f>+VLOOKUP(A618,#REF!,4,FALSE)</f>
        <v>#REF!</v>
      </c>
      <c r="I618" s="1" t="str">
        <f>$J$6</f>
        <v>oliva</v>
      </c>
      <c r="Z618" s="1" t="b">
        <f t="shared" si="71"/>
        <v>1</v>
      </c>
    </row>
    <row r="619" spans="1:26" ht="15" customHeight="1" x14ac:dyDescent="0.25">
      <c r="A619" s="53">
        <v>89140</v>
      </c>
      <c r="B619" s="52"/>
      <c r="C619" s="1" t="str">
        <f>$J$4</f>
        <v xml:space="preserve">strieborná </v>
      </c>
      <c r="D619" s="53">
        <v>89140</v>
      </c>
      <c r="E619" s="52" t="str">
        <f>+VLOOKUP(A619,cennik!$A:$G,2,FALSE)</f>
        <v>SEVROLL 00104 úhelník Mini 17x11mm 3m strieborný</v>
      </c>
      <c r="F619" s="52" t="str">
        <f>+VLOOKUP(A619,cennik!A:B,2,FALSE)</f>
        <v>SEVROLL 00104 úhelník Mini 17x11mm 3m strieborný</v>
      </c>
      <c r="G619" s="1" t="e">
        <f>+VLOOKUP(A619,#REF!,4,FALSE)</f>
        <v>#REF!</v>
      </c>
      <c r="I619" s="1" t="str">
        <f>$J$4</f>
        <v xml:space="preserve">strieborná </v>
      </c>
      <c r="Z619" s="1" t="b">
        <f t="shared" si="71"/>
        <v>1</v>
      </c>
    </row>
    <row r="620" spans="1:26" s="559" customFormat="1" ht="15" customHeight="1" x14ac:dyDescent="0.25">
      <c r="A620" s="53" t="s">
        <v>117</v>
      </c>
      <c r="C620" s="559" t="str">
        <f>$J$18</f>
        <v>biela mat</v>
      </c>
      <c r="D620" s="53" t="s">
        <v>117</v>
      </c>
      <c r="E620" s="560" t="e">
        <f>+VLOOKUP(A620,cennik!$A:$G,2,FALSE)</f>
        <v>#N/A</v>
      </c>
      <c r="F620" s="560" t="e">
        <f>+VLOOKUP(A620,cennik!A:B,2,FALSE)</f>
        <v>#N/A</v>
      </c>
      <c r="I620" s="559" t="str">
        <f>$J$18</f>
        <v>biela mat</v>
      </c>
      <c r="Z620" s="1" t="b">
        <f t="shared" si="71"/>
        <v>1</v>
      </c>
    </row>
    <row r="621" spans="1:26" s="559" customFormat="1" ht="15" customHeight="1" x14ac:dyDescent="0.25">
      <c r="A621" s="53">
        <v>267880</v>
      </c>
      <c r="B621" s="52"/>
      <c r="C621" s="1" t="str">
        <f>$J$15</f>
        <v>biela lesk</v>
      </c>
      <c r="D621" s="53">
        <v>267880</v>
      </c>
      <c r="E621" s="52" t="str">
        <f>+VLOOKUP(A621,cennik!$A:$G,2,FALSE)</f>
        <v>SEVROLL 04055 uholník Mini 17x11mm 3m biela lesk</v>
      </c>
      <c r="F621" s="52" t="str">
        <f>+VLOOKUP(A621,cennik!A:B,2,FALSE)</f>
        <v>SEVROLL 04055 uholník Mini 17x11mm 3m biela lesk</v>
      </c>
      <c r="G621" s="1" t="e">
        <f>+VLOOKUP(A621,#REF!,4,FALSE)</f>
        <v>#REF!</v>
      </c>
      <c r="H621" s="1"/>
      <c r="I621" s="1" t="str">
        <f>$J$15</f>
        <v>biela lesk</v>
      </c>
      <c r="Z621" s="1" t="b">
        <f t="shared" si="71"/>
        <v>1</v>
      </c>
    </row>
    <row r="622" spans="1:26" s="559" customFormat="1" ht="15" customHeight="1" x14ac:dyDescent="0.25">
      <c r="A622" s="561" t="s">
        <v>117</v>
      </c>
      <c r="B622" s="560" t="s">
        <v>48</v>
      </c>
      <c r="C622" s="559" t="str">
        <f>$J$5</f>
        <v>zlatá</v>
      </c>
      <c r="D622" s="561" t="s">
        <v>117</v>
      </c>
      <c r="E622" s="560" t="e">
        <f>+VLOOKUP(A622,cennik!$A:$G,2,FALSE)</f>
        <v>#N/A</v>
      </c>
      <c r="F622" s="560" t="e">
        <f>+VLOOKUP(A622,cennik!A:B,2,FALSE)</f>
        <v>#N/A</v>
      </c>
      <c r="G622" s="559" t="e">
        <f>+VLOOKUP(A622,#REF!,4,FALSE)</f>
        <v>#REF!</v>
      </c>
      <c r="I622" s="559" t="str">
        <f>$J$5</f>
        <v>zlatá</v>
      </c>
      <c r="Z622" s="1" t="b">
        <f t="shared" si="71"/>
        <v>1</v>
      </c>
    </row>
    <row r="623" spans="1:26" s="559" customFormat="1" ht="15" customHeight="1" x14ac:dyDescent="0.25">
      <c r="A623" s="561">
        <v>89052</v>
      </c>
      <c r="B623" s="560"/>
      <c r="C623" s="559" t="str">
        <f>$J$6</f>
        <v>oliva</v>
      </c>
      <c r="D623" s="561">
        <v>89052</v>
      </c>
      <c r="E623" s="560" t="str">
        <f>+VLOOKUP(A623,cennik!$A:$G,2,FALSE)</f>
        <v>SEVROLL 278 UHOLNÍK K2 1,70M OLIVOVÁ</v>
      </c>
      <c r="F623" s="560" t="str">
        <f>+VLOOKUP(A623,cennik!A:B,2,FALSE)</f>
        <v>SEVROLL 278 UHOLNÍK K2 1,70M OLIVOVÁ</v>
      </c>
      <c r="G623" s="559" t="e">
        <f>+VLOOKUP(A623,#REF!,4,FALSE)</f>
        <v>#REF!</v>
      </c>
      <c r="I623" s="559" t="str">
        <f>$J$6</f>
        <v>oliva</v>
      </c>
      <c r="Z623" s="1" t="b">
        <f t="shared" si="71"/>
        <v>1</v>
      </c>
    </row>
    <row r="624" spans="1:26" s="559" customFormat="1" ht="15" customHeight="1" x14ac:dyDescent="0.25">
      <c r="A624" s="561">
        <v>89050</v>
      </c>
      <c r="B624" s="560"/>
      <c r="C624" s="559" t="str">
        <f>$J$4</f>
        <v xml:space="preserve">strieborná </v>
      </c>
      <c r="D624" s="561">
        <v>89050</v>
      </c>
      <c r="E624" s="560" t="str">
        <f>+VLOOKUP(A624,cennik!$A:$G,2,FALSE)</f>
        <v>SEVROLL 278 UHOLNÍK K2 1,70M STRIEBORNÁ</v>
      </c>
      <c r="F624" s="560" t="str">
        <f>+VLOOKUP(A624,cennik!A:B,2,FALSE)</f>
        <v>SEVROLL 278 UHOLNÍK K2 1,70M STRIEBORNÁ</v>
      </c>
      <c r="G624" s="559" t="e">
        <f>+VLOOKUP(A624,#REF!,4,FALSE)</f>
        <v>#REF!</v>
      </c>
      <c r="I624" s="559" t="str">
        <f>$J$4</f>
        <v xml:space="preserve">strieborná </v>
      </c>
      <c r="Z624" s="1" t="b">
        <f t="shared" si="71"/>
        <v>1</v>
      </c>
    </row>
    <row r="625" spans="1:26" s="559" customFormat="1" ht="15" customHeight="1" x14ac:dyDescent="0.25">
      <c r="A625" s="53" t="s">
        <v>117</v>
      </c>
      <c r="B625" s="52"/>
      <c r="C625" s="1" t="str">
        <f>$J$16</f>
        <v>čierna lesk</v>
      </c>
      <c r="D625" s="53" t="s">
        <v>117</v>
      </c>
      <c r="E625" s="52" t="e">
        <f>+VLOOKUP(A625,cennik!$A:$G,2,FALSE)</f>
        <v>#N/A</v>
      </c>
      <c r="F625" s="52" t="e">
        <f>+VLOOKUP(A625,cennik!A:B,2,FALSE)</f>
        <v>#N/A</v>
      </c>
      <c r="G625" s="1" t="e">
        <f>+VLOOKUP(A625,#REF!,4,FALSE)</f>
        <v>#REF!</v>
      </c>
      <c r="H625" s="1"/>
      <c r="I625" s="1" t="str">
        <f>$J$16</f>
        <v>čierna lesk</v>
      </c>
      <c r="Z625" s="1" t="b">
        <f t="shared" si="71"/>
        <v>1</v>
      </c>
    </row>
    <row r="626" spans="1:26" s="559" customFormat="1" ht="15" customHeight="1" x14ac:dyDescent="0.25">
      <c r="A626" s="53" t="s">
        <v>117</v>
      </c>
      <c r="B626" s="52"/>
      <c r="C626" s="1" t="str">
        <f>$J$17</f>
        <v>čierna mat</v>
      </c>
      <c r="D626" s="53" t="s">
        <v>117</v>
      </c>
      <c r="E626" s="52" t="e">
        <f>+VLOOKUP(A626,cennik!$A:$G,2,FALSE)</f>
        <v>#N/A</v>
      </c>
      <c r="F626" s="52" t="e">
        <f>+VLOOKUP(A626,cennik!A:B,2,FALSE)</f>
        <v>#N/A</v>
      </c>
      <c r="G626" s="1"/>
      <c r="H626" s="1"/>
      <c r="I626" s="1" t="str">
        <f>$J$17</f>
        <v>čierna mat</v>
      </c>
      <c r="Z626" s="1" t="b">
        <f t="shared" si="71"/>
        <v>1</v>
      </c>
    </row>
    <row r="627" spans="1:26" s="559" customFormat="1" ht="15" customHeight="1" x14ac:dyDescent="0.25">
      <c r="A627" s="561" t="s">
        <v>117</v>
      </c>
      <c r="B627" s="560"/>
      <c r="C627" s="559" t="str">
        <f>$J$15</f>
        <v>biela lesk</v>
      </c>
      <c r="D627" s="561" t="s">
        <v>117</v>
      </c>
      <c r="E627" s="560" t="e">
        <f>+VLOOKUP(A627,cennik!$A:$G,2,FALSE)</f>
        <v>#N/A</v>
      </c>
      <c r="F627" s="560" t="e">
        <f>+VLOOKUP(A627,cennik!A:B,2,FALSE)</f>
        <v>#N/A</v>
      </c>
      <c r="I627" s="559" t="str">
        <f>$J$15</f>
        <v>biela lesk</v>
      </c>
      <c r="Z627" s="1" t="b">
        <f t="shared" si="71"/>
        <v>1</v>
      </c>
    </row>
    <row r="628" spans="1:26" ht="15" customHeight="1" x14ac:dyDescent="0.25">
      <c r="A628" s="561">
        <v>191700</v>
      </c>
      <c r="B628" s="560"/>
      <c r="C628" s="559" t="str">
        <f>$J$7</f>
        <v>oliva kartáčovaná</v>
      </c>
      <c r="D628" s="561">
        <v>191700</v>
      </c>
      <c r="E628" s="560" t="str">
        <f>+VLOOKUP(A628,cennik!$A:$G,2,FALSE)</f>
        <v>SEVROLL uholník K2 Decor 1,7m oliva kartáčov</v>
      </c>
      <c r="F628" s="560" t="str">
        <f>+VLOOKUP(A628,cennik!A:B,2,FALSE)</f>
        <v>SEVROLL uholník K2 Decor 1,7m oliva kartáčov</v>
      </c>
      <c r="G628" s="559"/>
      <c r="H628" s="559"/>
      <c r="I628" s="559" t="str">
        <f>$J$7</f>
        <v>oliva kartáčovaná</v>
      </c>
      <c r="Z628" s="1" t="b">
        <f t="shared" si="71"/>
        <v>1</v>
      </c>
    </row>
    <row r="629" spans="1:26" s="559" customFormat="1" ht="15" customHeight="1" x14ac:dyDescent="0.25">
      <c r="A629" s="561">
        <v>223326</v>
      </c>
      <c r="B629" s="560"/>
      <c r="C629" s="559" t="str">
        <f>$J$8</f>
        <v>kart. tm. oliva</v>
      </c>
      <c r="D629" s="561">
        <v>223326</v>
      </c>
      <c r="E629" s="560" t="str">
        <f>+VLOOKUP(A629,cennik!$A:$G,2,FALSE)</f>
        <v>SEVROLL úholník K2 1,7m oliva tmavá kartáčovaná</v>
      </c>
      <c r="F629" s="560" t="str">
        <f>+VLOOKUP(A629,cennik!A:B,2,FALSE)</f>
        <v>SEVROLL úholník K2 1,7m oliva tmavá kartáčovaná</v>
      </c>
      <c r="I629" s="559" t="str">
        <f>$J$8</f>
        <v>kart. tm. oliva</v>
      </c>
      <c r="Z629" s="1" t="b">
        <f t="shared" si="71"/>
        <v>1</v>
      </c>
    </row>
    <row r="630" spans="1:26" ht="15" customHeight="1" x14ac:dyDescent="0.25">
      <c r="A630" s="53" t="s">
        <v>117</v>
      </c>
      <c r="B630" s="559"/>
      <c r="C630" s="559" t="str">
        <f>$J$18</f>
        <v>biela mat</v>
      </c>
      <c r="D630" s="53" t="s">
        <v>117</v>
      </c>
      <c r="E630" s="560" t="e">
        <f>+VLOOKUP(A630,cennik!$A:$G,2,FALSE)</f>
        <v>#N/A</v>
      </c>
      <c r="F630" s="560" t="e">
        <f>+VLOOKUP(A630,cennik!A:B,2,FALSE)</f>
        <v>#N/A</v>
      </c>
      <c r="G630" s="559"/>
      <c r="H630" s="559"/>
      <c r="I630" s="559" t="str">
        <f>$J$18</f>
        <v>biela mat</v>
      </c>
      <c r="Z630" s="1" t="b">
        <f t="shared" si="71"/>
        <v>1</v>
      </c>
    </row>
    <row r="631" spans="1:26" ht="15" customHeight="1" x14ac:dyDescent="0.25">
      <c r="A631" s="561">
        <v>223392</v>
      </c>
      <c r="B631" s="560"/>
      <c r="C631" s="559" t="str">
        <f>$J$9</f>
        <v>kart. čierna</v>
      </c>
      <c r="D631" s="561">
        <v>223392</v>
      </c>
      <c r="E631" s="560" t="str">
        <f>+VLOOKUP(A631,cennik!$A:$G,2,FALSE)</f>
        <v>SEVROLL uholník K2 1,7m čierna kartáčovaná</v>
      </c>
      <c r="F631" s="560" t="str">
        <f>+VLOOKUP(A631,cennik!A:B,2,FALSE)</f>
        <v>SEVROLL uholník K2 1,7m čierna kartáčovaná</v>
      </c>
      <c r="G631" s="559"/>
      <c r="H631" s="559"/>
      <c r="I631" s="559" t="str">
        <f>$J$9</f>
        <v>kart. čierna</v>
      </c>
      <c r="Z631" s="1" t="b">
        <f t="shared" si="71"/>
        <v>1</v>
      </c>
    </row>
    <row r="632" spans="1:26" ht="15" customHeight="1" x14ac:dyDescent="0.25">
      <c r="A632" s="53" t="s">
        <v>117</v>
      </c>
      <c r="B632" s="52" t="s">
        <v>53</v>
      </c>
      <c r="C632" s="1" t="str">
        <f>$J$5</f>
        <v>zlatá</v>
      </c>
      <c r="D632" s="53" t="s">
        <v>117</v>
      </c>
      <c r="E632" s="52" t="e">
        <f>+VLOOKUP(A632,cennik!$A:$G,2,FALSE)</f>
        <v>#N/A</v>
      </c>
      <c r="F632" s="52" t="e">
        <f>+VLOOKUP(A632,cennik!A:B,2,FALSE)</f>
        <v>#N/A</v>
      </c>
      <c r="G632" s="1" t="e">
        <f>+VLOOKUP(A632,#REF!,4,FALSE)</f>
        <v>#REF!</v>
      </c>
      <c r="I632" s="1" t="str">
        <f>$J$5</f>
        <v>zlatá</v>
      </c>
      <c r="Z632" s="1" t="b">
        <f t="shared" si="71"/>
        <v>1</v>
      </c>
    </row>
    <row r="633" spans="1:26" ht="15" customHeight="1" x14ac:dyDescent="0.25">
      <c r="A633" s="53">
        <v>89055</v>
      </c>
      <c r="B633" s="52"/>
      <c r="C633" s="1" t="str">
        <f>$J$6</f>
        <v>oliva</v>
      </c>
      <c r="D633" s="53">
        <v>89055</v>
      </c>
      <c r="E633" s="52" t="str">
        <f>+VLOOKUP(A633,cennik!$A:$G,2,FALSE)</f>
        <v>SEVROLL 00070 uholník K2 Decor 2,35m oliva</v>
      </c>
      <c r="F633" s="52" t="str">
        <f>+VLOOKUP(A633,cennik!A:B,2,FALSE)</f>
        <v>SEVROLL 00070 uholník K2 Decor 2,35m oliva</v>
      </c>
      <c r="G633" s="1" t="e">
        <f>+VLOOKUP(A633,#REF!,4,FALSE)</f>
        <v>#REF!</v>
      </c>
      <c r="I633" s="1" t="str">
        <f>$J$6</f>
        <v>oliva</v>
      </c>
      <c r="Z633" s="1" t="b">
        <f t="shared" si="71"/>
        <v>1</v>
      </c>
    </row>
    <row r="634" spans="1:26" ht="15" customHeight="1" x14ac:dyDescent="0.25">
      <c r="A634" s="53">
        <v>89053</v>
      </c>
      <c r="B634" s="52"/>
      <c r="C634" s="1" t="str">
        <f>$J$4</f>
        <v xml:space="preserve">strieborná </v>
      </c>
      <c r="D634" s="53">
        <v>89053</v>
      </c>
      <c r="E634" s="52" t="str">
        <f>+VLOOKUP(A634,cennik!$A:$G,2,FALSE)</f>
        <v>SEVROLL 00079 uholník K2 Decor 2,35m strieborná</v>
      </c>
      <c r="F634" s="52" t="str">
        <f>+VLOOKUP(A634,cennik!A:B,2,FALSE)</f>
        <v>SEVROLL 00079 uholník K2 Decor 2,35m strieborná</v>
      </c>
      <c r="G634" s="1" t="e">
        <f>+VLOOKUP(A634,#REF!,4,FALSE)</f>
        <v>#REF!</v>
      </c>
      <c r="I634" s="1" t="str">
        <f>$J$4</f>
        <v xml:space="preserve">strieborná </v>
      </c>
      <c r="Z634" s="1" t="b">
        <f t="shared" si="71"/>
        <v>1</v>
      </c>
    </row>
    <row r="635" spans="1:26" ht="15" customHeight="1" x14ac:dyDescent="0.25">
      <c r="A635" s="53" t="s">
        <v>117</v>
      </c>
      <c r="B635" s="52"/>
      <c r="C635" s="1" t="str">
        <f>$J$16</f>
        <v>čierna lesk</v>
      </c>
      <c r="D635" s="53" t="s">
        <v>117</v>
      </c>
      <c r="E635" s="52" t="e">
        <f>+VLOOKUP(A635,cennik!$A:$G,2,FALSE)</f>
        <v>#N/A</v>
      </c>
      <c r="F635" s="52" t="e">
        <f>+VLOOKUP(A635,cennik!A:B,2,FALSE)</f>
        <v>#N/A</v>
      </c>
      <c r="G635" s="1" t="e">
        <f>+VLOOKUP(A635,#REF!,4,FALSE)</f>
        <v>#REF!</v>
      </c>
      <c r="I635" s="1" t="str">
        <f>$J$16</f>
        <v>čierna lesk</v>
      </c>
      <c r="Z635" s="1" t="b">
        <f t="shared" si="71"/>
        <v>1</v>
      </c>
    </row>
    <row r="636" spans="1:26" ht="15" customHeight="1" x14ac:dyDescent="0.25">
      <c r="A636" s="53" t="s">
        <v>117</v>
      </c>
      <c r="B636" s="52"/>
      <c r="C636" s="1" t="str">
        <f>$J$17</f>
        <v>čierna mat</v>
      </c>
      <c r="D636" s="53" t="s">
        <v>117</v>
      </c>
      <c r="E636" s="52" t="e">
        <f>+VLOOKUP(A636,cennik!$A:$G,2,FALSE)</f>
        <v>#N/A</v>
      </c>
      <c r="F636" s="52" t="e">
        <f>+VLOOKUP(A636,cennik!A:B,2,FALSE)</f>
        <v>#N/A</v>
      </c>
      <c r="I636" s="1" t="str">
        <f>$J$17</f>
        <v>čierna mat</v>
      </c>
      <c r="Z636" s="1" t="b">
        <f t="shared" si="71"/>
        <v>1</v>
      </c>
    </row>
    <row r="637" spans="1:26" ht="15" customHeight="1" x14ac:dyDescent="0.25">
      <c r="A637" s="53">
        <v>191701</v>
      </c>
      <c r="B637" s="52"/>
      <c r="C637" s="1" t="str">
        <f>$J$7</f>
        <v>oliva kartáčovaná</v>
      </c>
      <c r="D637" s="53">
        <v>191701</v>
      </c>
      <c r="E637" s="52" t="str">
        <f>+VLOOKUP(A637,cennik!$A:$G,2,FALSE)</f>
        <v>SEVROLL uholník K2 Decor 2,35m oliva kartáč.</v>
      </c>
      <c r="F637" s="52" t="str">
        <f>+VLOOKUP(A637,cennik!A:B,2,FALSE)</f>
        <v>SEVROLL uholník K2 Decor 2,35m oliva kartáč.</v>
      </c>
      <c r="I637" s="1" t="str">
        <f>$J$7</f>
        <v>oliva kartáčovaná</v>
      </c>
      <c r="Z637" s="1" t="b">
        <f t="shared" si="71"/>
        <v>1</v>
      </c>
    </row>
    <row r="638" spans="1:26" ht="15" customHeight="1" x14ac:dyDescent="0.25">
      <c r="A638" s="53">
        <v>223330</v>
      </c>
      <c r="B638" s="52"/>
      <c r="C638" s="1" t="str">
        <f>$J$8</f>
        <v>kart. tm. oliva</v>
      </c>
      <c r="D638" s="53">
        <v>223330</v>
      </c>
      <c r="E638" s="52" t="str">
        <f>+VLOOKUP(A638,cennik!$A:$G,2,FALSE)</f>
        <v>SEVROLL uholník K2 2,35m oliva tmavá kartáčovaná</v>
      </c>
      <c r="F638" s="52" t="str">
        <f>+VLOOKUP(A638,cennik!A:B,2,FALSE)</f>
        <v>SEVROLL uholník K2 2,35m oliva tmavá kartáčovaná</v>
      </c>
      <c r="I638" s="1" t="str">
        <f>$J$8</f>
        <v>kart. tm. oliva</v>
      </c>
      <c r="Z638" s="1" t="b">
        <f t="shared" si="71"/>
        <v>1</v>
      </c>
    </row>
    <row r="639" spans="1:26" ht="15" customHeight="1" x14ac:dyDescent="0.25">
      <c r="A639" s="53" t="s">
        <v>117</v>
      </c>
      <c r="B639" s="559"/>
      <c r="C639" s="559" t="str">
        <f>$J$18</f>
        <v>biela mat</v>
      </c>
      <c r="D639" s="53" t="s">
        <v>117</v>
      </c>
      <c r="E639" s="560" t="e">
        <f>+VLOOKUP(A639,cennik!$A:$G,2,FALSE)</f>
        <v>#N/A</v>
      </c>
      <c r="F639" s="560" t="e">
        <f>+VLOOKUP(A639,cennik!A:B,2,FALSE)</f>
        <v>#N/A</v>
      </c>
      <c r="G639" s="559"/>
      <c r="H639" s="559"/>
      <c r="I639" s="559" t="str">
        <f>$J$18</f>
        <v>biela mat</v>
      </c>
      <c r="Z639" s="1" t="b">
        <f t="shared" si="71"/>
        <v>1</v>
      </c>
    </row>
    <row r="640" spans="1:26" ht="15" customHeight="1" x14ac:dyDescent="0.25">
      <c r="A640" s="53">
        <v>223393</v>
      </c>
      <c r="B640" s="52"/>
      <c r="C640" s="1" t="str">
        <f>$J$9</f>
        <v>kart. čierna</v>
      </c>
      <c r="D640" s="53">
        <v>223393</v>
      </c>
      <c r="E640" s="52" t="str">
        <f>+VLOOKUP(A640,cennik!$A:$G,2,FALSE)</f>
        <v>SEVROLL uholník K2 2,35m čierna kartáčovaná</v>
      </c>
      <c r="F640" s="52" t="str">
        <f>+VLOOKUP(A640,cennik!A:B,2,FALSE)</f>
        <v>SEVROLL uholník K2 2,35m čierna kartáčovaná</v>
      </c>
      <c r="I640" s="1" t="str">
        <f>$J$9</f>
        <v>kart. čierna</v>
      </c>
      <c r="Z640" s="1" t="b">
        <f t="shared" si="71"/>
        <v>1</v>
      </c>
    </row>
    <row r="641" spans="1:26" ht="15" customHeight="1" x14ac:dyDescent="0.25">
      <c r="A641" s="53" t="s">
        <v>117</v>
      </c>
      <c r="B641" s="52"/>
      <c r="C641" s="1" t="str">
        <f>$J$15</f>
        <v>biela lesk</v>
      </c>
      <c r="D641" s="53" t="s">
        <v>117</v>
      </c>
      <c r="E641" s="52" t="e">
        <f>+VLOOKUP(A641,cennik!$A:$G,2,FALSE)</f>
        <v>#N/A</v>
      </c>
      <c r="F641" s="52" t="e">
        <f>+VLOOKUP(A641,cennik!A:B,2,FALSE)</f>
        <v>#N/A</v>
      </c>
      <c r="I641" s="1" t="str">
        <f>$J$15</f>
        <v>biela lesk</v>
      </c>
      <c r="Z641" s="1" t="b">
        <f t="shared" si="71"/>
        <v>1</v>
      </c>
    </row>
    <row r="642" spans="1:26" ht="15" customHeight="1" x14ac:dyDescent="0.25">
      <c r="A642" s="53" t="s">
        <v>117</v>
      </c>
      <c r="B642" s="52" t="s">
        <v>54</v>
      </c>
      <c r="C642" s="1" t="str">
        <f>$J$5</f>
        <v>zlatá</v>
      </c>
      <c r="D642" s="53" t="s">
        <v>117</v>
      </c>
      <c r="E642" s="52" t="e">
        <f>+VLOOKUP(A642,cennik!$A:$G,2,FALSE)</f>
        <v>#N/A</v>
      </c>
      <c r="F642" s="52" t="e">
        <f>+VLOOKUP(A642,cennik!A:B,2,FALSE)</f>
        <v>#N/A</v>
      </c>
      <c r="G642" s="1" t="e">
        <f>+VLOOKUP(A642,#REF!,4,FALSE)</f>
        <v>#REF!</v>
      </c>
      <c r="I642" s="1" t="str">
        <f>$J$5</f>
        <v>zlatá</v>
      </c>
      <c r="Z642" s="1" t="b">
        <f t="shared" si="71"/>
        <v>1</v>
      </c>
    </row>
    <row r="643" spans="1:26" ht="15" customHeight="1" x14ac:dyDescent="0.25">
      <c r="A643" s="53">
        <v>89058</v>
      </c>
      <c r="B643" s="52"/>
      <c r="C643" s="1" t="str">
        <f>$J$6</f>
        <v>oliva</v>
      </c>
      <c r="D643" s="53">
        <v>89058</v>
      </c>
      <c r="E643" s="52" t="str">
        <f>+VLOOKUP(A643,cennik!$A:$G,2,FALSE)</f>
        <v>SEVROLL 00071 uholník K2 Decor 3m oliva</v>
      </c>
      <c r="F643" s="52" t="str">
        <f>+VLOOKUP(A643,cennik!A:B,2,FALSE)</f>
        <v>SEVROLL 00071 uholník K2 Decor 3m oliva</v>
      </c>
      <c r="G643" s="1" t="e">
        <f>+VLOOKUP(A643,#REF!,4,FALSE)</f>
        <v>#REF!</v>
      </c>
      <c r="I643" s="1" t="str">
        <f>$J$6</f>
        <v>oliva</v>
      </c>
      <c r="Z643" s="1" t="b">
        <f t="shared" si="71"/>
        <v>1</v>
      </c>
    </row>
    <row r="644" spans="1:26" ht="15" customHeight="1" x14ac:dyDescent="0.25">
      <c r="A644" s="53" t="s">
        <v>117</v>
      </c>
      <c r="B644" s="52"/>
      <c r="C644" s="1" t="str">
        <f>$J$16</f>
        <v>čierna lesk</v>
      </c>
      <c r="D644" s="53" t="s">
        <v>117</v>
      </c>
      <c r="E644" s="52" t="e">
        <f>+VLOOKUP(A644,cennik!$A:$G,2,FALSE)</f>
        <v>#N/A</v>
      </c>
      <c r="F644" s="52" t="e">
        <f>+VLOOKUP(A644,cennik!A:B,2,FALSE)</f>
        <v>#N/A</v>
      </c>
      <c r="G644" s="1" t="e">
        <f>+VLOOKUP(A644,#REF!,4,FALSE)</f>
        <v>#REF!</v>
      </c>
      <c r="I644" s="1" t="str">
        <f>$J$16</f>
        <v>čierna lesk</v>
      </c>
      <c r="Z644" s="1" t="b">
        <f t="shared" si="71"/>
        <v>1</v>
      </c>
    </row>
    <row r="645" spans="1:26" ht="15" customHeight="1" x14ac:dyDescent="0.25">
      <c r="A645" s="53" t="s">
        <v>117</v>
      </c>
      <c r="B645" s="52"/>
      <c r="C645" s="1" t="str">
        <f>$J$17</f>
        <v>čierna mat</v>
      </c>
      <c r="D645" s="53" t="s">
        <v>117</v>
      </c>
      <c r="E645" s="52" t="e">
        <f>+VLOOKUP(A645,cennik!$A:$G,2,FALSE)</f>
        <v>#N/A</v>
      </c>
      <c r="F645" s="52" t="e">
        <f>+VLOOKUP(A645,cennik!A:B,2,FALSE)</f>
        <v>#N/A</v>
      </c>
      <c r="I645" s="1" t="str">
        <f>$J$17</f>
        <v>čierna mat</v>
      </c>
      <c r="Z645" s="1" t="b">
        <f t="shared" si="71"/>
        <v>1</v>
      </c>
    </row>
    <row r="646" spans="1:26" ht="15" customHeight="1" x14ac:dyDescent="0.25">
      <c r="A646" s="53">
        <v>89056</v>
      </c>
      <c r="B646" s="52"/>
      <c r="C646" s="1" t="str">
        <f>$J$4</f>
        <v xml:space="preserve">strieborná </v>
      </c>
      <c r="D646" s="53">
        <v>89056</v>
      </c>
      <c r="E646" s="52" t="str">
        <f>+VLOOKUP(A646,cennik!$A:$G,2,FALSE)</f>
        <v>SEVROLL 00080 uholník K2 Decor 3m strieborná</v>
      </c>
      <c r="F646" s="52" t="str">
        <f>+VLOOKUP(A646,cennik!A:B,2,FALSE)</f>
        <v>SEVROLL 00080 uholník K2 Decor 3m strieborná</v>
      </c>
      <c r="G646" s="1" t="e">
        <f>+VLOOKUP(A646,#REF!,4,FALSE)</f>
        <v>#REF!</v>
      </c>
      <c r="I646" s="1" t="str">
        <f>$J$4</f>
        <v xml:space="preserve">strieborná </v>
      </c>
      <c r="Z646" s="1" t="b">
        <f t="shared" si="71"/>
        <v>1</v>
      </c>
    </row>
    <row r="647" spans="1:26" ht="15" customHeight="1" x14ac:dyDescent="0.25">
      <c r="A647" s="53">
        <v>191702</v>
      </c>
      <c r="B647" s="52"/>
      <c r="C647" s="1" t="str">
        <f>$J$7</f>
        <v>oliva kartáčovaná</v>
      </c>
      <c r="D647" s="53">
        <v>191702</v>
      </c>
      <c r="E647" s="52" t="str">
        <f>+VLOOKUP(A647,cennik!$A:$G,2,FALSE)</f>
        <v>SEVROLL uholník K2 Decor 3m oliva kartáč.</v>
      </c>
      <c r="F647" s="52" t="str">
        <f>+VLOOKUP(A647,cennik!A:B,2,FALSE)</f>
        <v>SEVROLL uholník K2 Decor 3m oliva kartáč.</v>
      </c>
      <c r="I647" s="1" t="str">
        <f>$J$7</f>
        <v>oliva kartáčovaná</v>
      </c>
      <c r="Z647" s="1" t="b">
        <f t="shared" si="71"/>
        <v>1</v>
      </c>
    </row>
    <row r="648" spans="1:26" ht="15" customHeight="1" x14ac:dyDescent="0.25">
      <c r="A648" s="53">
        <v>223331</v>
      </c>
      <c r="B648" s="52"/>
      <c r="C648" s="1" t="str">
        <f>$J$8</f>
        <v>kart. tm. oliva</v>
      </c>
      <c r="D648" s="53">
        <v>223331</v>
      </c>
      <c r="E648" s="52" t="str">
        <f>+VLOOKUP(A648,cennik!$A:$G,2,FALSE)</f>
        <v>SEVROLL uholník K2 3m oliva tmavá kartáč.</v>
      </c>
      <c r="F648" s="52" t="str">
        <f>+VLOOKUP(A648,cennik!A:B,2,FALSE)</f>
        <v>SEVROLL uholník K2 3m oliva tmavá kartáč.</v>
      </c>
      <c r="I648" s="1" t="str">
        <f>$J$8</f>
        <v>kart. tm. oliva</v>
      </c>
      <c r="Z648" s="1" t="b">
        <f t="shared" si="71"/>
        <v>1</v>
      </c>
    </row>
    <row r="649" spans="1:26" ht="15" customHeight="1" x14ac:dyDescent="0.25">
      <c r="A649" s="53" t="s">
        <v>117</v>
      </c>
      <c r="B649" s="559"/>
      <c r="C649" s="559" t="str">
        <f>$J$18</f>
        <v>biela mat</v>
      </c>
      <c r="D649" s="53" t="s">
        <v>117</v>
      </c>
      <c r="E649" s="560" t="e">
        <f>+VLOOKUP(A649,cennik!$A:$G,2,FALSE)</f>
        <v>#N/A</v>
      </c>
      <c r="F649" s="560" t="e">
        <f>+VLOOKUP(A649,cennik!A:B,2,FALSE)</f>
        <v>#N/A</v>
      </c>
      <c r="G649" s="559"/>
      <c r="H649" s="559"/>
      <c r="I649" s="559" t="str">
        <f>$J$18</f>
        <v>biela mat</v>
      </c>
      <c r="Z649" s="1" t="b">
        <f t="shared" si="71"/>
        <v>1</v>
      </c>
    </row>
    <row r="650" spans="1:26" ht="15" customHeight="1" x14ac:dyDescent="0.25">
      <c r="A650" s="53">
        <v>223394</v>
      </c>
      <c r="B650" s="52"/>
      <c r="C650" s="1" t="str">
        <f>$J$9</f>
        <v>kart. čierna</v>
      </c>
      <c r="D650" s="53">
        <v>223394</v>
      </c>
      <c r="E650" s="52" t="str">
        <f>+VLOOKUP(A650,cennik!$A:$G,2,FALSE)</f>
        <v>SEVROLL uholník K2 3m čierna kartač</v>
      </c>
      <c r="F650" s="52" t="str">
        <f>+VLOOKUP(A650,cennik!A:B,2,FALSE)</f>
        <v>SEVROLL uholník K2 3m čierna kartač</v>
      </c>
      <c r="I650" s="1" t="str">
        <f>$J$9</f>
        <v>kart. čierna</v>
      </c>
      <c r="Z650" s="1" t="b">
        <f t="shared" si="71"/>
        <v>1</v>
      </c>
    </row>
    <row r="651" spans="1:26" ht="15" customHeight="1" x14ac:dyDescent="0.25">
      <c r="A651" s="53" t="s">
        <v>117</v>
      </c>
      <c r="B651" s="52"/>
      <c r="C651" s="1" t="str">
        <f>$J$15</f>
        <v>biela lesk</v>
      </c>
      <c r="D651" s="53" t="s">
        <v>117</v>
      </c>
      <c r="E651" s="52" t="e">
        <f>+VLOOKUP(A651,cennik!$A:$G,2,FALSE)</f>
        <v>#N/A</v>
      </c>
      <c r="F651" s="52" t="e">
        <f>+VLOOKUP(A651,cennik!A:B,2,FALSE)</f>
        <v>#N/A</v>
      </c>
      <c r="I651" s="1" t="str">
        <f>$J$15</f>
        <v>biela lesk</v>
      </c>
      <c r="Z651" s="1" t="b">
        <f t="shared" si="71"/>
        <v>1</v>
      </c>
    </row>
    <row r="652" spans="1:26" ht="15" customHeight="1" x14ac:dyDescent="0.25">
      <c r="A652" s="53">
        <v>135534</v>
      </c>
      <c r="B652" s="52" t="s">
        <v>37</v>
      </c>
      <c r="C652" s="1" t="str">
        <f>$J$6</f>
        <v>oliva</v>
      </c>
      <c r="D652" s="53">
        <v>135534</v>
      </c>
      <c r="E652" s="52" t="str">
        <f>+VLOOKUP(A652,cennik!$A:$G,2,FALSE)</f>
        <v>SEVROLL 04542 Victoria II úchytová lišta 18mm 2,7m oliva</v>
      </c>
      <c r="F652" s="52" t="str">
        <f>+VLOOKUP(A652,cennik!A:B,2,FALSE)</f>
        <v>SEVROLL 04542 Victoria II úchytová lišta 18mm 2,7m oliva</v>
      </c>
      <c r="G652" s="1" t="e">
        <f>+VLOOKUP(A652,#REF!,4,FALSE)</f>
        <v>#REF!</v>
      </c>
      <c r="I652" s="1" t="str">
        <f>$J$6</f>
        <v>oliva</v>
      </c>
      <c r="Z652" s="1" t="b">
        <f t="shared" si="71"/>
        <v>1</v>
      </c>
    </row>
    <row r="653" spans="1:26" ht="15" customHeight="1" x14ac:dyDescent="0.25">
      <c r="A653" s="53">
        <v>135532</v>
      </c>
      <c r="B653" s="52"/>
      <c r="C653" s="1" t="str">
        <f>$J$4</f>
        <v xml:space="preserve">strieborná </v>
      </c>
      <c r="D653" s="53">
        <v>135532</v>
      </c>
      <c r="E653" s="52" t="str">
        <f>+VLOOKUP(A653,cennik!$A:$G,2,FALSE)</f>
        <v>SEVROLL 05544 Victoria II úchytová lišta 18mm 2,7m strieborná</v>
      </c>
      <c r="F653" s="52" t="str">
        <f>+VLOOKUP(A653,cennik!A:B,2,FALSE)</f>
        <v>SEVROLL 05544 Victoria II úchytová lišta 18mm 2,7m strieborná</v>
      </c>
      <c r="G653" s="1" t="e">
        <f>+VLOOKUP(A653,#REF!,4,FALSE)</f>
        <v>#REF!</v>
      </c>
      <c r="I653" s="1" t="str">
        <f>$J$4</f>
        <v xml:space="preserve">strieborná </v>
      </c>
      <c r="Z653" s="1" t="b">
        <f t="shared" si="71"/>
        <v>1</v>
      </c>
    </row>
    <row r="654" spans="1:26" s="539" customFormat="1" ht="15" customHeight="1" x14ac:dyDescent="0.25">
      <c r="A654" s="53">
        <v>191699</v>
      </c>
      <c r="B654" s="52"/>
      <c r="C654" s="1" t="str">
        <f>$J$7</f>
        <v>oliva kartáčovaná</v>
      </c>
      <c r="D654" s="53">
        <v>191699</v>
      </c>
      <c r="E654" s="52" t="str">
        <f>+VLOOKUP(A654,cennik!$A:$G,2,FALSE)</f>
        <v>SEVROLL 04618-Y Victoria II úchytová lišta 2,7m oliva kartáčovaná</v>
      </c>
      <c r="F654" s="52" t="str">
        <f>+VLOOKUP(A654,cennik!A:B,2,FALSE)</f>
        <v>SEVROLL 04618-Y Victoria II úchytová lišta 2,7m oliva kartáčovaná</v>
      </c>
      <c r="G654" s="1"/>
      <c r="H654" s="1"/>
      <c r="I654" s="1" t="str">
        <f>$J$7</f>
        <v>oliva kartáčovaná</v>
      </c>
      <c r="Z654" s="1" t="b">
        <f t="shared" si="71"/>
        <v>1</v>
      </c>
    </row>
    <row r="655" spans="1:26" s="539" customFormat="1" ht="15" customHeight="1" x14ac:dyDescent="0.25">
      <c r="A655" s="53">
        <v>216620</v>
      </c>
      <c r="B655" s="52"/>
      <c r="C655" s="1" t="str">
        <f>$J$8</f>
        <v>kart. tm. oliva</v>
      </c>
      <c r="D655" s="53">
        <v>216620</v>
      </c>
      <c r="E655" s="52" t="str">
        <f>+VLOOKUP(A655,cennik!$A:$G,2,FALSE)</f>
        <v>SEVROLL Victoria II 2,7m úchytová lišta oliva tmavá kartáčovaná</v>
      </c>
      <c r="F655" s="52" t="str">
        <f>+VLOOKUP(A655,cennik!A:B,2,FALSE)</f>
        <v>SEVROLL Victoria II 2,7m úchytová lišta oliva tmavá kartáčovaná</v>
      </c>
      <c r="G655" s="1"/>
      <c r="H655" s="1"/>
      <c r="I655" s="1" t="str">
        <f>$J$8</f>
        <v>kart. tm. oliva</v>
      </c>
      <c r="Z655" s="1" t="b">
        <f t="shared" si="71"/>
        <v>1</v>
      </c>
    </row>
    <row r="656" spans="1:26" s="539" customFormat="1" ht="15" customHeight="1" x14ac:dyDescent="0.25">
      <c r="A656" s="53">
        <v>216621</v>
      </c>
      <c r="B656" s="52"/>
      <c r="C656" s="1" t="str">
        <f>$J$9</f>
        <v>kart. čierna</v>
      </c>
      <c r="D656" s="53">
        <v>216621</v>
      </c>
      <c r="E656" s="52" t="str">
        <f>+VLOOKUP(A656,cennik!$A:$G,2,FALSE)</f>
        <v>SEVROLL 04617 Victoria II úchytová lišta 2,7m čierna  kartáčovaná</v>
      </c>
      <c r="F656" s="52" t="str">
        <f>+VLOOKUP(A656,cennik!A:B,2,FALSE)</f>
        <v>SEVROLL 04617 Victoria II úchytová lišta 2,7m čierna  kartáčovaná</v>
      </c>
      <c r="G656" s="1"/>
      <c r="H656" s="1"/>
      <c r="I656" s="1" t="str">
        <f>$J$9</f>
        <v>kart. čierna</v>
      </c>
      <c r="Z656" s="1" t="b">
        <f t="shared" si="71"/>
        <v>1</v>
      </c>
    </row>
    <row r="657" spans="1:26" s="539" customFormat="1" ht="15" customHeight="1" x14ac:dyDescent="0.25">
      <c r="A657" s="53">
        <v>89098</v>
      </c>
      <c r="B657" s="52" t="s">
        <v>36</v>
      </c>
      <c r="C657" s="1" t="str">
        <f>$J$6</f>
        <v>oliva</v>
      </c>
      <c r="D657" s="53">
        <v>89098</v>
      </c>
      <c r="E657" s="52" t="str">
        <f>+VLOOKUP(A657,cennik!$A:$G,2,FALSE)</f>
        <v>SEVROLL Tytan úch.lišta 18mm 2,7m oliva</v>
      </c>
      <c r="F657" s="52" t="str">
        <f>+VLOOKUP(A657,cennik!A:B,2,FALSE)</f>
        <v>SEVROLL Tytan úch.lišta 18mm 2,7m oliva</v>
      </c>
      <c r="G657" s="1" t="e">
        <f>+VLOOKUP(A657,#REF!,4,FALSE)</f>
        <v>#REF!</v>
      </c>
      <c r="H657" s="1"/>
      <c r="I657" s="1" t="str">
        <f>$J$6</f>
        <v>oliva</v>
      </c>
      <c r="Z657" s="1" t="b">
        <f t="shared" si="71"/>
        <v>1</v>
      </c>
    </row>
    <row r="658" spans="1:26" s="539" customFormat="1" ht="15" customHeight="1" x14ac:dyDescent="0.25">
      <c r="A658" s="53">
        <v>89099</v>
      </c>
      <c r="B658" s="52"/>
      <c r="C658" s="1" t="str">
        <f>$J$4</f>
        <v xml:space="preserve">strieborná </v>
      </c>
      <c r="D658" s="53">
        <v>89099</v>
      </c>
      <c r="E658" s="52" t="str">
        <f>+VLOOKUP(A658,cennik!$A:$G,2,FALSE)</f>
        <v>SEVROLL Tytan úch.lišta 18mm 2,7m strieborná</v>
      </c>
      <c r="F658" s="52" t="str">
        <f>+VLOOKUP(A658,cennik!A:B,2,FALSE)</f>
        <v>SEVROLL Tytan úch.lišta 18mm 2,7m strieborná</v>
      </c>
      <c r="G658" s="1" t="e">
        <f>+VLOOKUP(A658,#REF!,4,FALSE)</f>
        <v>#REF!</v>
      </c>
      <c r="H658" s="1"/>
      <c r="I658" s="1" t="str">
        <f>$J$4</f>
        <v xml:space="preserve">strieborná </v>
      </c>
      <c r="Z658" s="1" t="b">
        <f t="shared" si="71"/>
        <v>1</v>
      </c>
    </row>
    <row r="659" spans="1:26" s="539" customFormat="1" ht="15" customHeight="1" x14ac:dyDescent="0.25">
      <c r="A659" s="53">
        <v>213977</v>
      </c>
      <c r="B659" s="176" t="s">
        <v>844</v>
      </c>
      <c r="C659" s="1" t="str">
        <f>$J$4</f>
        <v xml:space="preserve">strieborná </v>
      </c>
      <c r="D659" s="53">
        <v>213977</v>
      </c>
      <c r="E659" s="52" t="str">
        <f>+VLOOKUP(A659,cennik!$A:$G,2,FALSE)</f>
        <v>SEVROLL 04611 Beta 18 úchytová lišta 2,70m strieborná</v>
      </c>
      <c r="F659" s="52" t="str">
        <f>+VLOOKUP(A659,cennik!A:B,2,FALSE)</f>
        <v>SEVROLL 04611 Beta 18 úchytová lišta 2,70m strieborná</v>
      </c>
      <c r="G659" s="1"/>
      <c r="H659" s="1"/>
      <c r="I659" s="1" t="str">
        <f>$J$4</f>
        <v xml:space="preserve">strieborná </v>
      </c>
      <c r="Z659" s="1" t="b">
        <f t="shared" ref="Z659:Z723" si="72">A659=D659</f>
        <v>1</v>
      </c>
    </row>
    <row r="660" spans="1:26" s="539" customFormat="1" ht="15" customHeight="1" x14ac:dyDescent="0.25">
      <c r="A660" s="53">
        <v>213978</v>
      </c>
      <c r="B660" s="52"/>
      <c r="C660" s="1" t="str">
        <f>$J$6</f>
        <v>oliva</v>
      </c>
      <c r="D660" s="53">
        <v>213978</v>
      </c>
      <c r="E660" s="52" t="str">
        <f>+VLOOKUP(A660,cennik!$A:$G,2,FALSE)</f>
        <v>SEVROLL Beta 18 úchytová lišta 2,70m oliva</v>
      </c>
      <c r="F660" s="52" t="str">
        <f>+VLOOKUP(A660,cennik!A:B,2,FALSE)</f>
        <v>SEVROLL Beta 18 úchytová lišta 2,70m oliva</v>
      </c>
      <c r="G660" s="1"/>
      <c r="H660" s="1"/>
      <c r="I660" s="1" t="str">
        <f>$J$6</f>
        <v>oliva</v>
      </c>
      <c r="Z660" s="1" t="b">
        <f t="shared" si="72"/>
        <v>1</v>
      </c>
    </row>
    <row r="661" spans="1:26" s="539" customFormat="1" ht="15" customHeight="1" x14ac:dyDescent="0.25">
      <c r="A661" s="53">
        <v>246893</v>
      </c>
      <c r="B661" s="176" t="s">
        <v>838</v>
      </c>
      <c r="C661" s="1" t="str">
        <f>$J$4</f>
        <v xml:space="preserve">strieborná </v>
      </c>
      <c r="D661" s="53">
        <v>246893</v>
      </c>
      <c r="E661" s="52" t="str">
        <f>+VLOOKUP(A661,cennik!$A:$G,2,FALSE)</f>
        <v>SEVROLL Oaza II úch.lišta 2,7m strieborná</v>
      </c>
      <c r="F661" s="52" t="str">
        <f>+VLOOKUP(A661,cennik!A:B,2,FALSE)</f>
        <v>SEVROLL Oaza II úch.lišta 2,7m strieborná</v>
      </c>
      <c r="G661" s="1"/>
      <c r="H661" s="1"/>
      <c r="I661" s="1" t="str">
        <f>$J$4</f>
        <v xml:space="preserve">strieborná </v>
      </c>
      <c r="Z661" s="1" t="b">
        <f t="shared" si="72"/>
        <v>1</v>
      </c>
    </row>
    <row r="662" spans="1:26" s="539" customFormat="1" ht="15" customHeight="1" x14ac:dyDescent="0.25">
      <c r="A662" s="53">
        <v>246894</v>
      </c>
      <c r="B662" s="52"/>
      <c r="C662" s="1" t="str">
        <f>$J$6</f>
        <v>oliva</v>
      </c>
      <c r="D662" s="53">
        <v>246894</v>
      </c>
      <c r="E662" s="52" t="str">
        <f>+VLOOKUP(A662,cennik!$A:$G,2,FALSE)</f>
        <v>SEVROLL Oaza II úch. Lišta 2,7m oliva</v>
      </c>
      <c r="F662" s="52" t="str">
        <f>+VLOOKUP(A662,cennik!A:B,2,FALSE)</f>
        <v>SEVROLL Oaza II úch. Lišta 2,7m oliva</v>
      </c>
      <c r="G662" s="1"/>
      <c r="H662" s="1"/>
      <c r="I662" s="1" t="str">
        <f>$J$6</f>
        <v>oliva</v>
      </c>
      <c r="Z662" s="1" t="b">
        <f t="shared" si="72"/>
        <v>1</v>
      </c>
    </row>
    <row r="663" spans="1:26" ht="15" customHeight="1" x14ac:dyDescent="0.25">
      <c r="A663" s="53">
        <v>135136</v>
      </c>
      <c r="B663" s="52" t="s">
        <v>55</v>
      </c>
      <c r="C663" s="1" t="str">
        <f>$J$4</f>
        <v xml:space="preserve">strieborná </v>
      </c>
      <c r="D663" s="53">
        <v>135136</v>
      </c>
      <c r="E663" s="52" t="str">
        <f>+VLOOKUP(A663,cennik!$A:$G,2,FALSE)</f>
        <v>SEVROLL 05546 Factor 18 II úchytová lišta 2,7m strieborná</v>
      </c>
      <c r="F663" s="52" t="str">
        <f>+VLOOKUP(A663,cennik!A:B,2,FALSE)</f>
        <v>SEVROLL 05546 Factor 18 II úchytová lišta 2,7m strieborná</v>
      </c>
      <c r="G663" s="1" t="e">
        <f>+VLOOKUP(A663,#REF!,4,FALSE)</f>
        <v>#REF!</v>
      </c>
      <c r="I663" s="1" t="str">
        <f>$J$4</f>
        <v xml:space="preserve">strieborná </v>
      </c>
      <c r="Z663" s="1" t="b">
        <f t="shared" si="72"/>
        <v>1</v>
      </c>
    </row>
    <row r="664" spans="1:26" ht="15" customHeight="1" x14ac:dyDescent="0.25">
      <c r="A664" s="53">
        <v>135503</v>
      </c>
      <c r="B664" s="52"/>
      <c r="C664" s="1" t="str">
        <f>$J$6</f>
        <v>oliva</v>
      </c>
      <c r="D664" s="53">
        <v>135503</v>
      </c>
      <c r="E664" s="52" t="str">
        <f>+VLOOKUP(A664,cennik!$A:$G,2,FALSE)</f>
        <v>SEVROLL 04548 Factor 18 II úchytová lišta 2,7m oliva</v>
      </c>
      <c r="F664" s="52" t="str">
        <f>+VLOOKUP(A664,cennik!A:B,2,FALSE)</f>
        <v>SEVROLL 04548 Factor 18 II úchytová lišta 2,7m oliva</v>
      </c>
      <c r="G664" s="1" t="e">
        <f>+VLOOKUP(A664,#REF!,4,FALSE)</f>
        <v>#REF!</v>
      </c>
      <c r="I664" s="1" t="str">
        <f>$J$6</f>
        <v>oliva</v>
      </c>
      <c r="Z664" s="1" t="b">
        <f t="shared" si="72"/>
        <v>1</v>
      </c>
    </row>
    <row r="665" spans="1:26" ht="15" customHeight="1" x14ac:dyDescent="0.25">
      <c r="A665" s="53">
        <v>196711</v>
      </c>
      <c r="B665" s="176" t="s">
        <v>734</v>
      </c>
      <c r="C665" s="1" t="str">
        <f>$J$4</f>
        <v xml:space="preserve">strieborná </v>
      </c>
      <c r="D665" s="53">
        <v>196711</v>
      </c>
      <c r="E665" s="52" t="str">
        <f>+VLOOKUP(A665,cennik!$A:$G,2,FALSE)</f>
        <v>Sevroll 85515 Lux III úchytová lišta 2,7m strieborná</v>
      </c>
      <c r="F665" s="52" t="str">
        <f>+VLOOKUP(A665,cennik!A:B,2,FALSE)</f>
        <v>Sevroll 85515 Lux III úchytová lišta 2,7m strieborná</v>
      </c>
      <c r="I665" s="1" t="str">
        <f>$J$4</f>
        <v xml:space="preserve">strieborná </v>
      </c>
      <c r="Z665" s="1" t="b">
        <f t="shared" si="72"/>
        <v>1</v>
      </c>
    </row>
    <row r="666" spans="1:26" ht="15" customHeight="1" x14ac:dyDescent="0.25">
      <c r="A666" s="53">
        <v>196709</v>
      </c>
      <c r="B666" s="52"/>
      <c r="C666" s="1" t="str">
        <f>$J$6</f>
        <v>oliva</v>
      </c>
      <c r="D666" s="53">
        <v>196709</v>
      </c>
      <c r="E666" s="52" t="str">
        <f>+VLOOKUP(A666,cennik!$A:$G,2,FALSE)</f>
        <v>Sevroll 85615 Lux III úchytová lišta 2,7m oliva</v>
      </c>
      <c r="F666" s="52" t="str">
        <f>+VLOOKUP(A666,cennik!A:B,2,FALSE)</f>
        <v>Sevroll 85615 Lux III úchytová lišta 2,7m oliva</v>
      </c>
      <c r="I666" s="1" t="str">
        <f>$J$6</f>
        <v>oliva</v>
      </c>
      <c r="Z666" s="1" t="b">
        <f t="shared" si="72"/>
        <v>1</v>
      </c>
    </row>
    <row r="667" spans="1:26" ht="15" customHeight="1" x14ac:dyDescent="0.25">
      <c r="A667" s="543">
        <v>96427</v>
      </c>
      <c r="B667" s="541" t="s">
        <v>81</v>
      </c>
      <c r="C667" s="539" t="str">
        <f>$J$6</f>
        <v>oliva</v>
      </c>
      <c r="D667" s="543">
        <v>96427</v>
      </c>
      <c r="E667" s="541" t="str">
        <f>+VLOOKUP(A667,cennik!$A:$G,2,FALSE)</f>
        <v>SEVROLL 04377 Fox II úchytová lišta 2,7m oliva</v>
      </c>
      <c r="F667" s="541" t="str">
        <f>+VLOOKUP(A667,cennik!A:B,2,FALSE)</f>
        <v>SEVROLL 04377 Fox II úchytová lišta 2,7m oliva</v>
      </c>
      <c r="G667" s="539"/>
      <c r="H667" s="539"/>
      <c r="I667" s="539" t="str">
        <f>$J$6</f>
        <v>oliva</v>
      </c>
      <c r="Z667" s="1" t="b">
        <f t="shared" si="72"/>
        <v>1</v>
      </c>
    </row>
    <row r="668" spans="1:26" ht="15" customHeight="1" x14ac:dyDescent="0.25">
      <c r="A668" s="543">
        <v>96428</v>
      </c>
      <c r="B668" s="541"/>
      <c r="C668" s="539" t="str">
        <f>$J$5</f>
        <v>zlatá</v>
      </c>
      <c r="D668" s="543">
        <v>96428</v>
      </c>
      <c r="E668" s="541" t="str">
        <f>+VLOOKUP(A668,cennik!$A:$G,2,FALSE)</f>
        <v>SEVROLL Fox úchytová lišta 2,7m zlatá</v>
      </c>
      <c r="F668" s="541" t="str">
        <f>+VLOOKUP(A668,cennik!A:B,2,FALSE)</f>
        <v>SEVROLL Fox úchytová lišta 2,7m zlatá</v>
      </c>
      <c r="G668" s="539"/>
      <c r="H668" s="539"/>
      <c r="I668" s="539" t="str">
        <f>$J$5</f>
        <v>zlatá</v>
      </c>
      <c r="Z668" s="1" t="b">
        <f t="shared" si="72"/>
        <v>1</v>
      </c>
    </row>
    <row r="669" spans="1:26" ht="15" customHeight="1" x14ac:dyDescent="0.25">
      <c r="A669" s="543">
        <v>96429</v>
      </c>
      <c r="B669" s="541"/>
      <c r="C669" s="539" t="str">
        <f>$J$7</f>
        <v>oliva kartáčovaná</v>
      </c>
      <c r="D669" s="543">
        <v>96429</v>
      </c>
      <c r="E669" s="541" t="str">
        <f>+VLOOKUP(A669,cennik!$A:$G,2,FALSE)</f>
        <v>SEVROLL 04376-Y Fox II úchytová lišta 2,7m oliva kartáčovaná</v>
      </c>
      <c r="F669" s="541" t="str">
        <f>+VLOOKUP(A669,cennik!A:B,2,FALSE)</f>
        <v>SEVROLL 04376-Y Fox II úchytová lišta 2,7m oliva kartáčovaná</v>
      </c>
      <c r="G669" s="539"/>
      <c r="H669" s="539"/>
      <c r="I669" s="539" t="str">
        <f>$J$7</f>
        <v>oliva kartáčovaná</v>
      </c>
      <c r="Z669" s="1" t="b">
        <f t="shared" si="72"/>
        <v>1</v>
      </c>
    </row>
    <row r="670" spans="1:26" ht="15" customHeight="1" x14ac:dyDescent="0.25">
      <c r="A670" s="543">
        <v>96421</v>
      </c>
      <c r="B670" s="541"/>
      <c r="C670" s="539" t="str">
        <f>$J$4</f>
        <v xml:space="preserve">strieborná </v>
      </c>
      <c r="D670" s="543">
        <v>96421</v>
      </c>
      <c r="E670" s="541" t="str">
        <f>+VLOOKUP(A670,cennik!$A:$G,2,FALSE)</f>
        <v>SEVROLL 04382 Fox II úchytová lišta 2,7m strieborná</v>
      </c>
      <c r="F670" s="541" t="str">
        <f>+VLOOKUP(A670,cennik!A:B,2,FALSE)</f>
        <v>SEVROLL 04382 Fox II úchytová lišta 2,7m strieborná</v>
      </c>
      <c r="G670" s="539"/>
      <c r="H670" s="539"/>
      <c r="I670" s="539" t="str">
        <f>$J$4</f>
        <v xml:space="preserve">strieborná </v>
      </c>
      <c r="Z670" s="1" t="b">
        <f t="shared" si="72"/>
        <v>1</v>
      </c>
    </row>
    <row r="671" spans="1:26" ht="15" customHeight="1" x14ac:dyDescent="0.25">
      <c r="A671" s="543">
        <v>205074</v>
      </c>
      <c r="B671" s="541"/>
      <c r="C671" s="539" t="str">
        <f>$J$8</f>
        <v>kart. tm. oliva</v>
      </c>
      <c r="D671" s="543">
        <v>205074</v>
      </c>
      <c r="E671" s="541" t="str">
        <f>+VLOOKUP(A671,cennik!$A:$G,2,FALSE)</f>
        <v>SEVROLL 04378 Fox II úchytová lišta 2,7m oliva tmavá kartáčovaná</v>
      </c>
      <c r="F671" s="541" t="str">
        <f>+VLOOKUP(A671,cennik!A:B,2,FALSE)</f>
        <v>SEVROLL 04378 Fox II úchytová lišta 2,7m oliva tmavá kartáčovaná</v>
      </c>
      <c r="G671" s="539"/>
      <c r="H671" s="539"/>
      <c r="I671" s="539" t="str">
        <f>$J$8</f>
        <v>kart. tm. oliva</v>
      </c>
      <c r="Z671" s="1" t="b">
        <f t="shared" si="72"/>
        <v>1</v>
      </c>
    </row>
    <row r="672" spans="1:26" ht="15" customHeight="1" x14ac:dyDescent="0.25">
      <c r="A672" s="543">
        <v>205077</v>
      </c>
      <c r="B672" s="541"/>
      <c r="C672" s="539" t="str">
        <f>$J$9</f>
        <v>kart. čierna</v>
      </c>
      <c r="D672" s="543">
        <v>205077</v>
      </c>
      <c r="E672" s="541" t="str">
        <f>+VLOOKUP(A672,cennik!$A:$G,2,FALSE)</f>
        <v>SEVROLL 04375 Fox II úchytová lišta 2,7m čierna  kartáčovaná</v>
      </c>
      <c r="F672" s="541" t="str">
        <f>+VLOOKUP(A672,cennik!A:B,2,FALSE)</f>
        <v>SEVROLL 04375 Fox II úchytová lišta 2,7m čierna  kartáčovaná</v>
      </c>
      <c r="G672" s="539"/>
      <c r="H672" s="539"/>
      <c r="I672" s="539" t="str">
        <f>$J$9</f>
        <v>kart. čierna</v>
      </c>
      <c r="Z672" s="1" t="b">
        <f t="shared" si="72"/>
        <v>1</v>
      </c>
    </row>
    <row r="673" spans="1:26" ht="15" customHeight="1" x14ac:dyDescent="0.25">
      <c r="A673" s="543">
        <v>489302</v>
      </c>
      <c r="B673" s="541"/>
      <c r="C673" s="539" t="str">
        <f>$J$18</f>
        <v>biela mat</v>
      </c>
      <c r="D673" s="543">
        <v>489302</v>
      </c>
      <c r="E673" s="541" t="str">
        <f>+VLOOKUP(A673,cennik!$A:$G,2,FALSE)</f>
        <v>SEVROLL 05900 Fox II úchytová lišta 2,7m biela mat</v>
      </c>
      <c r="F673" s="541" t="str">
        <f>+VLOOKUP(A673,cennik!A:B,2,FALSE)</f>
        <v>SEVROLL 05900 Fox II úchytová lišta 2,7m biela mat</v>
      </c>
      <c r="G673" s="539"/>
      <c r="H673" s="539"/>
      <c r="I673" s="539" t="str">
        <f>$J$18</f>
        <v>biela mat</v>
      </c>
      <c r="Z673" s="1" t="b">
        <f t="shared" si="72"/>
        <v>1</v>
      </c>
    </row>
    <row r="674" spans="1:26" ht="15" customHeight="1" x14ac:dyDescent="0.25">
      <c r="A674" s="543">
        <v>265065</v>
      </c>
      <c r="B674" s="541"/>
      <c r="C674" s="539" t="str">
        <f>$J$15</f>
        <v>biela lesk</v>
      </c>
      <c r="D674" s="543">
        <v>265065</v>
      </c>
      <c r="E674" s="541" t="str">
        <f>+VLOOKUP(A674,cennik!$A:$G,2,FALSE)</f>
        <v>SEVROLL 04379 Fox II úchytová lišta 2,7m biela lesk</v>
      </c>
      <c r="F674" s="541" t="str">
        <f>+VLOOKUP(A674,cennik!A:B,2,FALSE)</f>
        <v>SEVROLL 04379 Fox II úchytová lišta 2,7m biela lesk</v>
      </c>
      <c r="G674" s="539"/>
      <c r="H674" s="539"/>
      <c r="I674" s="539" t="str">
        <f>$J$15</f>
        <v>biela lesk</v>
      </c>
      <c r="Z674" s="1" t="b">
        <f t="shared" si="72"/>
        <v>1</v>
      </c>
    </row>
    <row r="675" spans="1:26" ht="15" customHeight="1" x14ac:dyDescent="0.25">
      <c r="A675" s="540">
        <v>395506</v>
      </c>
      <c r="B675" s="539"/>
      <c r="C675" s="539" t="str">
        <f>$J$16</f>
        <v>čierna lesk</v>
      </c>
      <c r="D675" s="540">
        <v>395506</v>
      </c>
      <c r="E675" s="541" t="str">
        <f>+VLOOKUP(A675,cennik!$A:$G,2,FALSE)</f>
        <v>SEVROLL 05154 Fox II úchytová lišta 2,7m čierna lesk</v>
      </c>
      <c r="F675" s="541" t="str">
        <f>+VLOOKUP(A675,cennik!A:B,2,FALSE)</f>
        <v>SEVROLL 05154 Fox II úchytová lišta 2,7m čierna lesk</v>
      </c>
      <c r="G675" s="539"/>
      <c r="H675" s="539"/>
      <c r="I675" s="539" t="str">
        <f>$J$16</f>
        <v>čierna lesk</v>
      </c>
      <c r="Z675" s="1" t="b">
        <f t="shared" si="72"/>
        <v>1</v>
      </c>
    </row>
    <row r="676" spans="1:26" ht="15" customHeight="1" x14ac:dyDescent="0.25">
      <c r="A676" s="540">
        <v>495587</v>
      </c>
      <c r="B676" s="539"/>
      <c r="C676" s="539" t="str">
        <f>$J$12</f>
        <v>grafit</v>
      </c>
      <c r="D676" s="540">
        <v>495587</v>
      </c>
      <c r="E676" s="541" t="str">
        <f>+VLOOKUP(A676,cennik!$A:$G,2,FALSE)</f>
        <v>SEVROLL 06019 Fox II úch.lišta 2,7m čierna grafit</v>
      </c>
      <c r="F676" s="541" t="str">
        <f>+VLOOKUP(A676,cennik!A:B,2,FALSE)</f>
        <v>SEVROLL 06019 Fox II úch.lišta 2,7m čierna grafit</v>
      </c>
      <c r="G676" s="539"/>
      <c r="H676" s="539"/>
      <c r="I676" s="539"/>
      <c r="Z676" s="1" t="b">
        <f t="shared" si="72"/>
        <v>1</v>
      </c>
    </row>
    <row r="677" spans="1:26" ht="15" customHeight="1" x14ac:dyDescent="0.25">
      <c r="A677" s="539">
        <v>425057</v>
      </c>
      <c r="B677" s="539"/>
      <c r="C677" s="539" t="str">
        <f>$J$17</f>
        <v>čierna mat</v>
      </c>
      <c r="D677" s="539">
        <v>425057</v>
      </c>
      <c r="E677" s="541" t="str">
        <f>+VLOOKUP(A677,cennik!$A:$G,2,FALSE)</f>
        <v>SEVROLL 05307 Fox II úchytová lišta 2,7m čierna mat</v>
      </c>
      <c r="F677" s="541" t="str">
        <f>+VLOOKUP(A677,cennik!A:B,2,FALSE)</f>
        <v>SEVROLL 05307 Fox II úchytová lišta 2,7m čierna mat</v>
      </c>
      <c r="G677" s="539"/>
      <c r="H677" s="539"/>
      <c r="I677" s="539" t="str">
        <f>$J$17</f>
        <v>čierna mat</v>
      </c>
      <c r="Z677" s="1" t="b">
        <f t="shared" si="72"/>
        <v>1</v>
      </c>
    </row>
    <row r="678" spans="1:26" ht="15" customHeight="1" x14ac:dyDescent="0.25">
      <c r="A678" s="539">
        <v>372604</v>
      </c>
      <c r="B678" s="564" t="s">
        <v>2651</v>
      </c>
      <c r="C678" s="539" t="str">
        <f>$J$4</f>
        <v xml:space="preserve">strieborná </v>
      </c>
      <c r="D678" s="539">
        <v>372604</v>
      </c>
      <c r="E678" s="541" t="str">
        <f>+VLOOKUP(A678,cennik!$A:$G,2,FALSE)</f>
        <v>SEVROLL 04906 Vitara úchytová lišta 2,7m strieborná</v>
      </c>
      <c r="F678" s="541" t="str">
        <f>+VLOOKUP(A678,cennik!A:B,2,FALSE)</f>
        <v>SEVROLL 04906 Vitara úchytová lišta 2,7m strieborná</v>
      </c>
      <c r="G678" s="539"/>
      <c r="H678" s="539"/>
      <c r="I678" s="539"/>
      <c r="Z678" s="1" t="b">
        <f t="shared" si="72"/>
        <v>1</v>
      </c>
    </row>
    <row r="679" spans="1:26" ht="15" customHeight="1" x14ac:dyDescent="0.25">
      <c r="A679" s="539">
        <v>372605</v>
      </c>
      <c r="B679" s="564" t="s">
        <v>2651</v>
      </c>
      <c r="C679" s="539" t="str">
        <f>$J$6</f>
        <v>oliva</v>
      </c>
      <c r="D679" s="539">
        <v>372605</v>
      </c>
      <c r="E679" s="541" t="str">
        <f>+VLOOKUP(A679,cennik!$A:$G,2,FALSE)</f>
        <v>SEVROLL 04905 Vitara úchytová lišta 2,7m oliva</v>
      </c>
      <c r="F679" s="541" t="str">
        <f>+VLOOKUP(A679,cennik!A:B,2,FALSE)</f>
        <v>SEVROLL 04905 Vitara úchytová lišta 2,7m oliva</v>
      </c>
      <c r="G679" s="539"/>
      <c r="H679" s="539"/>
      <c r="I679" s="539"/>
      <c r="Z679" s="1" t="b">
        <f t="shared" si="72"/>
        <v>1</v>
      </c>
    </row>
    <row r="680" spans="1:26" ht="15" customHeight="1" x14ac:dyDescent="0.25">
      <c r="A680" s="539">
        <v>489309</v>
      </c>
      <c r="B680" s="564" t="s">
        <v>2651</v>
      </c>
      <c r="C680" s="539" t="str">
        <f>$J$17</f>
        <v>čierna mat</v>
      </c>
      <c r="D680" s="539">
        <v>489309</v>
      </c>
      <c r="E680" s="541" t="str">
        <f>+VLOOKUP(A680,cennik!$A:$G,2,FALSE)</f>
        <v>SEVROLL 05982 Vitara úchytová lišta 2,7m čierna mat</v>
      </c>
      <c r="F680" s="541" t="str">
        <f>+VLOOKUP(A680,cennik!A:B,2,FALSE)</f>
        <v>SEVROLL 05982 Vitara úchytová lišta 2,7m čierna mat</v>
      </c>
      <c r="G680" s="539"/>
      <c r="H680" s="539"/>
      <c r="I680" s="539"/>
      <c r="Z680" s="1" t="b">
        <f t="shared" si="72"/>
        <v>1</v>
      </c>
    </row>
    <row r="681" spans="1:26" ht="15" customHeight="1" x14ac:dyDescent="0.25">
      <c r="A681" s="539">
        <v>372606</v>
      </c>
      <c r="B681" s="564" t="s">
        <v>2651</v>
      </c>
      <c r="C681" s="539" t="str">
        <f>$J$15</f>
        <v>biela lesk</v>
      </c>
      <c r="D681" s="539">
        <v>372606</v>
      </c>
      <c r="E681" s="541" t="str">
        <f>+VLOOKUP(A681,cennik!$A:$G,2,FALSE)</f>
        <v>SEVROLL 04909 Vitara úchytová lišta 2,7m biela lesk</v>
      </c>
      <c r="F681" s="541" t="str">
        <f>+VLOOKUP(A681,cennik!A:B,2,FALSE)</f>
        <v>SEVROLL 04909 Vitara úchytová lišta 2,7m biela lesk</v>
      </c>
      <c r="G681" s="539"/>
      <c r="H681" s="539"/>
      <c r="I681" s="539"/>
      <c r="Z681" s="1" t="b">
        <f t="shared" si="72"/>
        <v>1</v>
      </c>
    </row>
    <row r="682" spans="1:26" ht="15" customHeight="1" x14ac:dyDescent="0.25">
      <c r="A682" s="53">
        <v>245816</v>
      </c>
      <c r="B682" s="52" t="s">
        <v>816</v>
      </c>
      <c r="C682" s="1" t="str">
        <f>$J$6</f>
        <v>oliva</v>
      </c>
      <c r="D682" s="53">
        <v>245816</v>
      </c>
      <c r="E682" s="52" t="str">
        <f>+VLOOKUP(A682,cennik!$A:$G,2,FALSE)</f>
        <v>SEVROLL 04571 Focus II 18mm úchytová lišta 2,7m oliva</v>
      </c>
      <c r="F682" s="52" t="str">
        <f>+VLOOKUP(A682,cennik!A:B,2,FALSE)</f>
        <v>SEVROLL 04571 Focus II 18mm úchytová lišta 2,7m oliva</v>
      </c>
      <c r="I682" s="1" t="str">
        <f>$J$6</f>
        <v>oliva</v>
      </c>
      <c r="Z682" s="1" t="b">
        <f t="shared" si="72"/>
        <v>1</v>
      </c>
    </row>
    <row r="683" spans="1:26" ht="15" customHeight="1" x14ac:dyDescent="0.25">
      <c r="A683" s="53">
        <v>245815</v>
      </c>
      <c r="B683" s="52"/>
      <c r="C683" s="1" t="str">
        <f>$J$4</f>
        <v xml:space="preserve">strieborná </v>
      </c>
      <c r="D683" s="53">
        <v>245815</v>
      </c>
      <c r="E683" s="52" t="str">
        <f>+VLOOKUP(A683,cennik!$A:$G,2,FALSE)</f>
        <v>SEVROLL 04572 Focus II 18mm úchytová lišta 2,7m strieborná</v>
      </c>
      <c r="F683" s="52" t="str">
        <f>+VLOOKUP(A683,cennik!A:B,2,FALSE)</f>
        <v>SEVROLL 04572 Focus II 18mm úchytová lišta 2,7m strieborná</v>
      </c>
      <c r="I683" s="1" t="str">
        <f>$J$4</f>
        <v xml:space="preserve">strieborná </v>
      </c>
      <c r="Z683" s="1" t="b">
        <f t="shared" si="72"/>
        <v>1</v>
      </c>
    </row>
    <row r="684" spans="1:26" ht="15" customHeight="1" x14ac:dyDescent="0.25">
      <c r="A684" s="53">
        <v>489301</v>
      </c>
      <c r="B684" s="52"/>
      <c r="C684" s="1" t="str">
        <f>$J$17</f>
        <v>čierna mat</v>
      </c>
      <c r="D684" s="53">
        <v>489301</v>
      </c>
      <c r="E684" s="52" t="str">
        <f>+VLOOKUP(A684,cennik!$A:$G,2,FALSE)</f>
        <v>SEVROLL 05903 Focus II 18mm úchytová lišta 2,7m čierna mat</v>
      </c>
      <c r="F684" s="52" t="str">
        <f>+VLOOKUP(A684,cennik!A:B,2,FALSE)</f>
        <v>SEVROLL 05903 Focus II 18mm úchytová lišta 2,7m čierna mat</v>
      </c>
      <c r="Z684" s="1" t="b">
        <f t="shared" si="72"/>
        <v>1</v>
      </c>
    </row>
    <row r="685" spans="1:26" ht="15" customHeight="1" x14ac:dyDescent="0.25">
      <c r="A685" s="53">
        <v>284598</v>
      </c>
      <c r="B685" s="52"/>
      <c r="C685" s="1" t="str">
        <f>$J$5</f>
        <v>zlatá</v>
      </c>
      <c r="D685" s="53">
        <v>284598</v>
      </c>
      <c r="E685" s="52" t="str">
        <f>+VLOOKUP(A685,cennik!$A:$G,2,FALSE)</f>
        <v>SEVROLL 04573 Focus II 18mm úchytová lišta 2,7m zlatá</v>
      </c>
      <c r="F685" s="52" t="str">
        <f>+VLOOKUP(A685,cennik!A:B,2,FALSE)</f>
        <v>SEVROLL 04573 Focus II 18mm úchytová lišta 2,7m zlatá</v>
      </c>
      <c r="I685" s="1" t="str">
        <f>$J$5</f>
        <v>zlatá</v>
      </c>
      <c r="Z685" s="1" t="b">
        <f t="shared" si="72"/>
        <v>1</v>
      </c>
    </row>
    <row r="686" spans="1:26" ht="15" customHeight="1" x14ac:dyDescent="0.25">
      <c r="A686" s="53">
        <v>90105</v>
      </c>
      <c r="B686" s="52" t="s">
        <v>82</v>
      </c>
      <c r="C686" s="1" t="str">
        <f>$J$6</f>
        <v>oliva</v>
      </c>
      <c r="D686" s="53">
        <v>90105</v>
      </c>
      <c r="E686" s="52" t="str">
        <f>+VLOOKUP(A686,cennik!$A:$G,2,FALSE)</f>
        <v>SEVROLL 04534 Universal 18 úchytová lišta 2,7m oliva</v>
      </c>
      <c r="F686" s="52" t="str">
        <f>+VLOOKUP(A686,cennik!A:B,2,FALSE)</f>
        <v>SEVROLL 04534 Universal 18 úchytová lišta 2,7m oliva</v>
      </c>
      <c r="I686" s="1" t="str">
        <f>$J$6</f>
        <v>oliva</v>
      </c>
      <c r="Z686" s="1" t="b">
        <f t="shared" si="72"/>
        <v>1</v>
      </c>
    </row>
    <row r="687" spans="1:26" ht="15" customHeight="1" x14ac:dyDescent="0.25">
      <c r="A687" s="53">
        <v>90106</v>
      </c>
      <c r="B687" s="52"/>
      <c r="C687" s="1" t="str">
        <f>$J$4</f>
        <v xml:space="preserve">strieborná </v>
      </c>
      <c r="D687" s="53">
        <v>90106</v>
      </c>
      <c r="E687" s="52" t="str">
        <f>+VLOOKUP(A687,cennik!$A:$G,2,FALSE)</f>
        <v>SEVROLL 04535 Universal 18 úchytová lišta 2,7m strieborná</v>
      </c>
      <c r="F687" s="52" t="str">
        <f>+VLOOKUP(A687,cennik!A:B,2,FALSE)</f>
        <v>SEVROLL 04535 Universal 18 úchytová lišta 2,7m strieborná</v>
      </c>
      <c r="I687" s="1" t="str">
        <f>$J$4</f>
        <v xml:space="preserve">strieborná </v>
      </c>
      <c r="Z687" s="1" t="b">
        <f t="shared" si="72"/>
        <v>1</v>
      </c>
    </row>
    <row r="688" spans="1:26" ht="15" customHeight="1" x14ac:dyDescent="0.25">
      <c r="A688" s="53">
        <v>98110</v>
      </c>
      <c r="B688" s="52" t="s">
        <v>86</v>
      </c>
      <c r="C688" s="1" t="str">
        <f>CONCATENATE(H688,"-",$J$4)</f>
        <v xml:space="preserve">1700-strieborná </v>
      </c>
      <c r="D688" s="53">
        <v>98110</v>
      </c>
      <c r="E688" s="52" t="str">
        <f>+VLOOKUP(A688,cennik!$A:$G,2,FALSE)</f>
        <v>SEVROLL HOR. VEDENIE COMFORT 1,70 M STR.</v>
      </c>
      <c r="F688" s="52" t="str">
        <f>+VLOOKUP(A688,cennik!A:B,2,FALSE)</f>
        <v>SEVROLL HOR. VEDENIE COMFORT 1,70 M STR.</v>
      </c>
      <c r="H688" s="1" t="s">
        <v>478</v>
      </c>
      <c r="I688" s="1" t="str">
        <f>CONCATENATE(H688,"-",$J$4)</f>
        <v xml:space="preserve">1700-strieborná </v>
      </c>
      <c r="Z688" s="1" t="b">
        <f t="shared" si="72"/>
        <v>1</v>
      </c>
    </row>
    <row r="689" spans="1:26" ht="15" customHeight="1" x14ac:dyDescent="0.25">
      <c r="A689" s="53">
        <v>227321</v>
      </c>
      <c r="B689" s="52"/>
      <c r="C689" s="1" t="str">
        <f>CONCATENATE(H689,"-",$J$4)</f>
        <v xml:space="preserve">2350-strieborná </v>
      </c>
      <c r="D689" s="53">
        <v>227321</v>
      </c>
      <c r="E689" s="52" t="str">
        <f>+VLOOKUP(A689,cennik!$A:$G,2,FALSE)</f>
        <v>SEVROLL Comfort horné vedenie 2,35m strieborná</v>
      </c>
      <c r="F689" s="52" t="str">
        <f>+VLOOKUP(A689,cennik!A:B,2,FALSE)</f>
        <v>SEVROLL Comfort horné vedenie 2,35m strieborná</v>
      </c>
      <c r="H689" s="1" t="s">
        <v>479</v>
      </c>
      <c r="I689" s="1" t="str">
        <f>CONCATENATE(H689,"-",$J$4)</f>
        <v xml:space="preserve">2350-strieborná </v>
      </c>
      <c r="Z689" s="1" t="b">
        <f t="shared" si="72"/>
        <v>1</v>
      </c>
    </row>
    <row r="690" spans="1:26" ht="15" customHeight="1" x14ac:dyDescent="0.25">
      <c r="A690" s="53">
        <v>227324</v>
      </c>
      <c r="B690" s="52"/>
      <c r="C690" s="1" t="str">
        <f>CONCATENATE(H690,"-",$J$4)</f>
        <v xml:space="preserve">3000-strieborná </v>
      </c>
      <c r="D690" s="53">
        <v>227324</v>
      </c>
      <c r="E690" s="52" t="str">
        <f>+VLOOKUP(A690,cennik!$A:$G,2,FALSE)</f>
        <v>SEVROLL Comfort horné vedenie 3m strieborné</v>
      </c>
      <c r="F690" s="52" t="str">
        <f>+VLOOKUP(A690,cennik!A:B,2,FALSE)</f>
        <v>SEVROLL Comfort horné vedenie 3m strieborné</v>
      </c>
      <c r="H690" s="1" t="s">
        <v>480</v>
      </c>
      <c r="I690" s="1" t="str">
        <f>CONCATENATE(H690,"-",$J$4)</f>
        <v xml:space="preserve">3000-strieborná </v>
      </c>
      <c r="Z690" s="1" t="b">
        <f t="shared" si="72"/>
        <v>1</v>
      </c>
    </row>
    <row r="691" spans="1:26" ht="15" customHeight="1" x14ac:dyDescent="0.25">
      <c r="A691" s="53">
        <v>98079</v>
      </c>
      <c r="B691" s="52"/>
      <c r="C691" s="1" t="str">
        <f>CONCATENATE(H691,"-",$J$4)</f>
        <v xml:space="preserve">4050-strieborná </v>
      </c>
      <c r="D691" s="53">
        <v>98079</v>
      </c>
      <c r="E691" s="52" t="str">
        <f>+VLOOKUP(A691,cennik!$A:$G,2,FALSE)</f>
        <v>SEVROLL -COMFORT HORNÉ VEDENI 4,05M STR</v>
      </c>
      <c r="F691" s="52" t="str">
        <f>+VLOOKUP(A691,cennik!A:B,2,FALSE)</f>
        <v>SEVROLL -COMFORT HORNÉ VEDENI 4,05M STR</v>
      </c>
      <c r="H691" s="1" t="s">
        <v>481</v>
      </c>
      <c r="I691" s="1" t="str">
        <f>CONCATENATE(H691,"-",$J$4)</f>
        <v xml:space="preserve">4050-strieborná </v>
      </c>
      <c r="Z691" s="1" t="b">
        <f t="shared" si="72"/>
        <v>1</v>
      </c>
    </row>
    <row r="692" spans="1:26" ht="15" customHeight="1" x14ac:dyDescent="0.25">
      <c r="A692" s="53">
        <v>227196</v>
      </c>
      <c r="B692" s="52"/>
      <c r="C692" s="1" t="str">
        <f>CONCATENATE(H692,"-",$J$4)</f>
        <v xml:space="preserve">6000-strieborná </v>
      </c>
      <c r="D692" s="53">
        <v>227196</v>
      </c>
      <c r="E692" s="52" t="str">
        <f>+VLOOKUP(A692,cennik!$A:$G,2,FALSE)</f>
        <v>SEVROLL Comfort horné vedenie 6m strieborné</v>
      </c>
      <c r="F692" s="52" t="str">
        <f>+VLOOKUP(A692,cennik!A:B,2,FALSE)</f>
        <v>SEVROLL Comfort horné vedenie 6m strieborné</v>
      </c>
      <c r="H692" s="156" t="s">
        <v>551</v>
      </c>
      <c r="I692" s="1" t="str">
        <f>CONCATENATE(H692,"-",$J$4)</f>
        <v xml:space="preserve">6000-strieborná </v>
      </c>
      <c r="Z692" s="1" t="b">
        <f t="shared" si="72"/>
        <v>1</v>
      </c>
    </row>
    <row r="693" spans="1:26" ht="15" customHeight="1" x14ac:dyDescent="0.25">
      <c r="A693" s="53">
        <v>98111</v>
      </c>
      <c r="B693" s="52"/>
      <c r="C693" s="1" t="str">
        <f>CONCATENATE(H693,"-",$J$6)</f>
        <v>1700-oliva</v>
      </c>
      <c r="D693" s="53">
        <v>98111</v>
      </c>
      <c r="E693" s="52" t="str">
        <f>+VLOOKUP(A693,cennik!$A:$G,2,FALSE)</f>
        <v>SEVROLL Comfort horné vedenie 1,7m oliva</v>
      </c>
      <c r="F693" s="52" t="str">
        <f>+VLOOKUP(A693,cennik!A:B,2,FALSE)</f>
        <v>SEVROLL Comfort horné vedenie 1,7m oliva</v>
      </c>
      <c r="H693" s="1" t="s">
        <v>478</v>
      </c>
      <c r="I693" s="1" t="str">
        <f>CONCATENATE(H693,"-",$J$6)</f>
        <v>1700-oliva</v>
      </c>
      <c r="Z693" s="1" t="b">
        <f t="shared" si="72"/>
        <v>1</v>
      </c>
    </row>
    <row r="694" spans="1:26" ht="15" customHeight="1" x14ac:dyDescent="0.25">
      <c r="A694" s="53">
        <v>98113</v>
      </c>
      <c r="B694" s="52"/>
      <c r="C694" s="1" t="str">
        <f>CONCATENATE(H694,"-",$J$6)</f>
        <v>2350-oliva</v>
      </c>
      <c r="D694" s="53">
        <v>98113</v>
      </c>
      <c r="E694" s="52" t="str">
        <f>+VLOOKUP(A694,cennik!$A:$G,2,FALSE)</f>
        <v>SEVROLL HOR.VEDENIE COMFORT 2,35 M OLIVA</v>
      </c>
      <c r="F694" s="52" t="str">
        <f>+VLOOKUP(A694,cennik!A:B,2,FALSE)</f>
        <v>SEVROLL HOR.VEDENIE COMFORT 2,35 M OLIVA</v>
      </c>
      <c r="H694" s="1" t="s">
        <v>479</v>
      </c>
      <c r="I694" s="1" t="str">
        <f>CONCATENATE(H694,"-",$J$6)</f>
        <v>2350-oliva</v>
      </c>
      <c r="Z694" s="1" t="b">
        <f t="shared" si="72"/>
        <v>1</v>
      </c>
    </row>
    <row r="695" spans="1:26" ht="15" customHeight="1" x14ac:dyDescent="0.25">
      <c r="A695" s="53">
        <v>98115</v>
      </c>
      <c r="B695" s="52"/>
      <c r="C695" s="1" t="str">
        <f>CONCATENATE(H695,"-",$J$6)</f>
        <v>3000-oliva</v>
      </c>
      <c r="D695" s="53">
        <v>98115</v>
      </c>
      <c r="E695" s="52" t="str">
        <f>+VLOOKUP(A695,cennik!$A:$G,2,FALSE)</f>
        <v>SEVROLL HOR.VEDENIE COMFORT 3 M OLIVA</v>
      </c>
      <c r="F695" s="52" t="str">
        <f>+VLOOKUP(A695,cennik!A:B,2,FALSE)</f>
        <v>SEVROLL HOR.VEDENIE COMFORT 3 M OLIVA</v>
      </c>
      <c r="H695" s="1" t="s">
        <v>480</v>
      </c>
      <c r="I695" s="1" t="str">
        <f>CONCATENATE(H695,"-",$J$6)</f>
        <v>3000-oliva</v>
      </c>
      <c r="Z695" s="1" t="b">
        <f t="shared" si="72"/>
        <v>1</v>
      </c>
    </row>
    <row r="696" spans="1:26" ht="15" customHeight="1" x14ac:dyDescent="0.25">
      <c r="A696" s="53">
        <v>98117</v>
      </c>
      <c r="B696" s="52"/>
      <c r="C696" s="1" t="str">
        <f>CONCATENATE(H696,"-",$J$6)</f>
        <v>4050-oliva</v>
      </c>
      <c r="D696" s="53">
        <v>98117</v>
      </c>
      <c r="E696" s="52" t="str">
        <f>+VLOOKUP(A696,cennik!$A:$G,2,FALSE)</f>
        <v>SEVROLL HOR.VEDENIE COMFORT 4,05 M OLIVA</v>
      </c>
      <c r="F696" s="52" t="str">
        <f>+VLOOKUP(A696,cennik!A:B,2,FALSE)</f>
        <v>SEVROLL HOR.VEDENIE COMFORT 4,05 M OLIVA</v>
      </c>
      <c r="H696" s="1" t="s">
        <v>481</v>
      </c>
      <c r="I696" s="1" t="str">
        <f>CONCATENATE(H696,"-",$J$6)</f>
        <v>4050-oliva</v>
      </c>
      <c r="Z696" s="1" t="b">
        <f t="shared" si="72"/>
        <v>1</v>
      </c>
    </row>
    <row r="697" spans="1:26" ht="15" customHeight="1" x14ac:dyDescent="0.25">
      <c r="A697" s="53">
        <v>227197</v>
      </c>
      <c r="B697" s="52"/>
      <c r="C697" s="1" t="str">
        <f>CONCATENATE(H697,"-",$J$6)</f>
        <v>6000-oliva</v>
      </c>
      <c r="D697" s="53">
        <v>227197</v>
      </c>
      <c r="E697" s="52" t="str">
        <f>+VLOOKUP(A697,cennik!$A:$G,2,FALSE)</f>
        <v>SEVROLL Comfort horné vedenie 6m oliva</v>
      </c>
      <c r="F697" s="52" t="str">
        <f>+VLOOKUP(A697,cennik!A:B,2,FALSE)</f>
        <v>SEVROLL Comfort horné vedenie 6m oliva</v>
      </c>
      <c r="H697" s="156" t="s">
        <v>551</v>
      </c>
      <c r="I697" s="1" t="str">
        <f>CONCATENATE(H697,"-",$J$6)</f>
        <v>6000-oliva</v>
      </c>
      <c r="Z697" s="1" t="b">
        <f t="shared" si="72"/>
        <v>1</v>
      </c>
    </row>
    <row r="698" spans="1:26" ht="15" customHeight="1" x14ac:dyDescent="0.25">
      <c r="A698" s="53">
        <v>163106</v>
      </c>
      <c r="B698" s="52" t="s">
        <v>87</v>
      </c>
      <c r="C698" s="1" t="str">
        <f>CONCATENATE(H698,"-",$J$4)</f>
        <v xml:space="preserve">1700-strieborná </v>
      </c>
      <c r="D698" s="53">
        <v>163106</v>
      </c>
      <c r="E698" s="52" t="str">
        <f>+VLOOKUP(A698,cennik!$A:$G,2,FALSE)</f>
        <v>SEVROLL 02849 Doubler II spodné vedenie 1,7m strieborná</v>
      </c>
      <c r="F698" s="52" t="str">
        <f>+VLOOKUP(A698,cennik!A:B,2,FALSE)</f>
        <v>SEVROLL 02849 Doubler II spodné vedenie 1,7m strieborná</v>
      </c>
      <c r="H698" s="1" t="s">
        <v>478</v>
      </c>
      <c r="I698" s="1" t="str">
        <f>CONCATENATE(H698,"-",$J$4)</f>
        <v xml:space="preserve">1700-strieborná </v>
      </c>
      <c r="Z698" s="1" t="b">
        <f t="shared" si="72"/>
        <v>1</v>
      </c>
    </row>
    <row r="699" spans="1:26" ht="15" customHeight="1" x14ac:dyDescent="0.25">
      <c r="A699" s="53">
        <v>163107</v>
      </c>
      <c r="B699" s="52"/>
      <c r="C699" s="1" t="str">
        <f>CONCATENATE(H699,"-",$J$4)</f>
        <v xml:space="preserve">2350-strieborná </v>
      </c>
      <c r="D699" s="53">
        <v>163107</v>
      </c>
      <c r="E699" s="52" t="str">
        <f>+VLOOKUP(A699,cennik!$A:$G,2,FALSE)</f>
        <v>SEVROLL Doubler II spodné vedenie 2,35m str.</v>
      </c>
      <c r="F699" s="52" t="str">
        <f>+VLOOKUP(A699,cennik!A:B,2,FALSE)</f>
        <v>SEVROLL Doubler II spodné vedenie 2,35m str.</v>
      </c>
      <c r="H699" s="1" t="s">
        <v>479</v>
      </c>
      <c r="I699" s="1" t="str">
        <f>CONCATENATE(H699,"-",$J$4)</f>
        <v xml:space="preserve">2350-strieborná </v>
      </c>
      <c r="Z699" s="1" t="b">
        <f t="shared" si="72"/>
        <v>1</v>
      </c>
    </row>
    <row r="700" spans="1:26" ht="15" customHeight="1" x14ac:dyDescent="0.25">
      <c r="A700" s="53">
        <v>163108</v>
      </c>
      <c r="B700" s="52"/>
      <c r="C700" s="1" t="str">
        <f>CONCATENATE(H700,"-",$J$4)</f>
        <v xml:space="preserve">3000-strieborná </v>
      </c>
      <c r="D700" s="53">
        <v>163108</v>
      </c>
      <c r="E700" s="52" t="str">
        <f>+VLOOKUP(A700,cennik!$A:$G,2,FALSE)</f>
        <v>SEVROLL Doubler II spodné vedenie 3m str.</v>
      </c>
      <c r="F700" s="52" t="str">
        <f>+VLOOKUP(A700,cennik!A:B,2,FALSE)</f>
        <v>SEVROLL Doubler II spodné vedenie 3m str.</v>
      </c>
      <c r="H700" s="1" t="s">
        <v>480</v>
      </c>
      <c r="I700" s="1" t="str">
        <f>CONCATENATE(H700,"-",$J$4)</f>
        <v xml:space="preserve">3000-strieborná </v>
      </c>
      <c r="Z700" s="1" t="b">
        <f t="shared" si="72"/>
        <v>1</v>
      </c>
    </row>
    <row r="701" spans="1:26" ht="15" customHeight="1" x14ac:dyDescent="0.25">
      <c r="A701" s="53">
        <v>98107</v>
      </c>
      <c r="B701" s="52"/>
      <c r="C701" s="1" t="str">
        <f>CONCATENATE(H701,"-",$J$4)</f>
        <v xml:space="preserve">4050-strieborná </v>
      </c>
      <c r="D701" s="53">
        <v>98107</v>
      </c>
      <c r="E701" s="52" t="str">
        <f>+VLOOKUP(A701,cennik!$A:$G,2,FALSE)</f>
        <v>SEVROLL Doubler ll spodné vedenie 4,05m strieborná</v>
      </c>
      <c r="F701" s="52" t="str">
        <f>+VLOOKUP(A701,cennik!A:B,2,FALSE)</f>
        <v>SEVROLL Doubler ll spodné vedenie 4,05m strieborná</v>
      </c>
      <c r="H701" s="1" t="s">
        <v>481</v>
      </c>
      <c r="I701" s="1" t="str">
        <f>CONCATENATE(H701,"-",$J$4)</f>
        <v xml:space="preserve">4050-strieborná </v>
      </c>
      <c r="Z701" s="1" t="b">
        <f t="shared" si="72"/>
        <v>1</v>
      </c>
    </row>
    <row r="702" spans="1:26" ht="15" customHeight="1" x14ac:dyDescent="0.25">
      <c r="A702" s="53">
        <v>163110</v>
      </c>
      <c r="B702" s="52"/>
      <c r="C702" s="1" t="str">
        <f>CONCATENATE(H702,"-",$J$4)</f>
        <v xml:space="preserve">6000-strieborná </v>
      </c>
      <c r="D702" s="53">
        <v>163110</v>
      </c>
      <c r="E702" s="52" t="str">
        <f>+VLOOKUP(A702,cennik!$A:$G,2,FALSE)</f>
        <v>SEVROLL 02853 Doubler II spodné vedenie 6m strieborná</v>
      </c>
      <c r="F702" s="52" t="str">
        <f>+VLOOKUP(A702,cennik!A:B,2,FALSE)</f>
        <v>SEVROLL 02853 Doubler II spodné vedenie 6m strieborná</v>
      </c>
      <c r="H702" s="156" t="s">
        <v>551</v>
      </c>
      <c r="I702" s="1" t="str">
        <f>CONCATENATE(H702,"-",$J$4)</f>
        <v xml:space="preserve">6000-strieborná </v>
      </c>
      <c r="Z702" s="1" t="b">
        <f t="shared" si="72"/>
        <v>1</v>
      </c>
    </row>
    <row r="703" spans="1:26" ht="15" customHeight="1" x14ac:dyDescent="0.25">
      <c r="A703" s="53">
        <v>163111</v>
      </c>
      <c r="B703" s="52"/>
      <c r="C703" s="1" t="str">
        <f>CONCATENATE(H703,"-",$J$6)</f>
        <v>1700-oliva</v>
      </c>
      <c r="D703" s="53">
        <v>163111</v>
      </c>
      <c r="E703" s="52" t="str">
        <f>+VLOOKUP(A703,cennik!$A:$G,2,FALSE)</f>
        <v>SEVROLL 02844 Doubler II spodné vedenie 1,7m oliva</v>
      </c>
      <c r="F703" s="52" t="str">
        <f>+VLOOKUP(A703,cennik!A:B,2,FALSE)</f>
        <v>SEVROLL 02844 Doubler II spodné vedenie 1,7m oliva</v>
      </c>
      <c r="H703" s="1" t="s">
        <v>478</v>
      </c>
      <c r="I703" s="1" t="str">
        <f>CONCATENATE(H703,"-",$J$6)</f>
        <v>1700-oliva</v>
      </c>
      <c r="Z703" s="1" t="b">
        <f t="shared" si="72"/>
        <v>1</v>
      </c>
    </row>
    <row r="704" spans="1:26" ht="15" customHeight="1" x14ac:dyDescent="0.25">
      <c r="A704" s="53">
        <v>163112</v>
      </c>
      <c r="B704" s="52"/>
      <c r="C704" s="1" t="str">
        <f>CONCATENATE(H704,"-",$J$6)</f>
        <v>2350-oliva</v>
      </c>
      <c r="D704" s="53">
        <v>163112</v>
      </c>
      <c r="E704" s="52" t="str">
        <f>+VLOOKUP(A704,cennik!$A:$G,2,FALSE)</f>
        <v>SEVROLL 02845 Doubler II spodné vedenie 2,35m oliva</v>
      </c>
      <c r="F704" s="52" t="str">
        <f>+VLOOKUP(A704,cennik!A:B,2,FALSE)</f>
        <v>SEVROLL 02845 Doubler II spodné vedenie 2,35m oliva</v>
      </c>
      <c r="H704" s="1" t="s">
        <v>479</v>
      </c>
      <c r="I704" s="1" t="str">
        <f>CONCATENATE(H704,"-",$J$6)</f>
        <v>2350-oliva</v>
      </c>
      <c r="Z704" s="1" t="b">
        <f t="shared" si="72"/>
        <v>1</v>
      </c>
    </row>
    <row r="705" spans="1:26" ht="15" customHeight="1" x14ac:dyDescent="0.25">
      <c r="A705" s="53">
        <v>163113</v>
      </c>
      <c r="B705" s="52"/>
      <c r="C705" s="1" t="str">
        <f>CONCATENATE(H705,"-",$J$6)</f>
        <v>3000-oliva</v>
      </c>
      <c r="D705" s="53">
        <v>163113</v>
      </c>
      <c r="E705" s="52" t="str">
        <f>+VLOOKUP(A705,cennik!$A:$G,2,FALSE)</f>
        <v>SEVROLL 02846 Doubler II spodné vedenie 3m oliva</v>
      </c>
      <c r="F705" s="52" t="str">
        <f>+VLOOKUP(A705,cennik!A:B,2,FALSE)</f>
        <v>SEVROLL 02846 Doubler II spodné vedenie 3m oliva</v>
      </c>
      <c r="H705" s="1" t="s">
        <v>480</v>
      </c>
      <c r="I705" s="1" t="str">
        <f>CONCATENATE(H705,"-",$J$6)</f>
        <v>3000-oliva</v>
      </c>
      <c r="Z705" s="1" t="b">
        <f t="shared" si="72"/>
        <v>1</v>
      </c>
    </row>
    <row r="706" spans="1:26" ht="15" customHeight="1" x14ac:dyDescent="0.25">
      <c r="A706" s="53">
        <v>163114</v>
      </c>
      <c r="B706" s="52"/>
      <c r="C706" s="1" t="str">
        <f>CONCATENATE(H706,"-",$J$6)</f>
        <v>4050-oliva</v>
      </c>
      <c r="D706" s="53">
        <v>163114</v>
      </c>
      <c r="E706" s="52" t="str">
        <f>+VLOOKUP(A706,cennik!$A:$G,2,FALSE)</f>
        <v>SEVROLL 02847 Doubler II spodné vedenie 4,05m oliva</v>
      </c>
      <c r="F706" s="52" t="str">
        <f>+VLOOKUP(A706,cennik!A:B,2,FALSE)</f>
        <v>SEVROLL 02847 Doubler II spodné vedenie 4,05m oliva</v>
      </c>
      <c r="H706" s="1" t="s">
        <v>481</v>
      </c>
      <c r="I706" s="1" t="str">
        <f>CONCATENATE(H706,"-",$J$6)</f>
        <v>4050-oliva</v>
      </c>
      <c r="Z706" s="1" t="b">
        <f t="shared" si="72"/>
        <v>1</v>
      </c>
    </row>
    <row r="707" spans="1:26" ht="15" customHeight="1" x14ac:dyDescent="0.25">
      <c r="A707" s="53">
        <v>163115</v>
      </c>
      <c r="B707" s="52"/>
      <c r="C707" s="1" t="str">
        <f>CONCATENATE(H707,"-",$J$6)</f>
        <v>6000-oliva</v>
      </c>
      <c r="D707" s="53">
        <v>163115</v>
      </c>
      <c r="E707" s="52" t="str">
        <f>+VLOOKUP(A707,cennik!$A:$G,2,FALSE)</f>
        <v>SEVROLL 02848 Doubler II spodné vedenie 6m oliva</v>
      </c>
      <c r="F707" s="52" t="str">
        <f>+VLOOKUP(A707,cennik!A:B,2,FALSE)</f>
        <v>SEVROLL 02848 Doubler II spodné vedenie 6m oliva</v>
      </c>
      <c r="H707" s="156" t="s">
        <v>551</v>
      </c>
      <c r="I707" s="1" t="str">
        <f>CONCATENATE(H707,"-",$J$6)</f>
        <v>6000-oliva</v>
      </c>
      <c r="Z707" s="1" t="b">
        <f t="shared" si="72"/>
        <v>1</v>
      </c>
    </row>
    <row r="708" spans="1:26" ht="15" customHeight="1" x14ac:dyDescent="0.25">
      <c r="A708" s="53">
        <v>163122</v>
      </c>
      <c r="B708" s="52" t="s">
        <v>735</v>
      </c>
      <c r="C708" s="1" t="str">
        <f>CONCATENATE(H708,"-",$J$4)</f>
        <v xml:space="preserve">1700-strieborná </v>
      </c>
      <c r="D708" s="53">
        <v>163122</v>
      </c>
      <c r="E708" s="52" t="str">
        <f>+VLOOKUP(A708,cennik!$A:$G,2,FALSE)</f>
        <v>SEVROLL 02864 Doubler II maska 1,7m strieborná</v>
      </c>
      <c r="F708" s="52" t="str">
        <f>+VLOOKUP(A708,cennik!A:B,2,FALSE)</f>
        <v>SEVROLL 02864 Doubler II maska 1,7m strieborná</v>
      </c>
      <c r="H708" s="1" t="s">
        <v>478</v>
      </c>
      <c r="I708" s="1" t="str">
        <f>CONCATENATE(H708,"-",$J$4)</f>
        <v xml:space="preserve">1700-strieborná </v>
      </c>
      <c r="Z708" s="1" t="b">
        <f t="shared" si="72"/>
        <v>1</v>
      </c>
    </row>
    <row r="709" spans="1:26" ht="15" customHeight="1" x14ac:dyDescent="0.25">
      <c r="A709" s="53">
        <v>163123</v>
      </c>
      <c r="B709" s="52"/>
      <c r="C709" s="1" t="str">
        <f>CONCATENATE(H709,"-",$J$4)</f>
        <v xml:space="preserve">2350-strieborná </v>
      </c>
      <c r="D709" s="53">
        <v>163123</v>
      </c>
      <c r="E709" s="52" t="str">
        <f>+VLOOKUP(A709,cennik!$A:$G,2,FALSE)</f>
        <v>SEVROLL Doubler II maska 2,35m stieborná</v>
      </c>
      <c r="F709" s="52" t="str">
        <f>+VLOOKUP(A709,cennik!A:B,2,FALSE)</f>
        <v>SEVROLL Doubler II maska 2,35m stieborná</v>
      </c>
      <c r="H709" s="1" t="s">
        <v>479</v>
      </c>
      <c r="I709" s="1" t="str">
        <f>CONCATENATE(H709,"-",$J$4)</f>
        <v xml:space="preserve">2350-strieborná </v>
      </c>
      <c r="Z709" s="1" t="b">
        <f t="shared" si="72"/>
        <v>1</v>
      </c>
    </row>
    <row r="710" spans="1:26" ht="15" customHeight="1" x14ac:dyDescent="0.25">
      <c r="A710" s="53">
        <v>163125</v>
      </c>
      <c r="B710" s="52"/>
      <c r="C710" s="1" t="str">
        <f>CONCATENATE(H710,"-",$J$4)</f>
        <v xml:space="preserve">3000-strieborná </v>
      </c>
      <c r="D710" s="53">
        <v>163125</v>
      </c>
      <c r="E710" s="52" t="str">
        <f>+VLOOKUP(A710,cennik!$A:$G,2,FALSE)</f>
        <v>SEVROLL 163125 Doubler II maska 3m strieborná</v>
      </c>
      <c r="F710" s="52" t="str">
        <f>+VLOOKUP(A710,cennik!A:B,2,FALSE)</f>
        <v>SEVROLL 163125 Doubler II maska 3m strieborná</v>
      </c>
      <c r="H710" s="1" t="s">
        <v>480</v>
      </c>
      <c r="I710" s="1" t="str">
        <f>CONCATENATE(H710,"-",$J$4)</f>
        <v xml:space="preserve">3000-strieborná </v>
      </c>
      <c r="Z710" s="1" t="b">
        <f t="shared" si="72"/>
        <v>1</v>
      </c>
    </row>
    <row r="711" spans="1:26" ht="15" customHeight="1" x14ac:dyDescent="0.25">
      <c r="A711" s="53">
        <v>162670</v>
      </c>
      <c r="B711" s="52"/>
      <c r="C711" s="1" t="str">
        <f>CONCATENATE(H711,"-",$J$4)</f>
        <v xml:space="preserve">4050-strieborná </v>
      </c>
      <c r="D711" s="53">
        <v>162670</v>
      </c>
      <c r="E711" s="52" t="str">
        <f>+VLOOKUP(A711,cennik!$A:$G,2,FALSE)</f>
        <v>SEVROLL MASKA DOUBLER II 4,05 M striebor</v>
      </c>
      <c r="F711" s="52" t="str">
        <f>+VLOOKUP(A711,cennik!A:B,2,FALSE)</f>
        <v>SEVROLL MASKA DOUBLER II 4,05 M striebor</v>
      </c>
      <c r="H711" s="1" t="s">
        <v>481</v>
      </c>
      <c r="I711" s="1" t="str">
        <f>CONCATENATE(H711,"-",$J$4)</f>
        <v xml:space="preserve">4050-strieborná </v>
      </c>
      <c r="Z711" s="1" t="b">
        <f t="shared" si="72"/>
        <v>1</v>
      </c>
    </row>
    <row r="712" spans="1:26" ht="15" customHeight="1" x14ac:dyDescent="0.25">
      <c r="A712" s="53">
        <v>163128</v>
      </c>
      <c r="B712" s="52"/>
      <c r="C712" s="1" t="str">
        <f>CONCATENATE(H712,"-",$J$4)</f>
        <v xml:space="preserve">6000-strieborná </v>
      </c>
      <c r="D712" s="53">
        <v>163128</v>
      </c>
      <c r="E712" s="52" t="str">
        <f>+VLOOKUP(A712,cennik!$A:$G,2,FALSE)</f>
        <v>SEVROLL 02868 Doubler II maska 6m strieborná</v>
      </c>
      <c r="F712" s="52" t="str">
        <f>+VLOOKUP(A712,cennik!A:B,2,FALSE)</f>
        <v>SEVROLL 02868 Doubler II maska 6m strieborná</v>
      </c>
      <c r="H712" s="156" t="s">
        <v>551</v>
      </c>
      <c r="I712" s="1" t="str">
        <f>CONCATENATE(H712,"-",$J$4)</f>
        <v xml:space="preserve">6000-strieborná </v>
      </c>
      <c r="Z712" s="1" t="b">
        <f t="shared" si="72"/>
        <v>1</v>
      </c>
    </row>
    <row r="713" spans="1:26" ht="15" customHeight="1" x14ac:dyDescent="0.25">
      <c r="A713" s="53">
        <v>163129</v>
      </c>
      <c r="B713" s="52"/>
      <c r="C713" s="1" t="str">
        <f>CONCATENATE(H713,"-",$J$6)</f>
        <v>1700-oliva</v>
      </c>
      <c r="D713" s="53">
        <v>163129</v>
      </c>
      <c r="E713" s="52" t="str">
        <f>+VLOOKUP(A713,cennik!$A:$G,2,FALSE)</f>
        <v>SEVROLL 02859 Doubler II maska 1,7m oliva</v>
      </c>
      <c r="F713" s="52" t="str">
        <f>+VLOOKUP(A713,cennik!A:B,2,FALSE)</f>
        <v>SEVROLL 02859 Doubler II maska 1,7m oliva</v>
      </c>
      <c r="H713" s="1" t="s">
        <v>478</v>
      </c>
      <c r="I713" s="1" t="str">
        <f>CONCATENATE(H713,"-",$J$6)</f>
        <v>1700-oliva</v>
      </c>
      <c r="Z713" s="1" t="b">
        <f t="shared" si="72"/>
        <v>1</v>
      </c>
    </row>
    <row r="714" spans="1:26" ht="15" customHeight="1" x14ac:dyDescent="0.25">
      <c r="A714" s="53">
        <v>163131</v>
      </c>
      <c r="B714" s="52"/>
      <c r="C714" s="1" t="str">
        <f>CONCATENATE(H714,"-",$J$6)</f>
        <v>2350-oliva</v>
      </c>
      <c r="D714" s="53">
        <v>163131</v>
      </c>
      <c r="E714" s="52" t="str">
        <f>+VLOOKUP(A714,cennik!$A:$G,2,FALSE)</f>
        <v>SEVROLL 02860 Doubler II maska 2,35m oliva</v>
      </c>
      <c r="F714" s="52" t="str">
        <f>+VLOOKUP(A714,cennik!A:B,2,FALSE)</f>
        <v>SEVROLL 02860 Doubler II maska 2,35m oliva</v>
      </c>
      <c r="H714" s="1" t="s">
        <v>479</v>
      </c>
      <c r="I714" s="1" t="str">
        <f>CONCATENATE(H714,"-",$J$6)</f>
        <v>2350-oliva</v>
      </c>
      <c r="Z714" s="1" t="b">
        <f t="shared" si="72"/>
        <v>1</v>
      </c>
    </row>
    <row r="715" spans="1:26" ht="15" customHeight="1" x14ac:dyDescent="0.25">
      <c r="A715" s="53">
        <v>163132</v>
      </c>
      <c r="B715" s="52"/>
      <c r="C715" s="1" t="str">
        <f>CONCATENATE(H715,"-",$J$6)</f>
        <v>3000-oliva</v>
      </c>
      <c r="D715" s="53">
        <v>163132</v>
      </c>
      <c r="E715" s="52" t="str">
        <f>+VLOOKUP(A715,cennik!$A:$G,2,FALSE)</f>
        <v>SEVROLL 02861 Doubler II maska 3m oliva</v>
      </c>
      <c r="F715" s="52" t="str">
        <f>+VLOOKUP(A715,cennik!A:B,2,FALSE)</f>
        <v>SEVROLL 02861 Doubler II maska 3m oliva</v>
      </c>
      <c r="H715" s="1" t="s">
        <v>480</v>
      </c>
      <c r="I715" s="1" t="str">
        <f>CONCATENATE(H715,"-",$J$6)</f>
        <v>3000-oliva</v>
      </c>
      <c r="Z715" s="1" t="b">
        <f t="shared" si="72"/>
        <v>1</v>
      </c>
    </row>
    <row r="716" spans="1:26" ht="15" customHeight="1" x14ac:dyDescent="0.25">
      <c r="A716" s="53">
        <v>163133</v>
      </c>
      <c r="B716" s="52"/>
      <c r="C716" s="1" t="str">
        <f>CONCATENATE(H716,"-",$J$6)</f>
        <v>4050-oliva</v>
      </c>
      <c r="D716" s="53">
        <v>163133</v>
      </c>
      <c r="E716" s="52" t="str">
        <f>+VLOOKUP(A716,cennik!$A:$G,2,FALSE)</f>
        <v>SEVROLL 02862 Doubler II maska 4,05m oliva</v>
      </c>
      <c r="F716" s="52" t="str">
        <f>+VLOOKUP(A716,cennik!A:B,2,FALSE)</f>
        <v>SEVROLL 02862 Doubler II maska 4,05m oliva</v>
      </c>
      <c r="H716" s="1" t="s">
        <v>481</v>
      </c>
      <c r="I716" s="1" t="str">
        <f>CONCATENATE(H716,"-",$J$6)</f>
        <v>4050-oliva</v>
      </c>
      <c r="Z716" s="1" t="b">
        <f t="shared" si="72"/>
        <v>1</v>
      </c>
    </row>
    <row r="717" spans="1:26" ht="15" customHeight="1" x14ac:dyDescent="0.25">
      <c r="A717" s="53">
        <v>163134</v>
      </c>
      <c r="B717" s="52"/>
      <c r="C717" s="1" t="str">
        <f>CONCATENATE(H717,"-",$J$6)</f>
        <v>6000-oliva</v>
      </c>
      <c r="D717" s="53">
        <v>163134</v>
      </c>
      <c r="E717" s="52" t="str">
        <f>+VLOOKUP(A717,cennik!$A:$G,2,FALSE)</f>
        <v>SEVROLL 02863 Doubler II maska 6m oliva</v>
      </c>
      <c r="F717" s="52" t="str">
        <f>+VLOOKUP(A717,cennik!A:B,2,FALSE)</f>
        <v>SEVROLL 02863 Doubler II maska 6m oliva</v>
      </c>
      <c r="H717" s="156" t="s">
        <v>551</v>
      </c>
      <c r="I717" s="1" t="str">
        <f>CONCATENATE(H717,"-",$J$6)</f>
        <v>6000-oliva</v>
      </c>
      <c r="Z717" s="1" t="b">
        <f t="shared" si="72"/>
        <v>1</v>
      </c>
    </row>
    <row r="718" spans="1:26" ht="15" customHeight="1" x14ac:dyDescent="0.25">
      <c r="A718" s="53">
        <v>89106</v>
      </c>
      <c r="B718" s="52" t="s">
        <v>96</v>
      </c>
      <c r="C718" s="1" t="str">
        <f t="shared" ref="C718:C754" si="73">CONCATENATE(H718,"-",$J$4)</f>
        <v xml:space="preserve">1700-strieborná </v>
      </c>
      <c r="D718" s="53">
        <v>89106</v>
      </c>
      <c r="E718" s="52" t="str">
        <f>+VLOOKUP(A718,cennik!$A:$G,2,FALSE)</f>
        <v>SEVROLL 01023 Gemini horné vedenie 1,7m strieborná</v>
      </c>
      <c r="F718" s="52" t="str">
        <f>+VLOOKUP(A718,cennik!A:B,2,FALSE)</f>
        <v>SEVROLL 01023 Gemini horné vedenie 1,7m strieborná</v>
      </c>
      <c r="H718" s="1">
        <v>1700</v>
      </c>
      <c r="I718" s="1" t="str">
        <f t="shared" ref="I718:I754" si="74">CONCATENATE(H718,"-",$J$4)</f>
        <v xml:space="preserve">1700-strieborná </v>
      </c>
      <c r="Z718" s="1" t="b">
        <f t="shared" si="72"/>
        <v>1</v>
      </c>
    </row>
    <row r="719" spans="1:26" ht="15" customHeight="1" x14ac:dyDescent="0.25">
      <c r="A719" s="53">
        <v>89109</v>
      </c>
      <c r="B719" s="52"/>
      <c r="C719" s="1" t="str">
        <f t="shared" si="73"/>
        <v xml:space="preserve">2350-strieborná </v>
      </c>
      <c r="D719" s="53">
        <v>89109</v>
      </c>
      <c r="E719" s="52" t="str">
        <f>+VLOOKUP(A719,cennik!$A:$G,2,FALSE)</f>
        <v>SEVROLL 01025 Gemini horné vedenie 2,35m strieborná</v>
      </c>
      <c r="F719" s="52" t="str">
        <f>+VLOOKUP(A719,cennik!A:B,2,FALSE)</f>
        <v>SEVROLL 01025 Gemini horné vedenie 2,35m strieborná</v>
      </c>
      <c r="H719" s="1">
        <v>2350</v>
      </c>
      <c r="I719" s="1" t="str">
        <f t="shared" si="74"/>
        <v xml:space="preserve">2350-strieborná </v>
      </c>
      <c r="Z719" s="1" t="b">
        <f t="shared" si="72"/>
        <v>1</v>
      </c>
    </row>
    <row r="720" spans="1:26" ht="15" customHeight="1" x14ac:dyDescent="0.25">
      <c r="A720" s="53">
        <v>89112</v>
      </c>
      <c r="B720" s="52"/>
      <c r="C720" s="1" t="str">
        <f t="shared" si="73"/>
        <v xml:space="preserve">3000-strieborná </v>
      </c>
      <c r="D720" s="53">
        <v>89112</v>
      </c>
      <c r="E720" s="52" t="str">
        <f>+VLOOKUP(A720,cennik!$A:$G,2,FALSE)</f>
        <v>SEVROLL 01462 Gemini horné vedenie 3m strieborná</v>
      </c>
      <c r="F720" s="52" t="str">
        <f>+VLOOKUP(A720,cennik!A:B,2,FALSE)</f>
        <v>SEVROLL 01462 Gemini horné vedenie 3m strieborná</v>
      </c>
      <c r="H720" s="1">
        <v>3000</v>
      </c>
      <c r="I720" s="1" t="str">
        <f t="shared" si="74"/>
        <v xml:space="preserve">3000-strieborná </v>
      </c>
      <c r="Z720" s="1" t="b">
        <f t="shared" si="72"/>
        <v>1</v>
      </c>
    </row>
    <row r="721" spans="1:26" ht="15" customHeight="1" thickBot="1" x14ac:dyDescent="0.3">
      <c r="A721" s="53">
        <v>89115</v>
      </c>
      <c r="B721" s="52"/>
      <c r="C721" s="1" t="str">
        <f t="shared" si="73"/>
        <v xml:space="preserve">4050-strieborná </v>
      </c>
      <c r="D721" s="53">
        <v>89115</v>
      </c>
      <c r="E721" s="52" t="str">
        <f>+VLOOKUP(A721,cennik!$A:$G,2,FALSE)</f>
        <v>SEVROLL 01469 Gemini horné vedenie 4,05m strieborná</v>
      </c>
      <c r="F721" s="52" t="str">
        <f>+VLOOKUP(A721,cennik!A:B,2,FALSE)</f>
        <v>SEVROLL 01469 Gemini horné vedenie 4,05m strieborná</v>
      </c>
      <c r="H721" s="1">
        <v>4050</v>
      </c>
      <c r="I721" s="1" t="str">
        <f t="shared" si="74"/>
        <v xml:space="preserve">4050-strieborná </v>
      </c>
      <c r="Z721" s="1" t="b">
        <f t="shared" si="72"/>
        <v>1</v>
      </c>
    </row>
    <row r="722" spans="1:26" ht="15" customHeight="1" thickBot="1" x14ac:dyDescent="0.3">
      <c r="A722" s="53">
        <v>134933</v>
      </c>
      <c r="B722" s="52"/>
      <c r="C722" s="1" t="str">
        <f t="shared" si="73"/>
        <v xml:space="preserve">6000-strieborná </v>
      </c>
      <c r="D722" s="53">
        <v>134933</v>
      </c>
      <c r="E722" s="52" t="str">
        <f>+VLOOKUP(A722,cennik!$A:$G,2,FALSE)</f>
        <v>SEVROLL 01391 Gemini horné vedenie 6m strieborná</v>
      </c>
      <c r="F722" s="52" t="str">
        <f>+VLOOKUP(A722,cennik!A:B,2,FALSE)</f>
        <v>SEVROLL 01391 Gemini horné vedenie 6m strieborná</v>
      </c>
      <c r="H722" s="179">
        <v>6000</v>
      </c>
      <c r="I722" s="1" t="str">
        <f t="shared" si="74"/>
        <v xml:space="preserve">6000-strieborná </v>
      </c>
      <c r="Z722" s="1" t="b">
        <f t="shared" si="72"/>
        <v>1</v>
      </c>
    </row>
    <row r="723" spans="1:26" ht="15" customHeight="1" x14ac:dyDescent="0.25">
      <c r="A723" s="53">
        <v>84385</v>
      </c>
      <c r="B723" s="52" t="s">
        <v>628</v>
      </c>
      <c r="C723" s="1" t="str">
        <f t="shared" si="73"/>
        <v xml:space="preserve">1700-strieborná </v>
      </c>
      <c r="D723" s="53">
        <v>84385</v>
      </c>
      <c r="E723" s="52" t="str">
        <f>+VLOOKUP(A723,cennik!$A:$G,2,FALSE)</f>
        <v>SEVROLL 04279 Elegant II spodné vedenie  1,7m strieborná</v>
      </c>
      <c r="F723" s="52" t="str">
        <f>+VLOOKUP(A723,cennik!A:B,2,FALSE)</f>
        <v>SEVROLL 04279 Elegant II spodné vedenie  1,7m strieborná</v>
      </c>
      <c r="H723" s="1">
        <v>1700</v>
      </c>
      <c r="I723" s="1" t="str">
        <f t="shared" si="74"/>
        <v xml:space="preserve">1700-strieborná </v>
      </c>
      <c r="Z723" s="1" t="b">
        <f t="shared" si="72"/>
        <v>1</v>
      </c>
    </row>
    <row r="724" spans="1:26" ht="15" customHeight="1" x14ac:dyDescent="0.25">
      <c r="A724" s="53">
        <v>84388</v>
      </c>
      <c r="B724" s="52"/>
      <c r="C724" s="1" t="str">
        <f t="shared" si="73"/>
        <v xml:space="preserve">2350-strieborná </v>
      </c>
      <c r="D724" s="53">
        <v>84388</v>
      </c>
      <c r="E724" s="52" t="str">
        <f>+VLOOKUP(A724,cennik!$A:$G,2,FALSE)</f>
        <v>SEVROLL 04280 Elegant II spodné vedenie  2,35m strieborná</v>
      </c>
      <c r="F724" s="52" t="str">
        <f>+VLOOKUP(A724,cennik!A:B,2,FALSE)</f>
        <v>SEVROLL 04280 Elegant II spodné vedenie  2,35m strieborná</v>
      </c>
      <c r="H724" s="1">
        <v>2350</v>
      </c>
      <c r="I724" s="1" t="str">
        <f t="shared" si="74"/>
        <v xml:space="preserve">2350-strieborná </v>
      </c>
      <c r="Z724" s="1" t="b">
        <f t="shared" ref="Z724:Z800" si="75">A724=D724</f>
        <v>1</v>
      </c>
    </row>
    <row r="725" spans="1:26" ht="15" customHeight="1" x14ac:dyDescent="0.25">
      <c r="A725" s="53">
        <v>84391</v>
      </c>
      <c r="B725" s="52"/>
      <c r="C725" s="1" t="str">
        <f t="shared" si="73"/>
        <v xml:space="preserve">3000-strieborná </v>
      </c>
      <c r="D725" s="53">
        <v>84391</v>
      </c>
      <c r="E725" s="52" t="str">
        <f>+VLOOKUP(A725,cennik!$A:$G,2,FALSE)</f>
        <v>SEVROLL 04281 Elegant II spodné vedenie  3m strieborná</v>
      </c>
      <c r="F725" s="52" t="str">
        <f>+VLOOKUP(A725,cennik!A:B,2,FALSE)</f>
        <v>SEVROLL 04281 Elegant II spodné vedenie  3m strieborná</v>
      </c>
      <c r="H725" s="1">
        <v>3000</v>
      </c>
      <c r="I725" s="1" t="str">
        <f t="shared" si="74"/>
        <v xml:space="preserve">3000-strieborná </v>
      </c>
      <c r="Z725" s="1" t="b">
        <f t="shared" si="75"/>
        <v>1</v>
      </c>
    </row>
    <row r="726" spans="1:26" ht="15" customHeight="1" thickBot="1" x14ac:dyDescent="0.3">
      <c r="A726" s="53">
        <v>84394</v>
      </c>
      <c r="B726" s="52"/>
      <c r="C726" s="1" t="str">
        <f t="shared" si="73"/>
        <v xml:space="preserve">4050-strieborná </v>
      </c>
      <c r="D726" s="53">
        <v>84394</v>
      </c>
      <c r="E726" s="52" t="str">
        <f>+VLOOKUP(A726,cennik!$A:$G,2,FALSE)</f>
        <v>SEVROLL 04282 Elegant II spodné vedenie  4,05m strieborná</v>
      </c>
      <c r="F726" s="52" t="str">
        <f>+VLOOKUP(A726,cennik!A:B,2,FALSE)</f>
        <v>SEVROLL 04282 Elegant II spodné vedenie  4,05m strieborná</v>
      </c>
      <c r="H726" s="1">
        <v>4050</v>
      </c>
      <c r="I726" s="1" t="str">
        <f t="shared" si="74"/>
        <v xml:space="preserve">4050-strieborná </v>
      </c>
      <c r="Z726" s="1" t="b">
        <f t="shared" si="75"/>
        <v>1</v>
      </c>
    </row>
    <row r="727" spans="1:26" ht="15" customHeight="1" thickBot="1" x14ac:dyDescent="0.3">
      <c r="A727" s="53">
        <v>350687</v>
      </c>
      <c r="B727" s="52"/>
      <c r="C727" s="1" t="str">
        <f t="shared" si="73"/>
        <v xml:space="preserve">6000-strieborná </v>
      </c>
      <c r="D727" s="53">
        <v>350687</v>
      </c>
      <c r="E727" s="52" t="str">
        <f>+VLOOKUP(A727,cennik!$A:$G,2,FALSE)</f>
        <v>SEVROLL 04284 Elegant II spodné vedenie 6m strieborná</v>
      </c>
      <c r="F727" s="52" t="str">
        <f>+VLOOKUP(A727,cennik!A:B,2,FALSE)</f>
        <v>SEVROLL 04284 Elegant II spodné vedenie 6m strieborná</v>
      </c>
      <c r="H727" s="179">
        <v>6000</v>
      </c>
      <c r="I727" s="1" t="str">
        <f t="shared" si="74"/>
        <v xml:space="preserve">6000-strieborná </v>
      </c>
      <c r="Z727" s="1" t="b">
        <f t="shared" si="75"/>
        <v>1</v>
      </c>
    </row>
    <row r="728" spans="1:26" ht="15" customHeight="1" x14ac:dyDescent="0.25">
      <c r="A728" s="53">
        <v>496366</v>
      </c>
      <c r="B728" s="52" t="s">
        <v>97</v>
      </c>
      <c r="C728" s="1" t="str">
        <f t="shared" si="73"/>
        <v xml:space="preserve">1700-strieborná </v>
      </c>
      <c r="D728" s="53">
        <v>496366</v>
      </c>
      <c r="E728" s="52" t="str">
        <f>+VLOOKUP(A728,cennik!$A:$G,2,FALSE)</f>
        <v>SEVROLL 05792 GM 18 vodiaca lišta 1,7m strieborná</v>
      </c>
      <c r="F728" s="52" t="str">
        <f>+VLOOKUP(A728,cennik!A:B,2,FALSE)</f>
        <v>SEVROLL 05792 GM 18 vodiaca lišta 1,7m strieborná</v>
      </c>
      <c r="H728" s="1">
        <v>1700</v>
      </c>
      <c r="I728" s="1" t="str">
        <f t="shared" si="74"/>
        <v xml:space="preserve">1700-strieborná </v>
      </c>
      <c r="Z728" s="1" t="b">
        <f t="shared" si="75"/>
        <v>1</v>
      </c>
    </row>
    <row r="729" spans="1:26" ht="15" customHeight="1" x14ac:dyDescent="0.25">
      <c r="A729" s="53">
        <v>496367</v>
      </c>
      <c r="B729" s="52"/>
      <c r="C729" s="1" t="str">
        <f t="shared" si="73"/>
        <v xml:space="preserve">2350-strieborná </v>
      </c>
      <c r="D729" s="53">
        <v>496367</v>
      </c>
      <c r="E729" s="52" t="str">
        <f>+VLOOKUP(A729,cennik!$A:$G,2,FALSE)</f>
        <v>SEVROLL 05793 GM 18 vod. Lišta 2,35m strieborná</v>
      </c>
      <c r="F729" s="52" t="str">
        <f>+VLOOKUP(A729,cennik!A:B,2,FALSE)</f>
        <v>SEVROLL 05793 GM 18 vod. Lišta 2,35m strieborná</v>
      </c>
      <c r="H729" s="1">
        <v>2350</v>
      </c>
      <c r="I729" s="1" t="str">
        <f t="shared" si="74"/>
        <v xml:space="preserve">2350-strieborná </v>
      </c>
      <c r="Z729" s="1" t="b">
        <f t="shared" si="75"/>
        <v>1</v>
      </c>
    </row>
    <row r="730" spans="1:26" ht="15" customHeight="1" x14ac:dyDescent="0.25">
      <c r="A730" s="53">
        <v>496970</v>
      </c>
      <c r="B730" s="52"/>
      <c r="C730" s="1" t="str">
        <f>CONCATENATE(H730,"-",$J$6)</f>
        <v>1700-oliva</v>
      </c>
      <c r="D730" s="53">
        <v>496970</v>
      </c>
      <c r="E730" s="52" t="str">
        <f>+VLOOKUP(A730,cennik!$A:$G,2,FALSE)</f>
        <v>SEVROLL 05795 GM 18 vodiaca lišta 1,7m oliva</v>
      </c>
      <c r="F730" s="52" t="str">
        <f>+VLOOKUP(A730,cennik!A:B,2,FALSE)</f>
        <v>SEVROLL 05795 GM 18 vodiaca lišta 1,7m oliva</v>
      </c>
      <c r="H730" s="1">
        <v>1700</v>
      </c>
      <c r="I730" s="1" t="str">
        <f>CONCATENATE(H730,"-",$J$6)</f>
        <v>1700-oliva</v>
      </c>
    </row>
    <row r="731" spans="1:26" ht="15" customHeight="1" x14ac:dyDescent="0.25">
      <c r="A731" s="53">
        <v>496971</v>
      </c>
      <c r="B731" s="52"/>
      <c r="C731" s="1" t="str">
        <f>CONCATENATE(H731,"-",$J$6)</f>
        <v>2350-oliva</v>
      </c>
      <c r="D731" s="53">
        <v>496971</v>
      </c>
      <c r="E731" s="52" t="str">
        <f>+VLOOKUP(A731,cennik!$A:$G,2,FALSE)</f>
        <v>SEVROLL 05796 GM 18 vodiaca lišta 2,35m oliva</v>
      </c>
      <c r="F731" s="52" t="str">
        <f>+VLOOKUP(A731,cennik!A:B,2,FALSE)</f>
        <v>SEVROLL 05796 GM 18 vodiaca lišta 2,35m oliva</v>
      </c>
      <c r="H731" s="1">
        <v>2350</v>
      </c>
      <c r="I731" s="1" t="str">
        <f>CONCATENATE(H731,"-",$J$6)</f>
        <v>2350-oliva</v>
      </c>
    </row>
    <row r="732" spans="1:26" ht="15" customHeight="1" x14ac:dyDescent="0.25">
      <c r="A732" s="53">
        <v>496972</v>
      </c>
      <c r="B732" s="52"/>
      <c r="C732" s="1" t="str">
        <f>CONCATENATE(H732,"-",$J$6)</f>
        <v>3000-oliva</v>
      </c>
      <c r="D732" s="53">
        <v>496972</v>
      </c>
      <c r="E732" s="52" t="str">
        <f>+VLOOKUP(A732,cennik!$A:$G,2,FALSE)</f>
        <v>SEVROLL 05797 GM 18 vodiaca lišta 3m oliva</v>
      </c>
      <c r="F732" s="52" t="str">
        <f>+VLOOKUP(A732,cennik!A:B,2,FALSE)</f>
        <v>SEVROLL 05797 GM 18 vodiaca lišta 3m oliva</v>
      </c>
      <c r="H732" s="1">
        <v>3000</v>
      </c>
      <c r="I732" s="1" t="str">
        <f>CONCATENATE(H732,"-",$J$6)</f>
        <v>3000-oliva</v>
      </c>
    </row>
    <row r="733" spans="1:26" ht="15" customHeight="1" x14ac:dyDescent="0.25">
      <c r="A733" s="53">
        <v>496974</v>
      </c>
      <c r="B733" s="52"/>
      <c r="C733" s="1" t="str">
        <f>CONCATENATE(H733,"-",$J$17)</f>
        <v>1700-čierna mat</v>
      </c>
      <c r="D733" s="53">
        <v>496974</v>
      </c>
      <c r="E733" s="52" t="str">
        <f>+VLOOKUP(A733,cennik!$A:$G,2,FALSE)</f>
        <v>SEVROLL 05918 GM 18 vodiaca lišta 1,7m čierna mat</v>
      </c>
      <c r="F733" s="52" t="str">
        <f>+VLOOKUP(A733,cennik!A:B,2,FALSE)</f>
        <v>SEVROLL 05918 GM 18 vodiaca lišta 1,7m čierna mat</v>
      </c>
      <c r="H733" s="1">
        <v>1700</v>
      </c>
      <c r="I733" s="1" t="str">
        <f>CONCATENATE(H733,"-",$J$17)</f>
        <v>1700-čierna mat</v>
      </c>
    </row>
    <row r="734" spans="1:26" ht="15" customHeight="1" x14ac:dyDescent="0.25">
      <c r="A734" s="53">
        <v>496977</v>
      </c>
      <c r="B734" s="52"/>
      <c r="C734" s="1" t="str">
        <f>CONCATENATE(H734,"-",$J$17)</f>
        <v>2350-čierna mat</v>
      </c>
      <c r="D734" s="53">
        <v>496977</v>
      </c>
      <c r="E734" s="52" t="str">
        <f>+VLOOKUP(A734,cennik!$A:$G,2,FALSE)</f>
        <v>SEVROLL 05919 GM 18 vodiaca lišta 2,35m čierna mat</v>
      </c>
      <c r="F734" s="52" t="str">
        <f>+VLOOKUP(A734,cennik!A:B,2,FALSE)</f>
        <v>SEVROLL 05919 GM 18 vodiaca lišta 2,35m čierna mat</v>
      </c>
      <c r="H734" s="1">
        <v>2350</v>
      </c>
      <c r="I734" s="1" t="str">
        <f>CONCATENATE(H734,"-",$J$17)</f>
        <v>2350-čierna mat</v>
      </c>
    </row>
    <row r="735" spans="1:26" ht="15" customHeight="1" x14ac:dyDescent="0.25">
      <c r="A735" s="53">
        <v>496979</v>
      </c>
      <c r="B735" s="52"/>
      <c r="C735" s="1" t="str">
        <f>CONCATENATE(H735,"-",$J$17)</f>
        <v>3000-čierna mat</v>
      </c>
      <c r="D735" s="53">
        <v>496979</v>
      </c>
      <c r="E735" s="52" t="str">
        <f>+VLOOKUP(A735,cennik!$A:$G,2,FALSE)</f>
        <v>SEVROLL 05920 GM 18 vodiaca lišta 3m čierna mat</v>
      </c>
      <c r="F735" s="52" t="str">
        <f>+VLOOKUP(A735,cennik!A:B,2,FALSE)</f>
        <v>SEVROLL 05920 GM 18 vodiaca lišta 3m čierna mat</v>
      </c>
      <c r="H735" s="1">
        <v>3000</v>
      </c>
      <c r="I735" s="1" t="str">
        <f>CONCATENATE(H735,"-",$J$17)</f>
        <v>3000-čierna mat</v>
      </c>
    </row>
    <row r="736" spans="1:26" ht="15" customHeight="1" x14ac:dyDescent="0.25">
      <c r="A736" s="53">
        <v>496368</v>
      </c>
      <c r="B736" s="52"/>
      <c r="C736" s="1" t="str">
        <f t="shared" si="73"/>
        <v xml:space="preserve">3000-strieborná </v>
      </c>
      <c r="D736" s="53">
        <v>496368</v>
      </c>
      <c r="E736" s="52" t="str">
        <f>+VLOOKUP(A736,cennik!$A:$G,2,FALSE)</f>
        <v>SEVROLL 05794 GM 18 VOD.LIŠTA 3 M STRIEBORNA</v>
      </c>
      <c r="F736" s="52" t="str">
        <f>+VLOOKUP(A736,cennik!A:B,2,FALSE)</f>
        <v>SEVROLL 05794 GM 18 VOD.LIŠTA 3 M STRIEBORNA</v>
      </c>
      <c r="H736" s="1">
        <v>3000</v>
      </c>
      <c r="I736" s="1" t="str">
        <f t="shared" si="74"/>
        <v xml:space="preserve">3000-strieborná </v>
      </c>
      <c r="Z736" s="1" t="b">
        <f t="shared" si="75"/>
        <v>1</v>
      </c>
    </row>
    <row r="737" spans="1:26" ht="15" customHeight="1" thickBot="1" x14ac:dyDescent="0.3">
      <c r="A737" s="53" t="s">
        <v>117</v>
      </c>
      <c r="B737" s="52"/>
      <c r="C737" s="1" t="str">
        <f t="shared" si="73"/>
        <v xml:space="preserve">4300-strieborná </v>
      </c>
      <c r="D737" s="53" t="s">
        <v>117</v>
      </c>
      <c r="E737" s="52" t="e">
        <f>+VLOOKUP(A737,cennik!$A:$G,2,FALSE)</f>
        <v>#N/A</v>
      </c>
      <c r="F737" s="52" t="e">
        <f>+VLOOKUP(A737,cennik!A:B,2,FALSE)</f>
        <v>#N/A</v>
      </c>
      <c r="H737" s="1" t="s">
        <v>482</v>
      </c>
      <c r="I737" s="1" t="str">
        <f t="shared" si="74"/>
        <v xml:space="preserve">4300-strieborná </v>
      </c>
      <c r="Z737" s="1" t="b">
        <f t="shared" si="75"/>
        <v>1</v>
      </c>
    </row>
    <row r="738" spans="1:26" ht="15" customHeight="1" thickBot="1" x14ac:dyDescent="0.3">
      <c r="A738" s="53" t="s">
        <v>117</v>
      </c>
      <c r="B738" s="52"/>
      <c r="C738" s="1" t="str">
        <f t="shared" si="73"/>
        <v xml:space="preserve">6000-strieborná </v>
      </c>
      <c r="D738" s="53" t="s">
        <v>117</v>
      </c>
      <c r="E738" s="52" t="e">
        <f>+VLOOKUP(A738,cennik!$A:$G,2,FALSE)</f>
        <v>#N/A</v>
      </c>
      <c r="F738" s="52" t="e">
        <f>+VLOOKUP(A738,cennik!A:B,2,FALSE)</f>
        <v>#N/A</v>
      </c>
      <c r="H738" s="179">
        <v>6000</v>
      </c>
      <c r="I738" s="1" t="str">
        <f t="shared" si="74"/>
        <v xml:space="preserve">6000-strieborná </v>
      </c>
      <c r="Z738" s="1" t="b">
        <f t="shared" si="75"/>
        <v>1</v>
      </c>
    </row>
    <row r="739" spans="1:26" ht="15" customHeight="1" x14ac:dyDescent="0.25">
      <c r="A739" s="53">
        <v>318657</v>
      </c>
      <c r="B739" s="52" t="s">
        <v>629</v>
      </c>
      <c r="C739" s="1" t="str">
        <f t="shared" si="73"/>
        <v xml:space="preserve">1700-strieborná </v>
      </c>
      <c r="D739" s="53">
        <v>318657</v>
      </c>
      <c r="E739" s="52" t="str">
        <f>+VLOOKUP(A739,cennik!$A:$G,2,FALSE)</f>
        <v>SEVROLL 04302 maska Elegant II 1,7m strieborná</v>
      </c>
      <c r="F739" s="52" t="str">
        <f>+VLOOKUP(A739,cennik!A:B,2,FALSE)</f>
        <v>SEVROLL 04302 maska Elegant II 1,7m strieborná</v>
      </c>
      <c r="H739" s="1">
        <v>1700</v>
      </c>
      <c r="I739" s="1" t="str">
        <f t="shared" si="74"/>
        <v xml:space="preserve">1700-strieborná </v>
      </c>
      <c r="Z739" s="1" t="b">
        <f t="shared" si="75"/>
        <v>1</v>
      </c>
    </row>
    <row r="740" spans="1:26" ht="15" customHeight="1" x14ac:dyDescent="0.25">
      <c r="A740" s="53">
        <v>318660</v>
      </c>
      <c r="B740" s="52"/>
      <c r="C740" s="1" t="str">
        <f t="shared" si="73"/>
        <v xml:space="preserve">2350-strieborná </v>
      </c>
      <c r="D740" s="53">
        <v>318660</v>
      </c>
      <c r="E740" s="52" t="str">
        <f>+VLOOKUP(A740,cennik!$A:$G,2,FALSE)</f>
        <v>SEVROLL 04303 maska Elegant II 2,35m strieborná</v>
      </c>
      <c r="F740" s="52" t="str">
        <f>+VLOOKUP(A740,cennik!A:B,2,FALSE)</f>
        <v>SEVROLL 04303 maska Elegant II 2,35m strieborná</v>
      </c>
      <c r="H740" s="1">
        <v>2350</v>
      </c>
      <c r="I740" s="1" t="str">
        <f t="shared" si="74"/>
        <v xml:space="preserve">2350-strieborná </v>
      </c>
      <c r="Z740" s="1" t="b">
        <f t="shared" si="75"/>
        <v>1</v>
      </c>
    </row>
    <row r="741" spans="1:26" ht="15" customHeight="1" x14ac:dyDescent="0.25">
      <c r="A741" s="53">
        <v>345408</v>
      </c>
      <c r="B741" s="52"/>
      <c r="C741" s="1" t="str">
        <f t="shared" si="73"/>
        <v xml:space="preserve">3000-strieborná </v>
      </c>
      <c r="D741" s="53">
        <v>345408</v>
      </c>
      <c r="E741" s="52" t="str">
        <f>+VLOOKUP(A741,cennik!$A:$G,2,FALSE)</f>
        <v>SEVROLL 04304 maska Elegant II 3m strieborná</v>
      </c>
      <c r="F741" s="52" t="str">
        <f>+VLOOKUP(A741,cennik!A:B,2,FALSE)</f>
        <v>SEVROLL 04304 maska Elegant II 3m strieborná</v>
      </c>
      <c r="H741" s="1">
        <v>3000</v>
      </c>
      <c r="I741" s="1" t="str">
        <f t="shared" si="74"/>
        <v xml:space="preserve">3000-strieborná </v>
      </c>
      <c r="Z741" s="1" t="b">
        <f t="shared" si="75"/>
        <v>1</v>
      </c>
    </row>
    <row r="742" spans="1:26" ht="15" customHeight="1" x14ac:dyDescent="0.25">
      <c r="A742" s="53">
        <v>345776</v>
      </c>
      <c r="B742" s="52"/>
      <c r="C742" s="1" t="str">
        <f t="shared" si="73"/>
        <v xml:space="preserve">4050-strieborná </v>
      </c>
      <c r="D742" s="53">
        <v>345776</v>
      </c>
      <c r="E742" s="52" t="str">
        <f>+VLOOKUP(A742,cennik!$A:$G,2,FALSE)</f>
        <v>SEVROLL 04305 maska Elegant II 4,05m strieborná</v>
      </c>
      <c r="F742" s="52" t="str">
        <f>+VLOOKUP(A742,cennik!A:B,2,FALSE)</f>
        <v>SEVROLL 04305 maska Elegant II 4,05m strieborná</v>
      </c>
      <c r="H742" s="1">
        <v>4050</v>
      </c>
      <c r="I742" s="1" t="str">
        <f t="shared" si="74"/>
        <v xml:space="preserve">4050-strieborná </v>
      </c>
      <c r="Z742" s="1" t="b">
        <f t="shared" si="75"/>
        <v>1</v>
      </c>
    </row>
    <row r="743" spans="1:26" ht="15" customHeight="1" x14ac:dyDescent="0.25">
      <c r="A743" s="53">
        <v>346118</v>
      </c>
      <c r="B743" s="52"/>
      <c r="C743" s="1" t="str">
        <f t="shared" si="73"/>
        <v xml:space="preserve">6000-strieborná </v>
      </c>
      <c r="D743" s="53">
        <v>346118</v>
      </c>
      <c r="E743" s="52" t="str">
        <f>+VLOOKUP(A743,cennik!$A:$G,2,FALSE)</f>
        <v>SEVROLL 04307 maska Elegant II 6m strieborná</v>
      </c>
      <c r="F743" s="52" t="str">
        <f>+VLOOKUP(A743,cennik!A:B,2,FALSE)</f>
        <v>SEVROLL 04307 maska Elegant II 6m strieborná</v>
      </c>
      <c r="H743" s="180">
        <v>6000</v>
      </c>
      <c r="I743" s="1" t="str">
        <f t="shared" si="74"/>
        <v xml:space="preserve">6000-strieborná </v>
      </c>
      <c r="Z743" s="1" t="b">
        <f t="shared" si="75"/>
        <v>1</v>
      </c>
    </row>
    <row r="744" spans="1:26" ht="15" customHeight="1" x14ac:dyDescent="0.25">
      <c r="A744" s="53">
        <v>496369</v>
      </c>
      <c r="B744" s="52" t="s">
        <v>98</v>
      </c>
      <c r="C744" s="1" t="str">
        <f t="shared" si="73"/>
        <v xml:space="preserve">1700-strieborná </v>
      </c>
      <c r="D744" s="53">
        <v>496369</v>
      </c>
      <c r="E744" s="52" t="str">
        <f>+VLOOKUP(A744,cennik!$A:$G,2,FALSE)</f>
        <v>SEVROLL 05798 GM 18 spodná krycia lišta 1,7m 18mm strieborná</v>
      </c>
      <c r="F744" s="52" t="str">
        <f>+VLOOKUP(A744,cennik!A:B,2,FALSE)</f>
        <v>SEVROLL 05798 GM 18 spodná krycia lišta 1,7m 18mm strieborná</v>
      </c>
      <c r="H744" s="1">
        <v>1700</v>
      </c>
      <c r="I744" s="1" t="str">
        <f t="shared" si="74"/>
        <v xml:space="preserve">1700-strieborná </v>
      </c>
      <c r="Z744" s="1" t="b">
        <f t="shared" si="75"/>
        <v>1</v>
      </c>
    </row>
    <row r="745" spans="1:26" ht="15" customHeight="1" x14ac:dyDescent="0.25">
      <c r="A745" s="53">
        <v>496370</v>
      </c>
      <c r="B745" s="52"/>
      <c r="C745" s="1" t="str">
        <f t="shared" si="73"/>
        <v xml:space="preserve">2350-strieborná </v>
      </c>
      <c r="D745" s="53">
        <v>496370</v>
      </c>
      <c r="E745" s="52" t="str">
        <f>+VLOOKUP(A745,cennik!$A:$G,2,FALSE)</f>
        <v>SEVROLL 05799 GM 18 spod.krycia lišta 2,35m 18mm strieborná</v>
      </c>
      <c r="F745" s="52" t="str">
        <f>+VLOOKUP(A745,cennik!A:B,2,FALSE)</f>
        <v>SEVROLL 05799 GM 18 spod.krycia lišta 2,35m 18mm strieborná</v>
      </c>
      <c r="H745" s="1">
        <v>2350</v>
      </c>
      <c r="I745" s="1" t="str">
        <f t="shared" si="74"/>
        <v xml:space="preserve">2350-strieborná </v>
      </c>
      <c r="Z745" s="1" t="b">
        <f t="shared" si="75"/>
        <v>1</v>
      </c>
    </row>
    <row r="746" spans="1:26" ht="15" customHeight="1" x14ac:dyDescent="0.25">
      <c r="A746" s="53">
        <v>496946</v>
      </c>
      <c r="B746" s="52"/>
      <c r="C746" s="1" t="str">
        <f>CONCATENATE(H746,"-",$J$6)</f>
        <v>1700-oliva</v>
      </c>
      <c r="D746" s="53">
        <v>496946</v>
      </c>
      <c r="E746" s="52" t="str">
        <f>+VLOOKUP(A746,cennik!$A:$G,2,FALSE)</f>
        <v>SEVROLL 05801 GM 18 spodná krycia lišta 1,7m 18mm oliva</v>
      </c>
      <c r="F746" s="52" t="str">
        <f>+VLOOKUP(A746,cennik!A:B,2,FALSE)</f>
        <v>SEVROLL 05801 GM 18 spodná krycia lišta 1,7m 18mm oliva</v>
      </c>
      <c r="H746" s="1">
        <v>1700</v>
      </c>
      <c r="I746" s="1" t="str">
        <f>CONCATENATE(H746,"-",$J$6)</f>
        <v>1700-oliva</v>
      </c>
    </row>
    <row r="747" spans="1:26" ht="15" customHeight="1" x14ac:dyDescent="0.25">
      <c r="A747" s="53">
        <v>496947</v>
      </c>
      <c r="B747" s="52"/>
      <c r="C747" s="1" t="str">
        <f>CONCATENATE(H747,"-",$J$6)</f>
        <v>2350-oliva</v>
      </c>
      <c r="D747" s="53">
        <v>496947</v>
      </c>
      <c r="E747" s="52" t="str">
        <f>+VLOOKUP(A747,cennik!$A:$G,2,FALSE)</f>
        <v>SEVROLL 05913 GM 18 spodná krycí lišta 2,35m 18mm</v>
      </c>
      <c r="F747" s="52" t="str">
        <f>+VLOOKUP(A747,cennik!A:B,2,FALSE)</f>
        <v>SEVROLL 05913 GM 18 spodná krycí lišta 2,35m 18mm</v>
      </c>
      <c r="H747" s="1">
        <v>2350</v>
      </c>
      <c r="I747" s="1" t="str">
        <f>CONCATENATE(H747,"-",$J$6)</f>
        <v>2350-oliva</v>
      </c>
    </row>
    <row r="748" spans="1:26" ht="15" customHeight="1" x14ac:dyDescent="0.25">
      <c r="A748" s="53">
        <v>496951</v>
      </c>
      <c r="B748" s="52"/>
      <c r="C748" s="1" t="str">
        <f>CONCATENATE(H748,"-",$J$6)</f>
        <v>3000-oliva</v>
      </c>
      <c r="D748" s="53">
        <v>496951</v>
      </c>
      <c r="E748" s="52" t="str">
        <f>+VLOOKUP(A748,cennik!$A:$G,2,FALSE)</f>
        <v>SEVROLL 05803 GM 18 spodná krycia lišta 3m 18mm oliva</v>
      </c>
      <c r="F748" s="52" t="str">
        <f>+VLOOKUP(A748,cennik!A:B,2,FALSE)</f>
        <v>SEVROLL 05803 GM 18 spodná krycia lišta 3m 18mm oliva</v>
      </c>
      <c r="H748" s="1">
        <v>3000</v>
      </c>
      <c r="I748" s="1" t="str">
        <f>CONCATENATE(H748,"-",$J$6)</f>
        <v>3000-oliva</v>
      </c>
    </row>
    <row r="749" spans="1:26" ht="15" customHeight="1" x14ac:dyDescent="0.25">
      <c r="A749" s="53">
        <v>496952</v>
      </c>
      <c r="B749" s="52"/>
      <c r="C749" s="1" t="str">
        <f>CONCATENATE(H749,"-",$J$17)</f>
        <v>1700-čierna mat</v>
      </c>
      <c r="D749" s="53">
        <v>496952</v>
      </c>
      <c r="E749" s="52" t="str">
        <f>+VLOOKUP(A749,cennik!$A:$G,2,FALSE)</f>
        <v>SEVROLL 05912 GM 18 spodná krycia lišta 1,7m 18mm čierna mat</v>
      </c>
      <c r="F749" s="52" t="str">
        <f>+VLOOKUP(A749,cennik!A:B,2,FALSE)</f>
        <v>SEVROLL 05912 GM 18 spodná krycia lišta 1,7m 18mm čierna mat</v>
      </c>
      <c r="H749" s="1">
        <v>1700</v>
      </c>
      <c r="I749" s="1" t="str">
        <f>CONCATENATE(H749,"-",$J$17)</f>
        <v>1700-čierna mat</v>
      </c>
    </row>
    <row r="750" spans="1:26" ht="15" customHeight="1" x14ac:dyDescent="0.25">
      <c r="A750" s="53">
        <v>496955</v>
      </c>
      <c r="B750" s="52"/>
      <c r="C750" s="1" t="str">
        <f>CONCATENATE(H750,"-",$J$17)</f>
        <v>2350-čierna mat</v>
      </c>
      <c r="D750" s="53">
        <v>496955</v>
      </c>
      <c r="E750" s="52" t="str">
        <f>+VLOOKUP(A750,cennik!$A:$G,2,FALSE)</f>
        <v>SEVROLL 05913 GM 18 spodná krycí lišta 2,35m 18mm čierna mat</v>
      </c>
      <c r="F750" s="52" t="str">
        <f>+VLOOKUP(A750,cennik!A:B,2,FALSE)</f>
        <v>SEVROLL 05913 GM 18 spodná krycí lišta 2,35m 18mm čierna mat</v>
      </c>
      <c r="H750" s="1">
        <v>2350</v>
      </c>
      <c r="I750" s="1" t="str">
        <f>CONCATENATE(H750,"-",$J$17)</f>
        <v>2350-čierna mat</v>
      </c>
    </row>
    <row r="751" spans="1:26" ht="15" customHeight="1" x14ac:dyDescent="0.25">
      <c r="A751" s="53">
        <v>496957</v>
      </c>
      <c r="B751" s="52"/>
      <c r="C751" s="1" t="str">
        <f>CONCATENATE(H751,"-",$J$17)</f>
        <v>3000-čierna mat</v>
      </c>
      <c r="D751" s="53">
        <v>496957</v>
      </c>
      <c r="E751" s="52" t="str">
        <f>+VLOOKUP(A751,cennik!$A:$G,2,FALSE)</f>
        <v>SEVROLL 05803 GM 18 spodná krycia lišta 3m 18mm čierna mat</v>
      </c>
      <c r="F751" s="52" t="str">
        <f>+VLOOKUP(A751,cennik!A:B,2,FALSE)</f>
        <v>SEVROLL 05803 GM 18 spodná krycia lišta 3m 18mm čierna mat</v>
      </c>
      <c r="H751" s="1">
        <v>3000</v>
      </c>
      <c r="I751" s="1" t="str">
        <f>CONCATENATE(H751,"-",$J$17)</f>
        <v>3000-čierna mat</v>
      </c>
    </row>
    <row r="752" spans="1:26" ht="15" customHeight="1" x14ac:dyDescent="0.25">
      <c r="A752" s="53">
        <v>496371</v>
      </c>
      <c r="B752" s="52"/>
      <c r="C752" s="1" t="str">
        <f t="shared" si="73"/>
        <v xml:space="preserve">3000-strieborná </v>
      </c>
      <c r="D752" s="53">
        <v>496371</v>
      </c>
      <c r="E752" s="52" t="str">
        <f>+VLOOKUP(A752,cennik!$A:$G,2,FALSE)</f>
        <v>SEVROLL 05800 GM 18 spod.krycia lišta 3m 18mm strieborná</v>
      </c>
      <c r="F752" s="52" t="str">
        <f>+VLOOKUP(A752,cennik!A:B,2,FALSE)</f>
        <v>SEVROLL 05800 GM 18 spod.krycia lišta 3m 18mm strieborná</v>
      </c>
      <c r="H752" s="1">
        <v>3000</v>
      </c>
      <c r="I752" s="1" t="str">
        <f t="shared" si="74"/>
        <v xml:space="preserve">3000-strieborná </v>
      </c>
      <c r="Z752" s="1" t="b">
        <f t="shared" si="75"/>
        <v>1</v>
      </c>
    </row>
    <row r="753" spans="1:26" ht="15" customHeight="1" x14ac:dyDescent="0.25">
      <c r="A753" s="53" t="s">
        <v>117</v>
      </c>
      <c r="B753" s="52"/>
      <c r="C753" s="1" t="str">
        <f t="shared" si="73"/>
        <v xml:space="preserve">4300-strieborná </v>
      </c>
      <c r="D753" s="53" t="s">
        <v>117</v>
      </c>
      <c r="E753" s="52" t="e">
        <f>+VLOOKUP(A753,cennik!$A:$G,2,FALSE)</f>
        <v>#N/A</v>
      </c>
      <c r="F753" s="52" t="e">
        <f>+VLOOKUP(A753,cennik!A:B,2,FALSE)</f>
        <v>#N/A</v>
      </c>
      <c r="H753" s="1" t="s">
        <v>482</v>
      </c>
      <c r="I753" s="1" t="str">
        <f t="shared" si="74"/>
        <v xml:space="preserve">4300-strieborná </v>
      </c>
      <c r="Z753" s="1" t="b">
        <f t="shared" si="75"/>
        <v>1</v>
      </c>
    </row>
    <row r="754" spans="1:26" ht="15" customHeight="1" x14ac:dyDescent="0.25">
      <c r="A754" s="53" t="s">
        <v>117</v>
      </c>
      <c r="B754" s="52"/>
      <c r="C754" s="1" t="str">
        <f t="shared" si="73"/>
        <v xml:space="preserve">6000-strieborná </v>
      </c>
      <c r="D754" s="53" t="s">
        <v>117</v>
      </c>
      <c r="E754" s="52" t="e">
        <f>+VLOOKUP(A754,cennik!$A:$G,2,FALSE)</f>
        <v>#N/A</v>
      </c>
      <c r="F754" s="52" t="e">
        <f>+VLOOKUP(A754,cennik!A:B,2,FALSE)</f>
        <v>#N/A</v>
      </c>
      <c r="H754" s="180">
        <v>6000</v>
      </c>
      <c r="I754" s="1" t="str">
        <f t="shared" si="74"/>
        <v xml:space="preserve">6000-strieborná </v>
      </c>
      <c r="Z754" s="1" t="b">
        <f t="shared" si="75"/>
        <v>1</v>
      </c>
    </row>
    <row r="755" spans="1:26" ht="15" customHeight="1" x14ac:dyDescent="0.25">
      <c r="A755" s="53">
        <v>496998</v>
      </c>
      <c r="B755" s="52"/>
      <c r="D755" s="53">
        <v>496998</v>
      </c>
      <c r="E755" s="52" t="str">
        <f>+VLOOKUP(A755,cennik!$A:$G,2,FALSE)</f>
        <v>SEVROLL 05691 GM 18 horný vozík 18mm - 2ks</v>
      </c>
      <c r="F755" s="52" t="str">
        <f>+VLOOKUP(A755,cennik!A:B,2,FALSE)</f>
        <v>SEVROLL 05691 GM 18 horný vozík 18mm - 2ks</v>
      </c>
      <c r="H755" s="180"/>
      <c r="J755" s="165"/>
      <c r="K755" s="165"/>
      <c r="L755" s="165"/>
      <c r="M755" s="165"/>
      <c r="N755" s="165"/>
      <c r="Z755" s="1" t="b">
        <f t="shared" si="75"/>
        <v>1</v>
      </c>
    </row>
    <row r="756" spans="1:26" ht="15" customHeight="1" x14ac:dyDescent="0.25">
      <c r="A756" s="53">
        <v>489292</v>
      </c>
      <c r="B756" s="52" t="s">
        <v>863</v>
      </c>
      <c r="C756" s="1" t="str">
        <f>$J$4</f>
        <v xml:space="preserve">strieborná </v>
      </c>
      <c r="D756" s="53">
        <v>489292</v>
      </c>
      <c r="E756" s="52" t="str">
        <f>+VLOOKUP(A756,cennik!$A:$G,2,FALSE)</f>
        <v>SEVROLL 05788 Arte GM 18 úch.lišta 2,7m strieborná</v>
      </c>
      <c r="F756" s="52" t="str">
        <f>+VLOOKUP(A756,cennik!A:B,2,FALSE)</f>
        <v>SEVROLL 05788 Arte GM 18 úch.lišta 2,7m strieborná</v>
      </c>
      <c r="H756" s="180"/>
      <c r="I756" s="1" t="str">
        <f>$J$4</f>
        <v xml:space="preserve">strieborná </v>
      </c>
      <c r="J756" s="165"/>
      <c r="K756" s="165"/>
      <c r="L756" s="165"/>
      <c r="M756" s="165"/>
      <c r="N756" s="165"/>
      <c r="Z756" s="1" t="b">
        <f t="shared" si="75"/>
        <v>1</v>
      </c>
    </row>
    <row r="757" spans="1:26" ht="15" customHeight="1" x14ac:dyDescent="0.25">
      <c r="A757" s="53">
        <v>143983</v>
      </c>
      <c r="B757" s="52" t="s">
        <v>582</v>
      </c>
      <c r="C757" s="1" t="str">
        <f>$J$4</f>
        <v xml:space="preserve">strieborná </v>
      </c>
      <c r="D757" s="53">
        <v>143983</v>
      </c>
      <c r="E757" s="52" t="str">
        <f>+VLOOKUP(A757,cennik!$A:$G,2,FALSE)</f>
        <v>SEVROLL ERGO 18 UCH.LIŠTA.2,70m STR.</v>
      </c>
      <c r="F757" s="52" t="str">
        <f>+VLOOKUP(A757,cennik!A:B,2,FALSE)</f>
        <v>SEVROLL ERGO 18 UCH.LIŠTA.2,70m STR.</v>
      </c>
      <c r="I757" s="1" t="str">
        <f>$J$4</f>
        <v xml:space="preserve">strieborná </v>
      </c>
      <c r="J757" s="165"/>
      <c r="K757" s="165"/>
      <c r="L757" s="165"/>
      <c r="M757" s="165"/>
      <c r="N757" s="165"/>
      <c r="Z757" s="1" t="b">
        <f t="shared" si="75"/>
        <v>1</v>
      </c>
    </row>
    <row r="758" spans="1:26" ht="15" customHeight="1" x14ac:dyDescent="0.25">
      <c r="A758" s="53">
        <v>143984</v>
      </c>
      <c r="B758" s="52"/>
      <c r="C758" s="1" t="str">
        <f>$J$6</f>
        <v>oliva</v>
      </c>
      <c r="D758" s="53">
        <v>143984</v>
      </c>
      <c r="E758" s="52" t="str">
        <f>+VLOOKUP(A758,cennik!$A:$G,2,FALSE)</f>
        <v>SEVROLL ERGO UCH.LIŠTA.2,70m OLIVOVÁ</v>
      </c>
      <c r="F758" s="52" t="str">
        <f>+VLOOKUP(A758,cennik!A:B,2,FALSE)</f>
        <v>SEVROLL ERGO UCH.LIŠTA.2,70m OLIVOVÁ</v>
      </c>
      <c r="I758" s="1" t="str">
        <f>$J$6</f>
        <v>oliva</v>
      </c>
      <c r="J758" s="165"/>
      <c r="K758" s="165"/>
      <c r="L758" s="165"/>
      <c r="M758" s="165"/>
      <c r="N758" s="165"/>
      <c r="Z758" s="1" t="b">
        <f t="shared" si="75"/>
        <v>1</v>
      </c>
    </row>
    <row r="759" spans="1:26" ht="15" customHeight="1" x14ac:dyDescent="0.25">
      <c r="A759" s="53">
        <v>179196</v>
      </c>
      <c r="B759" s="52" t="s">
        <v>743</v>
      </c>
      <c r="C759" s="1" t="str">
        <f>$J$4</f>
        <v xml:space="preserve">strieborná </v>
      </c>
      <c r="D759" s="53">
        <v>179196</v>
      </c>
      <c r="E759" s="52" t="str">
        <f>+VLOOKUP(A759,cennik!$A:$G,2,FALSE)</f>
        <v>SEVROLL 04552 Faworyt II úchytová lišta 2,7m strieborná</v>
      </c>
      <c r="F759" s="52" t="str">
        <f>+VLOOKUP(A759,cennik!A:B,2,FALSE)</f>
        <v>SEVROLL 04552 Faworyt II úchytová lišta 2,7m strieborná</v>
      </c>
      <c r="I759" s="1" t="str">
        <f>$J$4</f>
        <v xml:space="preserve">strieborná </v>
      </c>
      <c r="J759" s="165"/>
      <c r="K759" s="165"/>
      <c r="L759" s="165"/>
      <c r="M759" s="165"/>
      <c r="N759" s="165"/>
      <c r="Z759" s="1" t="b">
        <f t="shared" si="75"/>
        <v>1</v>
      </c>
    </row>
    <row r="760" spans="1:26" ht="15" customHeight="1" x14ac:dyDescent="0.25">
      <c r="A760" s="1">
        <v>452601</v>
      </c>
      <c r="C760" s="1" t="str">
        <f>$J$17</f>
        <v>čierna mat</v>
      </c>
      <c r="D760" s="1">
        <v>452601</v>
      </c>
      <c r="E760" s="52" t="str">
        <f>+VLOOKUP(A760,cennik!$A:$G,2,FALSE)</f>
        <v>SEVROLL 05306 Faworyt II úchytová lišta 2,7m čierna mat</v>
      </c>
      <c r="F760" s="52" t="str">
        <f>+VLOOKUP(A760,cennik!A:B,2,FALSE)</f>
        <v>SEVROLL 05306 Faworyt II úchytová lišta 2,7m čierna mat</v>
      </c>
      <c r="I760" s="1" t="str">
        <f>$J$17</f>
        <v>čierna mat</v>
      </c>
      <c r="J760" s="165"/>
      <c r="K760" s="165"/>
      <c r="L760" s="165"/>
      <c r="M760" s="165"/>
      <c r="N760" s="165"/>
      <c r="Z760" s="1" t="b">
        <f t="shared" si="75"/>
        <v>1</v>
      </c>
    </row>
    <row r="761" spans="1:26" ht="15" customHeight="1" x14ac:dyDescent="0.25">
      <c r="A761" s="558">
        <v>276742</v>
      </c>
      <c r="B761" s="559"/>
      <c r="C761" s="1" t="str">
        <f>$J$18</f>
        <v>biela mat</v>
      </c>
      <c r="D761" s="558">
        <v>276742</v>
      </c>
      <c r="E761" s="52" t="str">
        <f>+VLOOKUP(A761,cennik!$A:$G,2,FALSE)</f>
        <v>SEVROLL 04556 Faworyt II úchytová lišta 2,7m biela mat</v>
      </c>
      <c r="F761" s="52" t="str">
        <f>+VLOOKUP(A761,cennik!A:B,2,FALSE)</f>
        <v>SEVROLL 04556 Faworyt II úchytová lišta 2,7m biela mat</v>
      </c>
      <c r="G761" s="559"/>
      <c r="H761" s="559"/>
      <c r="I761" s="1" t="str">
        <f>$J$18</f>
        <v>biela mat</v>
      </c>
      <c r="J761" s="165"/>
      <c r="K761" s="165"/>
      <c r="L761" s="165"/>
      <c r="M761" s="165"/>
      <c r="N761" s="165"/>
      <c r="Z761" s="1" t="b">
        <f t="shared" si="75"/>
        <v>1</v>
      </c>
    </row>
    <row r="762" spans="1:26" ht="15" customHeight="1" x14ac:dyDescent="0.25">
      <c r="A762" s="53">
        <v>135706</v>
      </c>
      <c r="B762" s="52"/>
      <c r="C762" s="1" t="str">
        <f>$J$6</f>
        <v>oliva</v>
      </c>
      <c r="D762" s="53">
        <v>135706</v>
      </c>
      <c r="E762" s="52" t="str">
        <f>+VLOOKUP(A762,cennik!$A:$G,2,FALSE)</f>
        <v>SEVROLL 04551 Faworyt II úchytová lišta 2,7m oliva</v>
      </c>
      <c r="F762" s="52" t="str">
        <f>+VLOOKUP(A762,cennik!A:B,2,FALSE)</f>
        <v>SEVROLL 04551 Faworyt II úchytová lišta 2,7m oliva</v>
      </c>
      <c r="I762" s="1" t="str">
        <f>$J$6</f>
        <v>oliva</v>
      </c>
      <c r="J762" s="165"/>
      <c r="K762" s="165"/>
      <c r="L762" s="165"/>
      <c r="M762" s="165"/>
      <c r="N762" s="165"/>
      <c r="Z762" s="1" t="b">
        <f t="shared" si="75"/>
        <v>1</v>
      </c>
    </row>
    <row r="763" spans="1:26" ht="15" customHeight="1" x14ac:dyDescent="0.25">
      <c r="A763" s="53">
        <v>252569</v>
      </c>
      <c r="B763" s="52"/>
      <c r="C763" s="1" t="str">
        <f>$J$15</f>
        <v>biela lesk</v>
      </c>
      <c r="D763" s="53">
        <v>252569</v>
      </c>
      <c r="E763" s="52" t="str">
        <f>+VLOOKUP(A763,cennik!$A:$G,2,FALSE)</f>
        <v>SEVROLL 04554 Faworyt II úchytová lišta 2,7m biela lesk</v>
      </c>
      <c r="F763" s="52" t="str">
        <f>+VLOOKUP(A763,cennik!A:B,2,FALSE)</f>
        <v>SEVROLL 04554 Faworyt II úchytová lišta 2,7m biela lesk</v>
      </c>
      <c r="I763" s="1" t="str">
        <f>J$15</f>
        <v>biela lesk</v>
      </c>
      <c r="J763" s="165"/>
      <c r="K763" s="165"/>
      <c r="L763" s="165"/>
      <c r="M763" s="165"/>
      <c r="N763" s="165"/>
      <c r="Z763" s="1" t="b">
        <f t="shared" si="75"/>
        <v>1</v>
      </c>
    </row>
    <row r="764" spans="1:26" ht="15" customHeight="1" x14ac:dyDescent="0.25">
      <c r="A764" s="53">
        <v>135552</v>
      </c>
      <c r="B764" s="52" t="s">
        <v>772</v>
      </c>
      <c r="C764" s="1" t="str">
        <f>$J$4</f>
        <v xml:space="preserve">strieborná </v>
      </c>
      <c r="D764" s="53">
        <v>135552</v>
      </c>
      <c r="E764" s="52" t="str">
        <f>+VLOOKUP(A764,cennik!$A:$G,2,FALSE)</f>
        <v>SEVROLL Minicomfort II úch.lišta 2,7m str.</v>
      </c>
      <c r="F764" s="52" t="str">
        <f>+VLOOKUP(A764,cennik!A:B,2,FALSE)</f>
        <v>SEVROLL Minicomfort II úch.lišta 2,7m str.</v>
      </c>
      <c r="I764" s="1" t="str">
        <f>$J$4</f>
        <v xml:space="preserve">strieborná </v>
      </c>
      <c r="J764" s="165"/>
      <c r="K764" s="165"/>
      <c r="L764" s="165"/>
      <c r="M764" s="165"/>
      <c r="N764" s="165"/>
      <c r="Z764" s="1" t="b">
        <f t="shared" si="75"/>
        <v>1</v>
      </c>
    </row>
    <row r="765" spans="1:26" ht="15" customHeight="1" x14ac:dyDescent="0.25">
      <c r="A765" s="53">
        <v>135553</v>
      </c>
      <c r="B765" s="52"/>
      <c r="C765" s="1" t="str">
        <f>$J$6</f>
        <v>oliva</v>
      </c>
      <c r="D765" s="53">
        <v>135553</v>
      </c>
      <c r="E765" s="52" t="str">
        <f>+VLOOKUP(A765,cennik!$A:$G,2,FALSE)</f>
        <v>SEVROLL 02740 Minicomfort II úchytová lišta 2,7m oliva</v>
      </c>
      <c r="F765" s="52" t="str">
        <f>+VLOOKUP(A765,cennik!A:B,2,FALSE)</f>
        <v>SEVROLL 02740 Minicomfort II úchytová lišta 2,7m oliva</v>
      </c>
      <c r="I765" s="1" t="str">
        <f>$J$6</f>
        <v>oliva</v>
      </c>
      <c r="J765" s="165"/>
      <c r="K765" s="165"/>
      <c r="L765" s="165"/>
      <c r="M765" s="165"/>
      <c r="N765" s="165"/>
      <c r="Z765" s="1" t="b">
        <f t="shared" si="75"/>
        <v>1</v>
      </c>
    </row>
    <row r="766" spans="1:26" ht="15" customHeight="1" x14ac:dyDescent="0.25">
      <c r="A766" s="53">
        <v>135555</v>
      </c>
      <c r="B766" s="52" t="s">
        <v>773</v>
      </c>
      <c r="C766" s="1" t="str">
        <f>$J$4</f>
        <v xml:space="preserve">strieborná </v>
      </c>
      <c r="D766" s="53">
        <v>135555</v>
      </c>
      <c r="E766" s="52" t="str">
        <f>+VLOOKUP(A766,cennik!$A:$G,2,FALSE)</f>
        <v>SEVROLL Comfort 18 II úch.lišta 2,7m str,</v>
      </c>
      <c r="F766" s="52" t="str">
        <f>+VLOOKUP(A766,cennik!A:B,2,FALSE)</f>
        <v>SEVROLL Comfort 18 II úch.lišta 2,7m str,</v>
      </c>
      <c r="I766" s="1" t="str">
        <f>$J$4</f>
        <v xml:space="preserve">strieborná </v>
      </c>
      <c r="J766" s="165"/>
      <c r="K766" s="165"/>
      <c r="L766" s="165"/>
      <c r="M766" s="165"/>
      <c r="N766" s="165"/>
      <c r="Z766" s="1" t="b">
        <f t="shared" si="75"/>
        <v>1</v>
      </c>
    </row>
    <row r="767" spans="1:26" ht="15" customHeight="1" x14ac:dyDescent="0.25">
      <c r="A767" s="53">
        <v>135556</v>
      </c>
      <c r="B767" s="52"/>
      <c r="C767" s="1" t="str">
        <f>$J$6</f>
        <v>oliva</v>
      </c>
      <c r="D767" s="53">
        <v>135556</v>
      </c>
      <c r="E767" s="52" t="str">
        <f>+VLOOKUP(A767,cennik!$A:$G,2,FALSE)</f>
        <v>SEVROLL 02721 Comfort 18 II úchytová lišta 2,7m oliva</v>
      </c>
      <c r="F767" s="52" t="str">
        <f>+VLOOKUP(A767,cennik!A:B,2,FALSE)</f>
        <v>SEVROLL 02721 Comfort 18 II úchytová lišta 2,7m oliva</v>
      </c>
      <c r="I767" s="1" t="str">
        <f>$J$6</f>
        <v>oliva</v>
      </c>
      <c r="J767" s="165"/>
      <c r="K767" s="165"/>
      <c r="L767" s="165"/>
      <c r="M767" s="165"/>
      <c r="N767" s="165"/>
      <c r="Z767" s="1" t="b">
        <f t="shared" si="75"/>
        <v>1</v>
      </c>
    </row>
    <row r="768" spans="1:26" ht="15" customHeight="1" x14ac:dyDescent="0.25">
      <c r="A768" s="53">
        <v>135684</v>
      </c>
      <c r="B768" s="52" t="s">
        <v>774</v>
      </c>
      <c r="C768" s="1" t="str">
        <f>$J$4</f>
        <v xml:space="preserve">strieborná </v>
      </c>
      <c r="D768" s="53">
        <v>135684</v>
      </c>
      <c r="E768" s="52" t="str">
        <f>+VLOOKUP(A768,cennik!$A:$G,2,FALSE)</f>
        <v>SEVROLL Unicomfort II úch.lišta 2,7m str.</v>
      </c>
      <c r="F768" s="52" t="str">
        <f>+VLOOKUP(A768,cennik!A:B,2,FALSE)</f>
        <v>SEVROLL Unicomfort II úch.lišta 2,7m str.</v>
      </c>
      <c r="I768" s="1" t="str">
        <f>$J$4</f>
        <v xml:space="preserve">strieborná </v>
      </c>
      <c r="J768" s="165"/>
      <c r="K768" s="165"/>
      <c r="L768" s="165"/>
      <c r="M768" s="165"/>
      <c r="N768" s="165"/>
      <c r="Z768" s="1" t="b">
        <f t="shared" si="75"/>
        <v>1</v>
      </c>
    </row>
    <row r="769" spans="1:26" ht="15" customHeight="1" x14ac:dyDescent="0.25">
      <c r="A769" s="53">
        <v>135685</v>
      </c>
      <c r="B769" s="52"/>
      <c r="C769" s="1" t="str">
        <f>$J$6</f>
        <v>oliva</v>
      </c>
      <c r="D769" s="53">
        <v>135685</v>
      </c>
      <c r="E769" s="52" t="str">
        <f>+VLOOKUP(A769,cennik!$A:$G,2,FALSE)</f>
        <v>SEVROLL 02726 Unicomfort II úchytová lišta 2,7m oliva</v>
      </c>
      <c r="F769" s="52" t="str">
        <f>+VLOOKUP(A769,cennik!A:B,2,FALSE)</f>
        <v>SEVROLL 02726 Unicomfort II úchytová lišta 2,7m oliva</v>
      </c>
      <c r="I769" s="1" t="str">
        <f>$J$6</f>
        <v>oliva</v>
      </c>
      <c r="J769" s="165"/>
      <c r="K769" s="165"/>
      <c r="L769" s="165"/>
      <c r="M769" s="165"/>
      <c r="N769" s="165"/>
      <c r="Z769" s="1" t="b">
        <f t="shared" si="75"/>
        <v>1</v>
      </c>
    </row>
    <row r="770" spans="1:26" ht="15" customHeight="1" x14ac:dyDescent="0.25">
      <c r="A770" s="16">
        <v>233428</v>
      </c>
      <c r="B770" s="52" t="s">
        <v>604</v>
      </c>
      <c r="C770" s="165" t="str">
        <f>$J$4</f>
        <v xml:space="preserve">strieborná </v>
      </c>
      <c r="D770" s="16">
        <v>233428</v>
      </c>
      <c r="E770" s="52" t="str">
        <f>+VLOOKUP(A770,cennik!$A:$G,2,FALSE)</f>
        <v>Sevroll 85003 Fiona II úchytová lišta 2,7m strieborná</v>
      </c>
      <c r="F770" s="52" t="str">
        <f>+VLOOKUP(A770,cennik!A:B,2,FALSE)</f>
        <v>Sevroll 85003 Fiona II úchytová lišta 2,7m strieborná</v>
      </c>
      <c r="G770" s="165"/>
      <c r="H770" s="165"/>
      <c r="I770" s="165" t="str">
        <f>$J$4</f>
        <v xml:space="preserve">strieborná </v>
      </c>
      <c r="Z770" s="1" t="b">
        <f t="shared" si="75"/>
        <v>1</v>
      </c>
    </row>
    <row r="771" spans="1:26" ht="15" customHeight="1" x14ac:dyDescent="0.25">
      <c r="A771" s="53">
        <v>98002</v>
      </c>
      <c r="B771" s="52" t="s">
        <v>601</v>
      </c>
      <c r="C771" s="165" t="str">
        <f>$J$4</f>
        <v xml:space="preserve">strieborná </v>
      </c>
      <c r="D771" s="53">
        <v>98002</v>
      </c>
      <c r="E771" s="52" t="str">
        <f>+VLOOKUP(A771,cennik!$A:$G,2,FALSE)</f>
        <v>Sevroll (Astin) Orient úch.lišta 2,7m str. (32/1)</v>
      </c>
      <c r="F771" s="52" t="str">
        <f>+VLOOKUP(A771,cennik!A:B,2,FALSE)</f>
        <v>Sevroll (Astin) Orient úch.lišta 2,7m str. (32/1)</v>
      </c>
      <c r="G771" s="165"/>
      <c r="H771" s="165"/>
      <c r="I771" s="165" t="str">
        <f>$J$4</f>
        <v xml:space="preserve">strieborná </v>
      </c>
      <c r="Z771" s="1" t="b">
        <f t="shared" si="75"/>
        <v>1</v>
      </c>
    </row>
    <row r="772" spans="1:26" ht="15" customHeight="1" x14ac:dyDescent="0.25">
      <c r="A772" s="53">
        <v>98001</v>
      </c>
      <c r="B772" s="52" t="s">
        <v>605</v>
      </c>
      <c r="C772" s="165" t="str">
        <f>$J$4</f>
        <v xml:space="preserve">strieborná </v>
      </c>
      <c r="D772" s="53">
        <v>98001</v>
      </c>
      <c r="E772" s="52" t="str">
        <f>+VLOOKUP(A772,cennik!$A:$G,2,FALSE)</f>
        <v>Sevroll (Astin) Elegant úch.lišta 2,7m str. (22/1)</v>
      </c>
      <c r="F772" s="52" t="str">
        <f>+VLOOKUP(A772,cennik!A:B,2,FALSE)</f>
        <v>Sevroll (Astin) Elegant úch.lišta 2,7m str. (22/1)</v>
      </c>
      <c r="G772" s="165"/>
      <c r="H772" s="165"/>
      <c r="I772" s="165" t="str">
        <f>$J$4</f>
        <v xml:space="preserve">strieborná </v>
      </c>
      <c r="Z772" s="1" t="b">
        <f t="shared" si="75"/>
        <v>1</v>
      </c>
    </row>
    <row r="773" spans="1:26" ht="15" customHeight="1" x14ac:dyDescent="0.25">
      <c r="A773" s="53">
        <v>98003</v>
      </c>
      <c r="B773" s="52" t="s">
        <v>606</v>
      </c>
      <c r="C773" s="165" t="str">
        <f t="shared" ref="C773:C781" si="76">CONCATENATE(H773,"-",$J$4)</f>
        <v xml:space="preserve">1800-strieborná </v>
      </c>
      <c r="D773" s="53">
        <v>98003</v>
      </c>
      <c r="E773" s="52" t="str">
        <f>+VLOOKUP(A773,cennik!$A:$G,2,FALSE)</f>
        <v>Sevroll (Astin)-HORNÝ PROFIL 1,8M HLINÍK (32/1)</v>
      </c>
      <c r="F773" s="52" t="str">
        <f>+VLOOKUP(A773,cennik!A:B,2,FALSE)</f>
        <v>Sevroll (Astin)-HORNÝ PROFIL 1,8M HLINÍK (32/1)</v>
      </c>
      <c r="G773" s="165"/>
      <c r="H773" s="165">
        <v>1800</v>
      </c>
      <c r="I773" s="165" t="str">
        <f>CONCATENATE(H773,"-",$J$4)</f>
        <v xml:space="preserve">1800-strieborná </v>
      </c>
      <c r="Z773" s="1" t="b">
        <f t="shared" si="75"/>
        <v>1</v>
      </c>
    </row>
    <row r="774" spans="1:26" ht="15" customHeight="1" x14ac:dyDescent="0.25">
      <c r="A774" s="53">
        <v>98004</v>
      </c>
      <c r="B774" s="52"/>
      <c r="C774" s="165" t="str">
        <f t="shared" si="76"/>
        <v xml:space="preserve">2700-strieborná </v>
      </c>
      <c r="D774" s="53">
        <v>98004</v>
      </c>
      <c r="E774" s="52" t="str">
        <f>+VLOOKUP(A774,cennik!$A:$G,2,FALSE)</f>
        <v>Sevroll (Astin)-HORNÝ PROFIL 2,7M HLINÍK (32/1)</v>
      </c>
      <c r="F774" s="52" t="str">
        <f>+VLOOKUP(A774,cennik!A:B,2,FALSE)</f>
        <v>Sevroll (Astin)-HORNÝ PROFIL 2,7M HLINÍK (32/1)</v>
      </c>
      <c r="G774" s="165"/>
      <c r="H774" s="165">
        <v>2700</v>
      </c>
      <c r="I774" s="165" t="str">
        <f t="shared" ref="I774:I787" si="77">CONCATENATE(H774,"-",$J$4)</f>
        <v xml:space="preserve">2700-strieborná </v>
      </c>
      <c r="Z774" s="1" t="b">
        <f t="shared" si="75"/>
        <v>1</v>
      </c>
    </row>
    <row r="775" spans="1:26" ht="15" customHeight="1" x14ac:dyDescent="0.25">
      <c r="A775" s="53">
        <v>98005</v>
      </c>
      <c r="B775" s="52"/>
      <c r="C775" s="165" t="str">
        <f t="shared" si="76"/>
        <v xml:space="preserve">3600-strieborná </v>
      </c>
      <c r="D775" s="53">
        <v>98005</v>
      </c>
      <c r="E775" s="52" t="str">
        <f>+VLOOKUP(A775,cennik!$A:$G,2,FALSE)</f>
        <v>Sevroll (Astin)-HORNÝ PROFIL 3,6M HLINÍK (32/1)</v>
      </c>
      <c r="F775" s="52" t="str">
        <f>+VLOOKUP(A775,cennik!A:B,2,FALSE)</f>
        <v>Sevroll (Astin)-HORNÝ PROFIL 3,6M HLINÍK (32/1)</v>
      </c>
      <c r="G775" s="165"/>
      <c r="H775" s="165">
        <v>3600</v>
      </c>
      <c r="I775" s="165" t="str">
        <f t="shared" si="77"/>
        <v xml:space="preserve">3600-strieborná </v>
      </c>
      <c r="Z775" s="1" t="b">
        <f t="shared" si="75"/>
        <v>1</v>
      </c>
    </row>
    <row r="776" spans="1:26" ht="15" customHeight="1" x14ac:dyDescent="0.25">
      <c r="A776" s="53">
        <v>98007</v>
      </c>
      <c r="B776" s="52" t="s">
        <v>607</v>
      </c>
      <c r="C776" s="165" t="str">
        <f t="shared" si="76"/>
        <v xml:space="preserve">1800-strieborná </v>
      </c>
      <c r="D776" s="53">
        <v>98007</v>
      </c>
      <c r="E776" s="52" t="str">
        <f>+VLOOKUP(A776,cennik!$A:$G,2,FALSE)</f>
        <v>Sevroll (Astin)-SPODNÝ PROFIL 1,8M HLINÍK (22/1)</v>
      </c>
      <c r="F776" s="52" t="str">
        <f>+VLOOKUP(A776,cennik!A:B,2,FALSE)</f>
        <v>Sevroll (Astin)-SPODNÝ PROFIL 1,8M HLINÍK (22/1)</v>
      </c>
      <c r="G776" s="165"/>
      <c r="H776" s="165">
        <v>1800</v>
      </c>
      <c r="I776" s="165" t="str">
        <f t="shared" si="77"/>
        <v xml:space="preserve">1800-strieborná </v>
      </c>
      <c r="Z776" s="1" t="b">
        <f t="shared" si="75"/>
        <v>1</v>
      </c>
    </row>
    <row r="777" spans="1:26" s="539" customFormat="1" ht="15" customHeight="1" x14ac:dyDescent="0.25">
      <c r="A777" s="53">
        <v>98008</v>
      </c>
      <c r="B777" s="52"/>
      <c r="C777" s="165" t="str">
        <f t="shared" si="76"/>
        <v xml:space="preserve">2700-strieborná </v>
      </c>
      <c r="D777" s="53">
        <v>98008</v>
      </c>
      <c r="E777" s="52" t="str">
        <f>+VLOOKUP(A777,cennik!$A:$G,2,FALSE)</f>
        <v>Sevroll (Astin)-SPODNÝ PROFIL 2,7M HLINÍK (22/1)</v>
      </c>
      <c r="F777" s="52" t="str">
        <f>+VLOOKUP(A777,cennik!A:B,2,FALSE)</f>
        <v>Sevroll (Astin)-SPODNÝ PROFIL 2,7M HLINÍK (22/1)</v>
      </c>
      <c r="G777" s="165"/>
      <c r="H777" s="165">
        <v>2700</v>
      </c>
      <c r="I777" s="165" t="str">
        <f t="shared" si="77"/>
        <v xml:space="preserve">2700-strieborná </v>
      </c>
      <c r="Z777" s="1" t="b">
        <f t="shared" si="75"/>
        <v>1</v>
      </c>
    </row>
    <row r="778" spans="1:26" s="539" customFormat="1" ht="15" customHeight="1" x14ac:dyDescent="0.25">
      <c r="A778" s="53">
        <v>98009</v>
      </c>
      <c r="B778" s="52"/>
      <c r="C778" s="165" t="str">
        <f t="shared" si="76"/>
        <v xml:space="preserve">3600-strieborná </v>
      </c>
      <c r="D778" s="53">
        <v>98009</v>
      </c>
      <c r="E778" s="52" t="str">
        <f>+VLOOKUP(A778,cennik!$A:$G,2,FALSE)</f>
        <v>Sevroll (Astin)-SPODNÝ PROFIL 3,6M HLINÍK (22/1)</v>
      </c>
      <c r="F778" s="52" t="str">
        <f>+VLOOKUP(A778,cennik!A:B,2,FALSE)</f>
        <v>Sevroll (Astin)-SPODNÝ PROFIL 3,6M HLINÍK (22/1)</v>
      </c>
      <c r="G778" s="165"/>
      <c r="H778" s="165">
        <v>3600</v>
      </c>
      <c r="I778" s="165" t="str">
        <f t="shared" si="77"/>
        <v xml:space="preserve">3600-strieborná </v>
      </c>
      <c r="Z778" s="1" t="b">
        <f t="shared" si="75"/>
        <v>1</v>
      </c>
    </row>
    <row r="779" spans="1:26" s="539" customFormat="1" ht="15" customHeight="1" x14ac:dyDescent="0.25">
      <c r="A779" s="53">
        <v>98011</v>
      </c>
      <c r="B779" s="52" t="s">
        <v>608</v>
      </c>
      <c r="C779" s="165" t="str">
        <f t="shared" si="76"/>
        <v xml:space="preserve">1800-strieborná </v>
      </c>
      <c r="D779" s="53">
        <v>98011</v>
      </c>
      <c r="E779" s="52" t="str">
        <f>+VLOOKUP(A779,cennik!$A:$G,2,FALSE)</f>
        <v>Sevroll (Astin)-UHOLNÍK 1,8M HLINÍK (22/1)</v>
      </c>
      <c r="F779" s="52" t="str">
        <f>+VLOOKUP(A779,cennik!A:B,2,FALSE)</f>
        <v>Sevroll (Astin)-UHOLNÍK 1,8M HLINÍK (22/1)</v>
      </c>
      <c r="G779" s="165"/>
      <c r="H779" s="165">
        <v>1800</v>
      </c>
      <c r="I779" s="165" t="str">
        <f t="shared" si="77"/>
        <v xml:space="preserve">1800-strieborná </v>
      </c>
      <c r="Z779" s="1" t="b">
        <f t="shared" si="75"/>
        <v>1</v>
      </c>
    </row>
    <row r="780" spans="1:26" s="539" customFormat="1" ht="15" customHeight="1" x14ac:dyDescent="0.25">
      <c r="A780" s="53">
        <v>98012</v>
      </c>
      <c r="B780" s="52"/>
      <c r="C780" s="165" t="str">
        <f t="shared" si="76"/>
        <v xml:space="preserve">2700-strieborná </v>
      </c>
      <c r="D780" s="53">
        <v>98012</v>
      </c>
      <c r="E780" s="52" t="str">
        <f>+VLOOKUP(A780,cennik!$A:$G,2,FALSE)</f>
        <v>Sevroll (Astin) UHOLNÍK 2,7M str. (22/1)</v>
      </c>
      <c r="F780" s="52" t="str">
        <f>+VLOOKUP(A780,cennik!A:B,2,FALSE)</f>
        <v>Sevroll (Astin) UHOLNÍK 2,7M str. (22/1)</v>
      </c>
      <c r="G780" s="165"/>
      <c r="H780" s="165">
        <v>2700</v>
      </c>
      <c r="I780" s="165" t="str">
        <f t="shared" si="77"/>
        <v xml:space="preserve">2700-strieborná </v>
      </c>
      <c r="Z780" s="1" t="b">
        <f t="shared" si="75"/>
        <v>1</v>
      </c>
    </row>
    <row r="781" spans="1:26" s="539" customFormat="1" ht="15" customHeight="1" x14ac:dyDescent="0.25">
      <c r="A781" s="53">
        <v>98013</v>
      </c>
      <c r="B781" s="52"/>
      <c r="C781" s="165" t="str">
        <f t="shared" si="76"/>
        <v xml:space="preserve">3600-strieborná </v>
      </c>
      <c r="D781" s="53">
        <v>98013</v>
      </c>
      <c r="E781" s="52" t="str">
        <f>+VLOOKUP(A781,cennik!$A:$G,2,FALSE)</f>
        <v>Sevroll (Astin)-UHOLNÍK 3,6M HLINÍK (22/1)</v>
      </c>
      <c r="F781" s="52" t="str">
        <f>+VLOOKUP(A781,cennik!A:B,2,FALSE)</f>
        <v>Sevroll (Astin)-UHOLNÍK 3,6M HLINÍK (22/1)</v>
      </c>
      <c r="G781" s="165"/>
      <c r="H781" s="165">
        <v>3600</v>
      </c>
      <c r="I781" s="165" t="str">
        <f t="shared" si="77"/>
        <v xml:space="preserve">3600-strieborná </v>
      </c>
      <c r="Z781" s="1" t="b">
        <f t="shared" si="75"/>
        <v>1</v>
      </c>
    </row>
    <row r="782" spans="1:26" s="539" customFormat="1" ht="15" customHeight="1" x14ac:dyDescent="0.25">
      <c r="A782" s="53">
        <v>98015</v>
      </c>
      <c r="B782" s="52" t="s">
        <v>609</v>
      </c>
      <c r="C782" s="165" t="str">
        <f>$J$4</f>
        <v xml:space="preserve">strieborná </v>
      </c>
      <c r="D782" s="53">
        <v>98015</v>
      </c>
      <c r="E782" s="52" t="str">
        <f>+VLOOKUP(A782,cennik!$A:$G,2,FALSE)</f>
        <v>Sevroll (Astin) spojovací H08 profil 3m strieborná</v>
      </c>
      <c r="F782" s="52" t="str">
        <f>+VLOOKUP(A782,cennik!A:B,2,FALSE)</f>
        <v>Sevroll (Astin) spojovací H08 profil 3m strieborná</v>
      </c>
      <c r="G782" s="165"/>
      <c r="H782" s="165"/>
      <c r="I782" s="165" t="str">
        <f>$J$4</f>
        <v xml:space="preserve">strieborná </v>
      </c>
      <c r="Z782" s="1" t="b">
        <f t="shared" si="75"/>
        <v>1</v>
      </c>
    </row>
    <row r="783" spans="1:26" s="539" customFormat="1" ht="15" customHeight="1" x14ac:dyDescent="0.25">
      <c r="A783" s="53">
        <v>213609</v>
      </c>
      <c r="B783" s="52"/>
      <c r="C783" s="165" t="str">
        <f>$J$4</f>
        <v xml:space="preserve">strieborná </v>
      </c>
      <c r="D783" s="53">
        <v>213609</v>
      </c>
      <c r="E783" s="52" t="str">
        <f>+VLOOKUP(A783,cennik!$A:$G,2,FALSE)</f>
        <v>SEVROLL Hide M spodné vedenie Hide M 3m stri</v>
      </c>
      <c r="F783" s="52" t="str">
        <f>+VLOOKUP(A783,cennik!A:B,2,FALSE)</f>
        <v>SEVROLL Hide M spodné vedenie Hide M 3m stri</v>
      </c>
      <c r="G783" s="1"/>
      <c r="H783" s="1">
        <v>3000</v>
      </c>
      <c r="I783" s="165" t="str">
        <f t="shared" si="77"/>
        <v xml:space="preserve">3000-strieborná </v>
      </c>
      <c r="Z783" s="1" t="b">
        <f t="shared" si="75"/>
        <v>1</v>
      </c>
    </row>
    <row r="784" spans="1:26" s="539" customFormat="1" ht="15" customHeight="1" x14ac:dyDescent="0.25">
      <c r="A784" s="53">
        <v>197753</v>
      </c>
      <c r="B784" s="52"/>
      <c r="C784" s="165" t="str">
        <f>$J$4</f>
        <v xml:space="preserve">strieborná </v>
      </c>
      <c r="D784" s="53">
        <v>197753</v>
      </c>
      <c r="E784" s="52" t="str">
        <f>+VLOOKUP(A784,cennik!$A:$G,2,FALSE)</f>
        <v>SEVROLL Hide N spodné vedenie Hide N 3m stri</v>
      </c>
      <c r="F784" s="52" t="str">
        <f>+VLOOKUP(A784,cennik!A:B,2,FALSE)</f>
        <v>SEVROLL Hide N spodné vedenie Hide N 3m stri</v>
      </c>
      <c r="G784" s="1"/>
      <c r="H784" s="1">
        <v>3000</v>
      </c>
      <c r="I784" s="165" t="str">
        <f t="shared" si="77"/>
        <v xml:space="preserve">3000-strieborná </v>
      </c>
      <c r="Z784" s="1" t="b">
        <f t="shared" si="75"/>
        <v>1</v>
      </c>
    </row>
    <row r="785" spans="1:26" s="539" customFormat="1" ht="15" customHeight="1" x14ac:dyDescent="0.25">
      <c r="A785" s="53">
        <v>223405</v>
      </c>
      <c r="B785" s="52"/>
      <c r="C785" s="165" t="str">
        <f>$J$6</f>
        <v>oliva</v>
      </c>
      <c r="D785" s="53">
        <v>223405</v>
      </c>
      <c r="E785" s="52" t="str">
        <f>+VLOOKUP(A785,cennik!$A:$G,2,FALSE)</f>
        <v>SEVROLL Hide M spodné vedenie 3m oliva</v>
      </c>
      <c r="F785" s="52" t="str">
        <f>+VLOOKUP(A785,cennik!A:B,2,FALSE)</f>
        <v>SEVROLL Hide M spodné vedenie 3m oliva</v>
      </c>
      <c r="G785" s="1"/>
      <c r="H785" s="1">
        <v>3000</v>
      </c>
      <c r="I785" s="165" t="str">
        <f t="shared" si="77"/>
        <v xml:space="preserve">3000-strieborná </v>
      </c>
      <c r="Z785" s="1" t="b">
        <f t="shared" si="75"/>
        <v>1</v>
      </c>
    </row>
    <row r="786" spans="1:26" s="539" customFormat="1" ht="15" customHeight="1" x14ac:dyDescent="0.25">
      <c r="A786" s="53">
        <v>197755</v>
      </c>
      <c r="B786" s="52"/>
      <c r="C786" s="165" t="str">
        <f>$J$6</f>
        <v>oliva</v>
      </c>
      <c r="D786" s="53">
        <v>197755</v>
      </c>
      <c r="E786" s="52" t="str">
        <f>+VLOOKUP(A786,cennik!$A:$G,2,FALSE)</f>
        <v>SEVROLL 02578 Hide N spodné vedenie 3m oliva</v>
      </c>
      <c r="F786" s="52" t="str">
        <f>+VLOOKUP(A786,cennik!A:B,2,FALSE)</f>
        <v>SEVROLL 02578 Hide N spodné vedenie 3m oliva</v>
      </c>
      <c r="G786" s="1"/>
      <c r="H786" s="1">
        <v>3000</v>
      </c>
      <c r="I786" s="165" t="str">
        <f t="shared" si="77"/>
        <v xml:space="preserve">3000-strieborná </v>
      </c>
      <c r="Z786" s="1" t="b">
        <f t="shared" si="75"/>
        <v>1</v>
      </c>
    </row>
    <row r="787" spans="1:26" s="539" customFormat="1" ht="15" customHeight="1" x14ac:dyDescent="0.25">
      <c r="A787" s="53">
        <v>279078</v>
      </c>
      <c r="B787" s="52"/>
      <c r="C787" s="165" t="str">
        <f>$J$6</f>
        <v>oliva</v>
      </c>
      <c r="D787" s="53">
        <v>279078</v>
      </c>
      <c r="E787" s="52" t="str">
        <f>+VLOOKUP(A787,cennik!$A:$G,2,FALSE)</f>
        <v>SEVROLL Hide N spodné vedenie 6m oliva</v>
      </c>
      <c r="F787" s="52" t="str">
        <f>+VLOOKUP(A787,cennik!A:B,2,FALSE)</f>
        <v>SEVROLL Hide N spodné vedenie 6m oliva</v>
      </c>
      <c r="G787" s="1"/>
      <c r="H787" s="1">
        <v>6000</v>
      </c>
      <c r="I787" s="165" t="str">
        <f t="shared" si="77"/>
        <v xml:space="preserve">6000-strieborná </v>
      </c>
      <c r="Z787" s="1" t="b">
        <f t="shared" si="75"/>
        <v>1</v>
      </c>
    </row>
    <row r="788" spans="1:26" s="539" customFormat="1" ht="15" customHeight="1" x14ac:dyDescent="0.25">
      <c r="A788" s="53">
        <v>212613</v>
      </c>
      <c r="B788" s="52"/>
      <c r="C788" s="165"/>
      <c r="D788" s="53">
        <v>212613</v>
      </c>
      <c r="E788" s="52" t="str">
        <f>+VLOOKUP(A788,cennik!$A:$G,2,FALSE)</f>
        <v>SEVROLL 20208 koncovka k lište Hide N strieborná</v>
      </c>
      <c r="F788" s="52" t="str">
        <f>+VLOOKUP(A788,cennik!A:B,2,FALSE)</f>
        <v>SEVROLL 20208 koncovka k lište Hide N strieborná</v>
      </c>
      <c r="G788" s="1"/>
      <c r="H788" s="1"/>
      <c r="I788" s="1"/>
      <c r="Z788" s="1" t="b">
        <f t="shared" si="75"/>
        <v>1</v>
      </c>
    </row>
    <row r="789" spans="1:26" s="539" customFormat="1" ht="15" customHeight="1" x14ac:dyDescent="0.25">
      <c r="A789" s="53">
        <v>212616</v>
      </c>
      <c r="B789" s="52"/>
      <c r="C789" s="165"/>
      <c r="D789" s="53">
        <v>212616</v>
      </c>
      <c r="E789" s="52" t="str">
        <f>+VLOOKUP(A789,cennik!$A:$G,2,FALSE)</f>
        <v>SEVROLL 20208 brzda k lište Hide N a M</v>
      </c>
      <c r="F789" s="52" t="str">
        <f>+VLOOKUP(A789,cennik!A:B,2,FALSE)</f>
        <v>SEVROLL 20208 brzda k lište Hide N a M</v>
      </c>
      <c r="G789" s="1"/>
      <c r="H789" s="1"/>
      <c r="I789" s="1"/>
      <c r="Z789" s="1" t="b">
        <f t="shared" si="75"/>
        <v>1</v>
      </c>
    </row>
    <row r="790" spans="1:26" s="539" customFormat="1" ht="15" customHeight="1" x14ac:dyDescent="0.25">
      <c r="A790" s="543">
        <v>98067</v>
      </c>
      <c r="B790" s="544" t="s">
        <v>1740</v>
      </c>
      <c r="C790" s="542" t="str">
        <f>CONCATENATE(H790,"-",$J$4)</f>
        <v xml:space="preserve">14,5-strieborná </v>
      </c>
      <c r="D790" s="543">
        <v>98067</v>
      </c>
      <c r="E790" s="541" t="str">
        <f>+VLOOKUP(A790,cennik!$A:$G,2,FALSE)</f>
        <v>SEVROLL dorazová kefa zásuvná 14x4mm sivá</v>
      </c>
      <c r="F790" s="541" t="str">
        <f>+VLOOKUP(A790,cennik!A:B,2,FALSE)</f>
        <v>SEVROLL dorazová kefa zásuvná 14x4mm sivá</v>
      </c>
      <c r="H790" s="539">
        <v>14.5</v>
      </c>
      <c r="I790" s="542" t="str">
        <f>CONCATENATE(N777,"-",$J$4)</f>
        <v xml:space="preserve">-strieborná </v>
      </c>
      <c r="Z790" s="1" t="b">
        <f t="shared" si="75"/>
        <v>1</v>
      </c>
    </row>
    <row r="791" spans="1:26" s="539" customFormat="1" ht="15" customHeight="1" x14ac:dyDescent="0.25">
      <c r="A791" s="543">
        <v>306523</v>
      </c>
      <c r="B791" s="544" t="s">
        <v>1740</v>
      </c>
      <c r="C791" s="542" t="str">
        <f>CONCATENATE(H791,"-",$J$18)</f>
        <v>14,5-biela mat</v>
      </c>
      <c r="D791" s="543">
        <v>306523</v>
      </c>
      <c r="E791" s="541" t="str">
        <f>+VLOOKUP(A791,cennik!$A:$G,2,FALSE)</f>
        <v>SEVROLL 20288-SV dorazová štetina zásuvná 14x4mm biela</v>
      </c>
      <c r="F791" s="541" t="str">
        <f>+VLOOKUP(A791,cennik!A:B,2,FALSE)</f>
        <v>SEVROLL 20288-SV dorazová štetina zásuvná 14x4mm biela</v>
      </c>
      <c r="H791" s="539">
        <v>14.5</v>
      </c>
      <c r="I791" s="539" t="str">
        <f>$J$18</f>
        <v>biela mat</v>
      </c>
      <c r="Z791" s="1"/>
    </row>
    <row r="792" spans="1:26" s="539" customFormat="1" ht="15" customHeight="1" x14ac:dyDescent="0.25">
      <c r="A792" s="543">
        <v>306523</v>
      </c>
      <c r="B792" s="544" t="s">
        <v>1740</v>
      </c>
      <c r="C792" s="542" t="str">
        <f>CONCATENATE(H792,"-",$J$15)</f>
        <v>14,5-biela lesk</v>
      </c>
      <c r="D792" s="543">
        <v>306523</v>
      </c>
      <c r="E792" s="541" t="str">
        <f>+VLOOKUP(A792,cennik!$A:$G,2,FALSE)</f>
        <v>SEVROLL 20288-SV dorazová štetina zásuvná 14x4mm biela</v>
      </c>
      <c r="F792" s="541" t="str">
        <f>+VLOOKUP(A792,cennik!A:B,2,FALSE)</f>
        <v>SEVROLL 20288-SV dorazová štetina zásuvná 14x4mm biela</v>
      </c>
      <c r="H792" s="539">
        <v>14.5</v>
      </c>
      <c r="I792" s="539" t="str">
        <f>$J$15</f>
        <v>biela lesk</v>
      </c>
      <c r="Z792" s="1" t="b">
        <f t="shared" si="75"/>
        <v>1</v>
      </c>
    </row>
    <row r="793" spans="1:26" s="539" customFormat="1" ht="15" customHeight="1" x14ac:dyDescent="0.25">
      <c r="A793" s="543">
        <v>98067</v>
      </c>
      <c r="B793" s="544" t="s">
        <v>1740</v>
      </c>
      <c r="C793" s="542" t="str">
        <f>CONCATENATE(H793,"-",$J$5)</f>
        <v>14,5-zlatá</v>
      </c>
      <c r="D793" s="543">
        <v>98067</v>
      </c>
      <c r="E793" s="541" t="str">
        <f>+VLOOKUP(A793,cennik!$A:$G,2,FALSE)</f>
        <v>SEVROLL dorazová kefa zásuvná 14x4mm sivá</v>
      </c>
      <c r="F793" s="541" t="str">
        <f>+VLOOKUP(A793,cennik!A:B,2,FALSE)</f>
        <v>SEVROLL dorazová kefa zásuvná 14x4mm sivá</v>
      </c>
      <c r="H793" s="539">
        <v>14.5</v>
      </c>
      <c r="I793" s="542" t="str">
        <f>CONCATENATE(N779,"-",$J$5)</f>
        <v>-zlatá</v>
      </c>
      <c r="Z793" s="1" t="b">
        <f t="shared" si="75"/>
        <v>1</v>
      </c>
    </row>
    <row r="794" spans="1:26" s="539" customFormat="1" ht="15" customHeight="1" x14ac:dyDescent="0.25">
      <c r="A794" s="543">
        <v>98067</v>
      </c>
      <c r="B794" s="544" t="s">
        <v>1740</v>
      </c>
      <c r="C794" s="542" t="str">
        <f>CONCATENATE(H794,"-",$J$6)</f>
        <v>14,5-oliva</v>
      </c>
      <c r="D794" s="543">
        <v>98067</v>
      </c>
      <c r="E794" s="541" t="str">
        <f>+VLOOKUP(A794,cennik!$A:$G,2,FALSE)</f>
        <v>SEVROLL dorazová kefa zásuvná 14x4mm sivá</v>
      </c>
      <c r="F794" s="541" t="str">
        <f>+VLOOKUP(A794,cennik!A:B,2,FALSE)</f>
        <v>SEVROLL dorazová kefa zásuvná 14x4mm sivá</v>
      </c>
      <c r="H794" s="539">
        <v>14.5</v>
      </c>
      <c r="I794" s="542" t="str">
        <f>CONCATENATE(N780,"-",$J$6)</f>
        <v>-oliva</v>
      </c>
      <c r="Z794" s="1" t="b">
        <f t="shared" si="75"/>
        <v>1</v>
      </c>
    </row>
    <row r="795" spans="1:26" s="539" customFormat="1" ht="15" customHeight="1" x14ac:dyDescent="0.25">
      <c r="A795" s="543">
        <v>98067</v>
      </c>
      <c r="B795" s="544" t="s">
        <v>1740</v>
      </c>
      <c r="C795" s="542" t="str">
        <f>CONCATENATE(H795,"-",$J$7)</f>
        <v>14,5-oliva kartáčovaná</v>
      </c>
      <c r="D795" s="543">
        <v>98067</v>
      </c>
      <c r="E795" s="541" t="str">
        <f>+VLOOKUP(A795,cennik!$A:$G,2,FALSE)</f>
        <v>SEVROLL dorazová kefa zásuvná 14x4mm sivá</v>
      </c>
      <c r="F795" s="541" t="str">
        <f>+VLOOKUP(A795,cennik!A:B,2,FALSE)</f>
        <v>SEVROLL dorazová kefa zásuvná 14x4mm sivá</v>
      </c>
      <c r="H795" s="539">
        <v>14.5</v>
      </c>
      <c r="I795" s="542" t="str">
        <f>CONCATENATE(N781,"-",$J$7)</f>
        <v>-oliva kartáčovaná</v>
      </c>
      <c r="Z795" s="1" t="b">
        <f t="shared" si="75"/>
        <v>1</v>
      </c>
    </row>
    <row r="796" spans="1:26" ht="15" customHeight="1" x14ac:dyDescent="0.25">
      <c r="A796" s="543">
        <v>98067</v>
      </c>
      <c r="B796" s="544" t="s">
        <v>1740</v>
      </c>
      <c r="C796" s="542" t="str">
        <f>CONCATENATE(H796,"-",$J$8)</f>
        <v>14,5-kart. tm. oliva</v>
      </c>
      <c r="D796" s="543">
        <v>98067</v>
      </c>
      <c r="E796" s="541" t="str">
        <f>+VLOOKUP(A796,cennik!$A:$G,2,FALSE)</f>
        <v>SEVROLL dorazová kefa zásuvná 14x4mm sivá</v>
      </c>
      <c r="F796" s="541" t="str">
        <f>+VLOOKUP(A796,cennik!A:B,2,FALSE)</f>
        <v>SEVROLL dorazová kefa zásuvná 14x4mm sivá</v>
      </c>
      <c r="G796" s="539"/>
      <c r="H796" s="539">
        <v>14.5</v>
      </c>
      <c r="I796" s="542" t="str">
        <f>CONCATENATE(N782,"-",$J$8)</f>
        <v>-kart. tm. oliva</v>
      </c>
      <c r="Z796" s="1" t="b">
        <f t="shared" si="75"/>
        <v>1</v>
      </c>
    </row>
    <row r="797" spans="1:26" s="547" customFormat="1" ht="15" customHeight="1" x14ac:dyDescent="0.25">
      <c r="A797" s="545">
        <v>409700</v>
      </c>
      <c r="B797" s="544" t="s">
        <v>1740</v>
      </c>
      <c r="C797" s="542" t="str">
        <f>CONCATENATE(H797,"-",$J$9)</f>
        <v>14,5-kart. čierna</v>
      </c>
      <c r="D797" s="545">
        <v>409700</v>
      </c>
      <c r="E797" s="541" t="str">
        <f>+VLOOKUP(A797,cennik!$A:$G,2,FALSE)</f>
        <v>SEVROLL 20334-SV dorazová štetina zásuvná 14x4mm čierna</v>
      </c>
      <c r="F797" s="541" t="str">
        <f>+VLOOKUP(A797,cennik!A:B,2,FALSE)</f>
        <v>SEVROLL 20334-SV dorazová štetina zásuvná 14x4mm čierna</v>
      </c>
      <c r="G797" s="539"/>
      <c r="H797" s="539">
        <v>14.5</v>
      </c>
      <c r="I797" s="542" t="str">
        <f>CONCATENATE(N783,"-",$J$9)</f>
        <v>-kart. čierna</v>
      </c>
      <c r="Z797" s="1" t="b">
        <f t="shared" si="75"/>
        <v>1</v>
      </c>
    </row>
    <row r="798" spans="1:26" s="547" customFormat="1" ht="15" customHeight="1" x14ac:dyDescent="0.25">
      <c r="A798" s="543">
        <v>229433</v>
      </c>
      <c r="B798" s="544" t="s">
        <v>1740</v>
      </c>
      <c r="C798" s="542" t="str">
        <f>CONCATENATE(H798,"-",$J$4)</f>
        <v xml:space="preserve">4,8-strieborná </v>
      </c>
      <c r="D798" s="543">
        <v>229433</v>
      </c>
      <c r="E798" s="541" t="str">
        <f>+VLOOKUP(A798,cennik!$A:$G,2,FALSE)</f>
        <v>SEVROLL dorazová kefa zásuvná 4,8x4mm sivá</v>
      </c>
      <c r="F798" s="541" t="str">
        <f>+VLOOKUP(A798,cennik!A:B,2,FALSE)</f>
        <v>SEVROLL dorazová kefa zásuvná 4,8x4mm sivá</v>
      </c>
      <c r="G798" s="539"/>
      <c r="H798" s="539">
        <v>4.8</v>
      </c>
      <c r="I798" s="542" t="str">
        <f>CONCATENATE(N784,"-",$J$4)</f>
        <v xml:space="preserve">-strieborná </v>
      </c>
      <c r="Z798" s="1" t="b">
        <f t="shared" si="75"/>
        <v>1</v>
      </c>
    </row>
    <row r="799" spans="1:26" ht="15" customHeight="1" x14ac:dyDescent="0.25">
      <c r="A799" s="543">
        <v>229433</v>
      </c>
      <c r="B799" s="544" t="s">
        <v>1740</v>
      </c>
      <c r="C799" s="542" t="str">
        <f>CONCATENATE(H799,"-",$J$5)</f>
        <v>4,8-zlatá</v>
      </c>
      <c r="D799" s="543">
        <v>229433</v>
      </c>
      <c r="E799" s="541" t="str">
        <f>+VLOOKUP(A799,cennik!$A:$G,2,FALSE)</f>
        <v>SEVROLL dorazová kefa zásuvná 4,8x4mm sivá</v>
      </c>
      <c r="F799" s="541" t="str">
        <f>+VLOOKUP(A799,cennik!A:B,2,FALSE)</f>
        <v>SEVROLL dorazová kefa zásuvná 4,8x4mm sivá</v>
      </c>
      <c r="G799" s="539"/>
      <c r="H799" s="539">
        <v>4.8</v>
      </c>
      <c r="I799" s="542" t="str">
        <f>CONCATENATE(N785,"-",$J$5)</f>
        <v>-zlatá</v>
      </c>
      <c r="Z799" s="1" t="b">
        <f t="shared" si="75"/>
        <v>1</v>
      </c>
    </row>
    <row r="800" spans="1:26" ht="15" customHeight="1" x14ac:dyDescent="0.25">
      <c r="A800" s="543">
        <v>229433</v>
      </c>
      <c r="B800" s="544" t="s">
        <v>1740</v>
      </c>
      <c r="C800" s="542" t="str">
        <f>CONCATENATE(H800,"-",$J$6)</f>
        <v>4,8-oliva</v>
      </c>
      <c r="D800" s="543">
        <v>229433</v>
      </c>
      <c r="E800" s="541" t="str">
        <f>+VLOOKUP(A800,cennik!$A:$G,2,FALSE)</f>
        <v>SEVROLL dorazová kefa zásuvná 4,8x4mm sivá</v>
      </c>
      <c r="F800" s="541" t="str">
        <f>+VLOOKUP(A800,cennik!A:B,2,FALSE)</f>
        <v>SEVROLL dorazová kefa zásuvná 4,8x4mm sivá</v>
      </c>
      <c r="G800" s="539"/>
      <c r="H800" s="539">
        <v>4.8</v>
      </c>
      <c r="I800" s="542" t="str">
        <f>CONCATENATE(N786,"-",$J$6)</f>
        <v>-oliva</v>
      </c>
      <c r="Z800" s="1" t="b">
        <f t="shared" si="75"/>
        <v>1</v>
      </c>
    </row>
    <row r="801" spans="1:26" ht="15" customHeight="1" x14ac:dyDescent="0.25">
      <c r="A801" s="543">
        <v>229433</v>
      </c>
      <c r="B801" s="544" t="s">
        <v>1740</v>
      </c>
      <c r="C801" s="542" t="str">
        <f>CONCATENATE(H801,"-",$J$7)</f>
        <v>4,8-oliva kartáčovaná</v>
      </c>
      <c r="D801" s="543">
        <v>229433</v>
      </c>
      <c r="E801" s="541" t="str">
        <f>+VLOOKUP(A801,cennik!$A:$G,2,FALSE)</f>
        <v>SEVROLL dorazová kefa zásuvná 4,8x4mm sivá</v>
      </c>
      <c r="F801" s="541" t="str">
        <f>+VLOOKUP(A801,cennik!A:B,2,FALSE)</f>
        <v>SEVROLL dorazová kefa zásuvná 4,8x4mm sivá</v>
      </c>
      <c r="G801" s="539"/>
      <c r="H801" s="539">
        <v>4.8</v>
      </c>
      <c r="I801" s="542" t="str">
        <f>CONCATENATE(N787,"-",$J$7)</f>
        <v>-oliva kartáčovaná</v>
      </c>
      <c r="Z801" s="1" t="b">
        <f t="shared" ref="Z801:Z834" si="78">A801=D801</f>
        <v>1</v>
      </c>
    </row>
    <row r="802" spans="1:26" ht="15" customHeight="1" x14ac:dyDescent="0.25">
      <c r="A802" s="543">
        <v>229433</v>
      </c>
      <c r="B802" s="544" t="s">
        <v>1740</v>
      </c>
      <c r="C802" s="542" t="str">
        <f>CONCATENATE(H802,"-",$J$8)</f>
        <v>4,8-kart. tm. oliva</v>
      </c>
      <c r="D802" s="543">
        <v>229433</v>
      </c>
      <c r="E802" s="541" t="str">
        <f>+VLOOKUP(A802,cennik!$A:$G,2,FALSE)</f>
        <v>SEVROLL dorazová kefa zásuvná 4,8x4mm sivá</v>
      </c>
      <c r="F802" s="541" t="str">
        <f>+VLOOKUP(A802,cennik!A:B,2,FALSE)</f>
        <v>SEVROLL dorazová kefa zásuvná 4,8x4mm sivá</v>
      </c>
      <c r="G802" s="539"/>
      <c r="H802" s="539">
        <v>4.8</v>
      </c>
      <c r="I802" s="542" t="str">
        <f>CONCATENATE(N788,"-",$J$8)</f>
        <v>-kart. tm. oliva</v>
      </c>
      <c r="Z802" s="1" t="b">
        <f t="shared" si="78"/>
        <v>1</v>
      </c>
    </row>
    <row r="803" spans="1:26" ht="15" customHeight="1" x14ac:dyDescent="0.25">
      <c r="A803" s="546">
        <v>409699</v>
      </c>
      <c r="B803" s="544" t="s">
        <v>1740</v>
      </c>
      <c r="C803" s="542" t="str">
        <f>CONCATENATE(H803,"-",$J$9)</f>
        <v>4,8-kart. čierna</v>
      </c>
      <c r="D803" s="546">
        <v>409699</v>
      </c>
      <c r="E803" s="541" t="str">
        <f>+VLOOKUP(A803,cennik!$A:$G,2,FALSE)</f>
        <v>SEVROLL 20403-SV dorazová štetina zásuvná 4,8x4mm čierna</v>
      </c>
      <c r="F803" s="541" t="str">
        <f>+VLOOKUP(A803,cennik!A:B,2,FALSE)</f>
        <v>SEVROLL 20403-SV dorazová štetina zásuvná 4,8x4mm čierna</v>
      </c>
      <c r="G803" s="539"/>
      <c r="H803" s="539">
        <v>4.8</v>
      </c>
      <c r="I803" s="542" t="str">
        <f>CONCATENATE(N789,"-",$J$9)</f>
        <v>-kart. čierna</v>
      </c>
      <c r="Z803" s="1" t="b">
        <f t="shared" si="78"/>
        <v>1</v>
      </c>
    </row>
    <row r="804" spans="1:26" ht="15" customHeight="1" x14ac:dyDescent="0.25">
      <c r="A804" s="543">
        <v>305137</v>
      </c>
      <c r="B804" s="544" t="s">
        <v>1740</v>
      </c>
      <c r="C804" s="542" t="str">
        <f>CONCATENATE(H804,"-",$J$15)</f>
        <v>4,8-biela lesk</v>
      </c>
      <c r="D804" s="543">
        <v>305137</v>
      </c>
      <c r="E804" s="541" t="str">
        <f>+VLOOKUP(A804,cennik!$A:$G,2,FALSE)</f>
        <v>SEVROLL 20287-SV dorazová štetina zásuvná 4,8x4mm biela</v>
      </c>
      <c r="F804" s="541" t="str">
        <f>+VLOOKUP(A804,cennik!A:B,2,FALSE)</f>
        <v>SEVROLL 20287-SV dorazová štetina zásuvná 4,8x4mm biela</v>
      </c>
      <c r="G804" s="539"/>
      <c r="H804" s="539">
        <v>4.8</v>
      </c>
      <c r="I804" s="539" t="str">
        <f>$J$15</f>
        <v>biela lesk</v>
      </c>
      <c r="Z804" s="1" t="b">
        <f t="shared" si="78"/>
        <v>1</v>
      </c>
    </row>
    <row r="805" spans="1:26" ht="15" customHeight="1" x14ac:dyDescent="0.25">
      <c r="A805" s="543">
        <v>305137</v>
      </c>
      <c r="B805" s="544" t="s">
        <v>1740</v>
      </c>
      <c r="C805" s="542" t="str">
        <f>CONCATENATE(H805,"-",$J$18)</f>
        <v>4,8-biela mat</v>
      </c>
      <c r="D805" s="543">
        <v>305137</v>
      </c>
      <c r="E805" s="541" t="str">
        <f>+VLOOKUP(A805,cennik!$A:$G,2,FALSE)</f>
        <v>SEVROLL 20287-SV dorazová štetina zásuvná 4,8x4mm biela</v>
      </c>
      <c r="F805" s="541" t="str">
        <f>+VLOOKUP(A805,cennik!A:B,2,FALSE)</f>
        <v>SEVROLL 20287-SV dorazová štetina zásuvná 4,8x4mm biela</v>
      </c>
      <c r="G805" s="539"/>
      <c r="H805" s="539">
        <v>4.8</v>
      </c>
      <c r="I805" s="539" t="str">
        <f>$J$18</f>
        <v>biela mat</v>
      </c>
      <c r="Z805" s="1" t="b">
        <f t="shared" si="78"/>
        <v>1</v>
      </c>
    </row>
    <row r="806" spans="1:26" ht="15" customHeight="1" x14ac:dyDescent="0.25">
      <c r="A806" s="545">
        <v>409700</v>
      </c>
      <c r="B806" s="544" t="s">
        <v>1740</v>
      </c>
      <c r="C806" s="542" t="str">
        <f>CONCATENATE(H806,"-",$J$16)</f>
        <v>14,5-čierna lesk</v>
      </c>
      <c r="D806" s="545">
        <v>409700</v>
      </c>
      <c r="E806" s="541" t="str">
        <f>+VLOOKUP(A806,cennik!$A:$G,2,FALSE)</f>
        <v>SEVROLL 20334-SV dorazová štetina zásuvná 14x4mm čierna</v>
      </c>
      <c r="F806" s="541" t="str">
        <f>+VLOOKUP(A806,cennik!A:B,2,FALSE)</f>
        <v>SEVROLL 20334-SV dorazová štetina zásuvná 14x4mm čierna</v>
      </c>
      <c r="G806" s="539"/>
      <c r="H806" s="539">
        <v>14.5</v>
      </c>
      <c r="I806" s="539"/>
      <c r="Z806" s="1" t="b">
        <f t="shared" si="78"/>
        <v>1</v>
      </c>
    </row>
    <row r="807" spans="1:26" ht="15" customHeight="1" x14ac:dyDescent="0.25">
      <c r="A807" s="546">
        <v>409699</v>
      </c>
      <c r="B807" s="544" t="s">
        <v>1740</v>
      </c>
      <c r="C807" s="542" t="str">
        <f>CONCATENATE(H807,"-",$J$16)</f>
        <v>4,8-čierna lesk</v>
      </c>
      <c r="D807" s="546">
        <v>409699</v>
      </c>
      <c r="E807" s="541" t="str">
        <f>+VLOOKUP(A807,cennik!$A:$G,2,FALSE)</f>
        <v>SEVROLL 20403-SV dorazová štetina zásuvná 4,8x4mm čierna</v>
      </c>
      <c r="F807" s="541" t="str">
        <f>+VLOOKUP(A807,cennik!A:B,2,FALSE)</f>
        <v>SEVROLL 20403-SV dorazová štetina zásuvná 4,8x4mm čierna</v>
      </c>
      <c r="G807" s="539"/>
      <c r="H807" s="539">
        <v>4.8</v>
      </c>
      <c r="I807" s="539"/>
      <c r="Z807" s="1" t="b">
        <f t="shared" si="78"/>
        <v>1</v>
      </c>
    </row>
    <row r="808" spans="1:26" ht="15" customHeight="1" x14ac:dyDescent="0.25">
      <c r="A808" s="545">
        <v>409700</v>
      </c>
      <c r="B808" s="544" t="s">
        <v>1740</v>
      </c>
      <c r="C808" s="542" t="str">
        <f>CONCATENATE(H808,"-",$J$17)</f>
        <v>14,5-čierna mat</v>
      </c>
      <c r="D808" s="545">
        <v>409700</v>
      </c>
      <c r="E808" s="541" t="str">
        <f>+VLOOKUP(A808,cennik!$A:$G,2,FALSE)</f>
        <v>SEVROLL 20334-SV dorazová štetina zásuvná 14x4mm čierna</v>
      </c>
      <c r="F808" s="541" t="str">
        <f>+VLOOKUP(A808,cennik!A:B,2,FALSE)</f>
        <v>SEVROLL 20334-SV dorazová štetina zásuvná 14x4mm čierna</v>
      </c>
      <c r="G808" s="539"/>
      <c r="H808" s="539">
        <v>14.5</v>
      </c>
      <c r="I808" s="539"/>
      <c r="Z808" s="1" t="b">
        <f t="shared" si="78"/>
        <v>1</v>
      </c>
    </row>
    <row r="809" spans="1:26" ht="15" customHeight="1" x14ac:dyDescent="0.25">
      <c r="A809" s="545">
        <v>409700</v>
      </c>
      <c r="B809" s="544" t="s">
        <v>1740</v>
      </c>
      <c r="C809" s="542" t="str">
        <f>CONCATENATE(H809,"-",$J$12)</f>
        <v>14,5-grafit</v>
      </c>
      <c r="D809" s="545">
        <v>409700</v>
      </c>
      <c r="E809" s="541" t="str">
        <f>+VLOOKUP(A809,cennik!$A:$G,2,FALSE)</f>
        <v>SEVROLL 20334-SV dorazová štetina zásuvná 14x4mm čierna</v>
      </c>
      <c r="F809" s="541" t="str">
        <f>+VLOOKUP(A809,cennik!A:B,2,FALSE)</f>
        <v>SEVROLL 20334-SV dorazová štetina zásuvná 14x4mm čierna</v>
      </c>
      <c r="G809" s="539"/>
      <c r="H809" s="539">
        <v>14.5</v>
      </c>
      <c r="I809" s="539"/>
      <c r="Z809" s="1" t="b">
        <f t="shared" si="78"/>
        <v>1</v>
      </c>
    </row>
    <row r="810" spans="1:26" ht="15" customHeight="1" x14ac:dyDescent="0.25">
      <c r="A810" s="546">
        <v>409699</v>
      </c>
      <c r="B810" s="544" t="s">
        <v>1740</v>
      </c>
      <c r="C810" s="542" t="str">
        <f>CONCATENATE(H810,"-",$J$17)</f>
        <v>4,8-čierna mat</v>
      </c>
      <c r="D810" s="546">
        <v>409699</v>
      </c>
      <c r="E810" s="541" t="str">
        <f>+VLOOKUP(A810,cennik!$A:$G,2,FALSE)</f>
        <v>SEVROLL 20403-SV dorazová štetina zásuvná 4,8x4mm čierna</v>
      </c>
      <c r="F810" s="541" t="str">
        <f>+VLOOKUP(A810,cennik!A:B,2,FALSE)</f>
        <v>SEVROLL 20403-SV dorazová štetina zásuvná 4,8x4mm čierna</v>
      </c>
      <c r="G810" s="539"/>
      <c r="H810" s="539">
        <v>4.8</v>
      </c>
      <c r="I810" s="539"/>
      <c r="Z810" s="1" t="b">
        <f t="shared" si="78"/>
        <v>1</v>
      </c>
    </row>
    <row r="811" spans="1:26" ht="15" customHeight="1" x14ac:dyDescent="0.25">
      <c r="A811" s="546">
        <v>409699</v>
      </c>
      <c r="B811" s="544" t="s">
        <v>1740</v>
      </c>
      <c r="C811" s="542" t="str">
        <f>CONCATENATE(H811,"-",$J$12)</f>
        <v>4,8-grafit</v>
      </c>
      <c r="D811" s="546">
        <v>409699</v>
      </c>
      <c r="E811" s="541" t="str">
        <f>+VLOOKUP(A811,cennik!$A:$G,2,FALSE)</f>
        <v>SEVROLL 20403-SV dorazová štetina zásuvná 4,8x4mm čierna</v>
      </c>
      <c r="F811" s="541" t="str">
        <f>+VLOOKUP(A811,cennik!A:B,2,FALSE)</f>
        <v>SEVROLL 20403-SV dorazová štetina zásuvná 4,8x4mm čierna</v>
      </c>
      <c r="G811" s="539"/>
      <c r="H811" s="539">
        <v>4.8</v>
      </c>
      <c r="I811" s="539"/>
      <c r="Z811" s="1" t="b">
        <f t="shared" si="78"/>
        <v>1</v>
      </c>
    </row>
    <row r="812" spans="1:26" s="559" customFormat="1" ht="15" customHeight="1" x14ac:dyDescent="0.25">
      <c r="A812" s="543">
        <v>305137</v>
      </c>
      <c r="B812" s="544" t="s">
        <v>1740</v>
      </c>
      <c r="C812" s="542" t="str">
        <f>CONCATENATE(H812,"-",$J$18)</f>
        <v>4,8-biela mat</v>
      </c>
      <c r="D812" s="543">
        <v>305137</v>
      </c>
      <c r="E812" s="541" t="str">
        <f>+VLOOKUP(A812,cennik!$A:$G,2,FALSE)</f>
        <v>SEVROLL 20287-SV dorazová štetina zásuvná 4,8x4mm biela</v>
      </c>
      <c r="F812" s="541" t="str">
        <f>+VLOOKUP(A812,cennik!A:B,2,FALSE)</f>
        <v>SEVROLL 20287-SV dorazová štetina zásuvná 4,8x4mm biela</v>
      </c>
      <c r="G812" s="539"/>
      <c r="H812" s="539">
        <v>4.8</v>
      </c>
      <c r="I812" s="539" t="str">
        <f>$J$15</f>
        <v>biela lesk</v>
      </c>
      <c r="Z812" s="1" t="b">
        <f t="shared" si="78"/>
        <v>1</v>
      </c>
    </row>
    <row r="813" spans="1:26" s="559" customFormat="1" ht="15" customHeight="1" x14ac:dyDescent="0.25">
      <c r="A813" s="547">
        <v>452604</v>
      </c>
      <c r="B813" s="547"/>
      <c r="C813" s="547" t="str">
        <f t="shared" ref="C813:C823" si="79">CONCATENATE(H813,"-",$J$17)</f>
        <v>3000-čierna mat</v>
      </c>
      <c r="D813" s="547">
        <v>452604</v>
      </c>
      <c r="E813" s="548" t="str">
        <f>+VLOOKUP(A813,cennik!$A:$G,2,FALSE)</f>
        <v>SEVROLL 03606 spojovacia lišta H30 decor 3m čierna mat</v>
      </c>
      <c r="F813" s="548" t="str">
        <f>+VLOOKUP(A813,cennik!A:B,2,FALSE)</f>
        <v>SEVROLL 03606 spojovacia lišta H30 decor 3m čierna mat</v>
      </c>
      <c r="G813" s="547"/>
      <c r="H813" s="547">
        <v>3000</v>
      </c>
      <c r="I813" s="547" t="str">
        <f t="shared" ref="I813:I823" si="80">CONCATENATE(H813,"-",$J$17)</f>
        <v>3000-čierna mat</v>
      </c>
      <c r="Z813" s="1" t="b">
        <f t="shared" si="78"/>
        <v>1</v>
      </c>
    </row>
    <row r="814" spans="1:26" s="559" customFormat="1" ht="15" customHeight="1" x14ac:dyDescent="0.25">
      <c r="A814" s="1">
        <v>278164</v>
      </c>
      <c r="B814" s="1"/>
      <c r="C814" s="1" t="str">
        <f t="shared" si="79"/>
        <v>2700-čierna mat</v>
      </c>
      <c r="D814" s="1">
        <v>278164</v>
      </c>
      <c r="E814" s="52" t="str">
        <f>+VLOOKUP(A814,cennik!$A:$G,2,FALSE)</f>
        <v>SEVROLL 03607 Gemini úchytová lišta 2,7m čierna mat</v>
      </c>
      <c r="F814" s="52" t="str">
        <f>+VLOOKUP(A814,cennik!A:B,2,FALSE)</f>
        <v>SEVROLL 03607 Gemini úchytová lišta 2,7m čierna mat</v>
      </c>
      <c r="G814" s="1"/>
      <c r="H814" s="1">
        <v>2700</v>
      </c>
      <c r="I814" s="1" t="str">
        <f t="shared" si="80"/>
        <v>2700-čierna mat</v>
      </c>
      <c r="Z814" s="1" t="b">
        <f t="shared" si="78"/>
        <v>1</v>
      </c>
    </row>
    <row r="815" spans="1:26" s="559" customFormat="1" ht="15" customHeight="1" x14ac:dyDescent="0.25">
      <c r="A815" s="1">
        <v>409674</v>
      </c>
      <c r="B815" s="1"/>
      <c r="C815" s="1" t="str">
        <f t="shared" si="79"/>
        <v>4050-čierna mat</v>
      </c>
      <c r="D815" s="1">
        <v>409674</v>
      </c>
      <c r="E815" s="52" t="str">
        <f>+VLOOKUP(A815,cennik!$A:$G,2,FALSE)</f>
        <v>SEVROLL 04835 Gemini horné vedenie  4,05m čierna mat</v>
      </c>
      <c r="F815" s="52" t="str">
        <f>+VLOOKUP(A815,cennik!A:B,2,FALSE)</f>
        <v>SEVROLL 04835 Gemini horné vedenie  4,05m čierna mat</v>
      </c>
      <c r="G815" s="1"/>
      <c r="H815" s="1">
        <v>4050</v>
      </c>
      <c r="I815" s="1" t="str">
        <f t="shared" si="80"/>
        <v>4050-čierna mat</v>
      </c>
      <c r="Z815" s="1" t="b">
        <f t="shared" si="78"/>
        <v>1</v>
      </c>
    </row>
    <row r="816" spans="1:26" s="559" customFormat="1" ht="15" customHeight="1" x14ac:dyDescent="0.25">
      <c r="A816" s="1">
        <v>452601</v>
      </c>
      <c r="B816" s="1"/>
      <c r="C816" s="1" t="str">
        <f t="shared" si="79"/>
        <v>2700-čierna mat</v>
      </c>
      <c r="D816" s="1">
        <v>452601</v>
      </c>
      <c r="E816" s="52" t="str">
        <f>+VLOOKUP(A816,cennik!$A:$G,2,FALSE)</f>
        <v>SEVROLL 05306 Faworyt II úchytová lišta 2,7m čierna mat</v>
      </c>
      <c r="F816" s="52" t="str">
        <f>+VLOOKUP(A816,cennik!A:B,2,FALSE)</f>
        <v>SEVROLL 05306 Faworyt II úchytová lišta 2,7m čierna mat</v>
      </c>
      <c r="G816" s="1"/>
      <c r="H816" s="1">
        <v>2700</v>
      </c>
      <c r="I816" s="1" t="str">
        <f t="shared" si="80"/>
        <v>2700-čierna mat</v>
      </c>
      <c r="Z816" s="1" t="b">
        <f t="shared" si="78"/>
        <v>1</v>
      </c>
    </row>
    <row r="817" spans="1:26" s="559" customFormat="1" ht="15" customHeight="1" x14ac:dyDescent="0.25">
      <c r="A817" s="2">
        <v>452735</v>
      </c>
      <c r="B817" s="1"/>
      <c r="C817" s="1" t="str">
        <f t="shared" si="79"/>
        <v>3000-čierna mat</v>
      </c>
      <c r="D817" s="2">
        <v>452735</v>
      </c>
      <c r="E817" s="551" t="str">
        <f>+VLOOKUP(A817,cennik!$A:$G,2,FALSE)</f>
        <v>SEVROLL 05324 Pax horná vodiaca lišta 3m čierna mat</v>
      </c>
      <c r="F817" s="52" t="str">
        <f>+VLOOKUP(A817,cennik!A:B,2,FALSE)</f>
        <v>SEVROLL 05324 Pax horná vodiaca lišta 3m čierna mat</v>
      </c>
      <c r="G817" s="1"/>
      <c r="H817" s="1">
        <v>3000</v>
      </c>
      <c r="I817" s="1" t="str">
        <f t="shared" si="80"/>
        <v>3000-čierna mat</v>
      </c>
      <c r="Z817" s="1" t="b">
        <f t="shared" si="78"/>
        <v>1</v>
      </c>
    </row>
    <row r="818" spans="1:26" s="559" customFormat="1" ht="15" customHeight="1" x14ac:dyDescent="0.25">
      <c r="A818" s="2">
        <v>456332</v>
      </c>
      <c r="B818" s="1"/>
      <c r="C818" s="1" t="str">
        <f t="shared" si="79"/>
        <v>2700-čierna mat</v>
      </c>
      <c r="D818" s="2">
        <v>456332</v>
      </c>
      <c r="E818" s="52" t="str">
        <f>+VLOOKUP(A818,cennik!$A:$G,2,FALSE)</f>
        <v>SEVROLL 05325 Pax úchytová lišta 2,7m čierna mat</v>
      </c>
      <c r="F818" s="52" t="str">
        <f>+VLOOKUP(A818,cennik!A:B,2,FALSE)</f>
        <v>SEVROLL 05325 Pax úchytová lišta 2,7m čierna mat</v>
      </c>
      <c r="G818" s="1"/>
      <c r="H818" s="1">
        <v>2700</v>
      </c>
      <c r="I818" s="1" t="str">
        <f t="shared" si="80"/>
        <v>2700-čierna mat</v>
      </c>
      <c r="Z818" s="1" t="b">
        <f t="shared" si="78"/>
        <v>1</v>
      </c>
    </row>
    <row r="819" spans="1:26" ht="15" customHeight="1" x14ac:dyDescent="0.25">
      <c r="A819" s="2">
        <v>456333</v>
      </c>
      <c r="C819" s="1" t="str">
        <f t="shared" si="79"/>
        <v>3000-čierna mat</v>
      </c>
      <c r="D819" s="2">
        <v>456333</v>
      </c>
      <c r="E819" s="52" t="str">
        <f>+VLOOKUP(A819,cennik!$A:$G,2,FALSE)</f>
        <v>SEVROLL 05326 Pax úchytová lišta 3m čierna mat</v>
      </c>
      <c r="F819" s="52" t="str">
        <f>+VLOOKUP(A819,cennik!A:B,2,FALSE)</f>
        <v>SEVROLL 05326 Pax úchytová lišta 3m čierna mat</v>
      </c>
      <c r="H819" s="1">
        <v>3000</v>
      </c>
      <c r="I819" s="1" t="str">
        <f t="shared" si="80"/>
        <v>3000-čierna mat</v>
      </c>
      <c r="Z819" s="1" t="b">
        <f t="shared" si="78"/>
        <v>1</v>
      </c>
    </row>
    <row r="820" spans="1:26" ht="15" customHeight="1" x14ac:dyDescent="0.25">
      <c r="A820" s="1">
        <v>422012</v>
      </c>
      <c r="C820" s="1" t="str">
        <f t="shared" si="79"/>
        <v>-čierna mat</v>
      </c>
      <c r="D820" s="1">
        <v>422012</v>
      </c>
      <c r="E820" s="52" t="str">
        <f>+VLOOKUP(A820,cennik!$A:$G,2,FALSE)</f>
        <v>SEVROLL 05327 Pax záslepka profilu (4 ks) čierna mat</v>
      </c>
      <c r="F820" s="52" t="str">
        <f>+VLOOKUP(A820,cennik!A:B,2,FALSE)</f>
        <v>SEVROLL 05327 Pax záslepka profilu (4 ks) čierna mat</v>
      </c>
      <c r="I820" s="1" t="str">
        <f t="shared" si="80"/>
        <v>-čierna mat</v>
      </c>
      <c r="Z820" s="1" t="b">
        <f t="shared" si="78"/>
        <v>1</v>
      </c>
    </row>
    <row r="821" spans="1:26" ht="15" customHeight="1" x14ac:dyDescent="0.25">
      <c r="A821" s="1">
        <v>452606</v>
      </c>
      <c r="C821" s="1" t="str">
        <f t="shared" si="79"/>
        <v>3000-čierna mat</v>
      </c>
      <c r="D821" s="1">
        <v>452606</v>
      </c>
      <c r="E821" s="52" t="str">
        <f>+VLOOKUP(A821,cennik!$A:$G,2,FALSE)</f>
        <v>SEVROLL 05341 dištančný profil 04 3m čierna mat</v>
      </c>
      <c r="F821" s="52" t="str">
        <f>+VLOOKUP(A821,cennik!A:B,2,FALSE)</f>
        <v>SEVROLL 05341 dištančný profil 04 3m čierna mat</v>
      </c>
      <c r="H821" s="1">
        <v>3000</v>
      </c>
      <c r="I821" s="1" t="str">
        <f t="shared" si="80"/>
        <v>3000-čierna mat</v>
      </c>
      <c r="Z821" s="1" t="b">
        <f t="shared" si="78"/>
        <v>1</v>
      </c>
    </row>
    <row r="822" spans="1:26" ht="15" customHeight="1" x14ac:dyDescent="0.25">
      <c r="A822" s="1">
        <v>422009</v>
      </c>
      <c r="C822" s="1" t="str">
        <f t="shared" si="79"/>
        <v>-čierna mat</v>
      </c>
      <c r="D822" s="1">
        <v>422009</v>
      </c>
      <c r="E822" s="52" t="str">
        <f>+VLOOKUP(A822,cennik!$A:$G,2,FALSE)</f>
        <v>SEVROLL 20406 Pax nalepovacia úchytka čierna mat</v>
      </c>
      <c r="F822" s="52" t="str">
        <f>+VLOOKUP(A822,cennik!A:B,2,FALSE)</f>
        <v>SEVROLL 20406 Pax nalepovacia úchytka čierna mat</v>
      </c>
      <c r="I822" s="1" t="str">
        <f t="shared" si="80"/>
        <v>-čierna mat</v>
      </c>
      <c r="Z822" s="1" t="b">
        <f t="shared" si="78"/>
        <v>1</v>
      </c>
    </row>
    <row r="823" spans="1:26" ht="15" customHeight="1" x14ac:dyDescent="0.25">
      <c r="A823" s="2">
        <v>452737</v>
      </c>
      <c r="C823" s="1" t="str">
        <f t="shared" si="79"/>
        <v>3000-čierna mat</v>
      </c>
      <c r="D823" s="2">
        <v>452737</v>
      </c>
      <c r="E823" s="52" t="e">
        <f>+VLOOKUP(A823,cennik!$A:$G,2,FALSE)</f>
        <v>#N/A</v>
      </c>
      <c r="F823" s="52" t="e">
        <f>+VLOOKUP(A823,cennik!A:B,2,FALSE)</f>
        <v>#N/A</v>
      </c>
      <c r="H823" s="1">
        <v>3000</v>
      </c>
      <c r="I823" s="1" t="str">
        <f t="shared" si="80"/>
        <v>3000-čierna mat</v>
      </c>
      <c r="Z823" s="1" t="b">
        <f t="shared" si="78"/>
        <v>1</v>
      </c>
    </row>
    <row r="824" spans="1:26" ht="15" customHeight="1" x14ac:dyDescent="0.25">
      <c r="A824" s="558">
        <v>276731</v>
      </c>
      <c r="B824" s="559"/>
      <c r="C824" s="559" t="str">
        <f t="shared" ref="C824:C827" si="81">CONCATENATE(H824,"-",$J$18)</f>
        <v>3000-biela mat</v>
      </c>
      <c r="D824" s="558">
        <v>276731</v>
      </c>
      <c r="E824" s="560" t="str">
        <f>+VLOOKUP(A824,cennik!$A:$G,2,FALSE)</f>
        <v>SEVROLL 04066 uholník Mini 17x11mm 3m biela mat</v>
      </c>
      <c r="F824" s="560" t="str">
        <f>+VLOOKUP(A824,cennik!A:B,2,FALSE)</f>
        <v>SEVROLL 04066 uholník Mini 17x11mm 3m biela mat</v>
      </c>
      <c r="G824" s="559"/>
      <c r="H824" s="559">
        <v>3000</v>
      </c>
      <c r="I824" s="559" t="str">
        <f t="shared" ref="I824:I827" si="82">CONCATENATE(H824,"-",$J$18)</f>
        <v>3000-biela mat</v>
      </c>
      <c r="Z824" s="1" t="b">
        <f t="shared" si="78"/>
        <v>1</v>
      </c>
    </row>
    <row r="825" spans="1:26" s="556" customFormat="1" ht="15" customHeight="1" x14ac:dyDescent="0.25">
      <c r="A825" s="558">
        <v>276742</v>
      </c>
      <c r="B825" s="559"/>
      <c r="C825" s="559" t="str">
        <f t="shared" si="81"/>
        <v>2700-biela mat</v>
      </c>
      <c r="D825" s="558">
        <v>276742</v>
      </c>
      <c r="E825" s="560" t="str">
        <f>+VLOOKUP(A825,cennik!$A:$G,2,FALSE)</f>
        <v>SEVROLL 04556 Faworyt II úchytová lišta 2,7m biela mat</v>
      </c>
      <c r="F825" s="560" t="str">
        <f>+VLOOKUP(A825,cennik!A:B,2,FALSE)</f>
        <v>SEVROLL 04556 Faworyt II úchytová lišta 2,7m biela mat</v>
      </c>
      <c r="G825" s="559"/>
      <c r="H825" s="559">
        <v>2700</v>
      </c>
      <c r="I825" s="559" t="str">
        <f t="shared" si="82"/>
        <v>2700-biela mat</v>
      </c>
      <c r="Z825" s="1" t="b">
        <f t="shared" si="78"/>
        <v>1</v>
      </c>
    </row>
    <row r="826" spans="1:26" s="556" customFormat="1" ht="15" customHeight="1" x14ac:dyDescent="0.25">
      <c r="A826" s="558">
        <v>394791</v>
      </c>
      <c r="B826" s="559"/>
      <c r="C826" s="559" t="str">
        <f t="shared" si="81"/>
        <v>2700-biela mat</v>
      </c>
      <c r="D826" s="558">
        <v>394791</v>
      </c>
      <c r="E826" s="560" t="str">
        <f>+VLOOKUP(A826,cennik!$A:$G,2,FALSE)</f>
        <v>SEVROLL 05153 Alfa II úchytová lišta 18mm 2,7m biela mat</v>
      </c>
      <c r="F826" s="560" t="str">
        <f>+VLOOKUP(A826,cennik!A:B,2,FALSE)</f>
        <v>SEVROLL 05153 Alfa II úchytová lišta 18mm 2,7m biela mat</v>
      </c>
      <c r="G826" s="559"/>
      <c r="H826" s="559">
        <v>2700</v>
      </c>
      <c r="I826" s="559" t="str">
        <f t="shared" si="82"/>
        <v>2700-biela mat</v>
      </c>
      <c r="Z826" s="1" t="b">
        <f t="shared" si="78"/>
        <v>1</v>
      </c>
    </row>
    <row r="827" spans="1:26" s="556" customFormat="1" ht="15" customHeight="1" x14ac:dyDescent="0.25">
      <c r="A827" s="558">
        <v>406464</v>
      </c>
      <c r="B827" s="559"/>
      <c r="C827" s="559" t="str">
        <f t="shared" si="81"/>
        <v>3000-biela mat</v>
      </c>
      <c r="D827" s="558">
        <v>406464</v>
      </c>
      <c r="E827" s="560" t="str">
        <f>+VLOOKUP(A827,cennik!$A:$G,2,FALSE)</f>
        <v>SEVROLL 05291 profil "U" pre lamino 18mm 3m biela mat</v>
      </c>
      <c r="F827" s="560" t="str">
        <f>+VLOOKUP(A827,cennik!A:B,2,FALSE)</f>
        <v>SEVROLL 05291 profil "U" pre lamino 18mm 3m biela mat</v>
      </c>
      <c r="G827" s="559"/>
      <c r="H827" s="559">
        <v>3000</v>
      </c>
      <c r="I827" s="559" t="str">
        <f t="shared" si="82"/>
        <v>3000-biela mat</v>
      </c>
      <c r="Z827" s="1" t="b">
        <f t="shared" si="78"/>
        <v>1</v>
      </c>
    </row>
    <row r="828" spans="1:26" s="556" customFormat="1" ht="15" customHeight="1" x14ac:dyDescent="0.25">
      <c r="A828" s="556">
        <v>372603</v>
      </c>
      <c r="C828" s="556" t="str">
        <f>CONCATENATE(H828,"-",$J$15)</f>
        <v>2700-biela lesk</v>
      </c>
      <c r="D828" s="556">
        <v>372603</v>
      </c>
      <c r="E828" s="554" t="str">
        <f>+VLOOKUP(A828,cennik!$A:$G,2,FALSE)</f>
        <v>SEVROLL 04933 Era úchytová lišta 18mm 2,70m biely lesk</v>
      </c>
      <c r="F828" s="554" t="str">
        <f>+VLOOKUP(A828,cennik!A:B,2,FALSE)</f>
        <v>SEVROLL 04933 Era úchytová lišta 18mm 2,70m biely lesk</v>
      </c>
      <c r="H828" s="556">
        <v>2700</v>
      </c>
      <c r="I828" s="556" t="str">
        <f>CONCATENATE(H828,"-",$J$15)</f>
        <v>2700-biela lesk</v>
      </c>
      <c r="Z828" s="1" t="b">
        <f t="shared" si="78"/>
        <v>1</v>
      </c>
    </row>
    <row r="829" spans="1:26" s="556" customFormat="1" ht="15" customHeight="1" x14ac:dyDescent="0.25">
      <c r="A829" s="556">
        <v>394231</v>
      </c>
      <c r="C829" s="556" t="str">
        <f t="shared" ref="C829:C834" si="83">CONCATENATE(H829,"-",$J$15)</f>
        <v>2000-biela lesk</v>
      </c>
      <c r="D829" s="556">
        <v>394231</v>
      </c>
      <c r="E829" s="554" t="str">
        <f>+VLOOKUP(A829,cennik!$A:$G,2,FALSE)</f>
        <v>SEVROLL 04940 spodná krycia lišta Simple/Blue 2m (pre lamino 18mm) biely lesk</v>
      </c>
      <c r="F829" s="554" t="str">
        <f>+VLOOKUP(A829,cennik!A:B,2,FALSE)</f>
        <v>SEVROLL 04940 spodná krycia lišta Simple/Blue 2m (pre lamino 18mm) biely lesk</v>
      </c>
      <c r="H829" s="556">
        <v>2000</v>
      </c>
      <c r="I829" s="556" t="str">
        <f t="shared" ref="I829:I834" si="84">CONCATENATE(H829,"-",$J$15)</f>
        <v>2000-biela lesk</v>
      </c>
      <c r="Z829" s="1" t="b">
        <f t="shared" si="78"/>
        <v>1</v>
      </c>
    </row>
    <row r="830" spans="1:26" s="556" customFormat="1" ht="15" customHeight="1" x14ac:dyDescent="0.25">
      <c r="A830" s="556">
        <v>394265</v>
      </c>
      <c r="C830" s="556" t="str">
        <f t="shared" si="83"/>
        <v>3000-biela lesk</v>
      </c>
      <c r="D830" s="556">
        <v>394265</v>
      </c>
      <c r="E830" s="554" t="str">
        <f>+VLOOKUP(A830,cennik!$A:$G,2,FALSE)</f>
        <v>SEVROLL 04941 spodná krycia lišta Simple/Blue 3m (pre lamino 18mm) biely lesk</v>
      </c>
      <c r="F830" s="554" t="str">
        <f>+VLOOKUP(A830,cennik!A:B,2,FALSE)</f>
        <v>SEVROLL 04941 spodná krycia lišta Simple/Blue 3m (pre lamino 18mm) biely lesk</v>
      </c>
      <c r="H830" s="556">
        <v>3000</v>
      </c>
      <c r="I830" s="556" t="str">
        <f t="shared" si="84"/>
        <v>3000-biela lesk</v>
      </c>
      <c r="Z830" s="1" t="b">
        <f t="shared" si="78"/>
        <v>1</v>
      </c>
    </row>
    <row r="831" spans="1:26" s="556" customFormat="1" ht="15" customHeight="1" x14ac:dyDescent="0.25">
      <c r="A831" s="556">
        <v>394267</v>
      </c>
      <c r="C831" s="556" t="str">
        <f t="shared" si="83"/>
        <v>2000-biela lesk</v>
      </c>
      <c r="D831" s="556">
        <v>394267</v>
      </c>
      <c r="E831" s="554" t="str">
        <f>+VLOOKUP(A831,cennik!$A:$G,2,FALSE)</f>
        <v>SEVROLL 04942 horná vodiaca lišta Simple/Blue 2m (pre lamino 18mm) biely lesk</v>
      </c>
      <c r="F831" s="554" t="str">
        <f>+VLOOKUP(A831,cennik!A:B,2,FALSE)</f>
        <v>SEVROLL 04942 horná vodiaca lišta Simple/Blue 2m (pre lamino 18mm) biely lesk</v>
      </c>
      <c r="H831" s="556">
        <v>2000</v>
      </c>
      <c r="I831" s="556" t="str">
        <f t="shared" si="84"/>
        <v>2000-biela lesk</v>
      </c>
      <c r="Z831" s="1" t="b">
        <f t="shared" si="78"/>
        <v>1</v>
      </c>
    </row>
    <row r="832" spans="1:26" ht="15" customHeight="1" x14ac:dyDescent="0.25">
      <c r="A832" s="556">
        <v>394270</v>
      </c>
      <c r="B832" s="556"/>
      <c r="C832" s="556" t="str">
        <f t="shared" si="83"/>
        <v>3000-biela lesk</v>
      </c>
      <c r="D832" s="556">
        <v>394270</v>
      </c>
      <c r="E832" s="554" t="str">
        <f>+VLOOKUP(A832,cennik!$A:$G,2,FALSE)</f>
        <v>SEVROLL 04943 horná vodiaca lišta Simple/Blue 3m (pre lamino 18mm) biely lesk</v>
      </c>
      <c r="F832" s="554" t="str">
        <f>+VLOOKUP(A832,cennik!A:B,2,FALSE)</f>
        <v>SEVROLL 04943 horná vodiaca lišta Simple/Blue 3m (pre lamino 18mm) biely lesk</v>
      </c>
      <c r="G832" s="556"/>
      <c r="H832" s="556">
        <v>3000</v>
      </c>
      <c r="I832" s="556" t="str">
        <f t="shared" si="84"/>
        <v>3000-biela lesk</v>
      </c>
      <c r="Z832" s="1" t="b">
        <f t="shared" si="78"/>
        <v>1</v>
      </c>
    </row>
    <row r="833" spans="1:26" ht="15" customHeight="1" x14ac:dyDescent="0.25">
      <c r="A833" s="556">
        <v>394273</v>
      </c>
      <c r="B833" s="556"/>
      <c r="C833" s="556" t="str">
        <f t="shared" si="83"/>
        <v>3000-biela lesk</v>
      </c>
      <c r="D833" s="556">
        <v>394273</v>
      </c>
      <c r="E833" s="554" t="str">
        <f>+VLOOKUP(A833,cennik!$A:$G,2,FALSE)</f>
        <v>SEVROLL 04929 spojovacia lišta Simple/Blue H21 3m (pre lamino 18mm) biely lesk</v>
      </c>
      <c r="F833" s="554" t="str">
        <f>+VLOOKUP(A833,cennik!A:B,2,FALSE)</f>
        <v>SEVROLL 04929 spojovacia lišta Simple/Blue H21 3m (pre lamino 18mm) biely lesk</v>
      </c>
      <c r="G833" s="556"/>
      <c r="H833" s="556">
        <v>3000</v>
      </c>
      <c r="I833" s="556" t="str">
        <f t="shared" si="84"/>
        <v>3000-biela lesk</v>
      </c>
      <c r="Z833" s="1" t="b">
        <f t="shared" si="78"/>
        <v>1</v>
      </c>
    </row>
    <row r="834" spans="1:26" ht="15" customHeight="1" x14ac:dyDescent="0.25">
      <c r="A834" s="556">
        <v>394281</v>
      </c>
      <c r="B834" s="556"/>
      <c r="C834" s="556" t="str">
        <f t="shared" si="83"/>
        <v>3000-biela lesk</v>
      </c>
      <c r="D834" s="556">
        <v>394281</v>
      </c>
      <c r="E834" s="554" t="str">
        <f>+VLOOKUP(A834,cennik!$A:$G,2,FALSE)</f>
        <v>SEVROLL 04932 spojovacia lišta Simple/Blue H28 3m (pre lamino 18mm) biely lesk</v>
      </c>
      <c r="F834" s="554" t="str">
        <f>+VLOOKUP(A834,cennik!A:B,2,FALSE)</f>
        <v>SEVROLL 04932 spojovacia lišta Simple/Blue H28 3m (pre lamino 18mm) biely lesk</v>
      </c>
      <c r="G834" s="556"/>
      <c r="H834" s="556">
        <v>3000</v>
      </c>
      <c r="I834" s="556" t="str">
        <f t="shared" si="84"/>
        <v>3000-biela lesk</v>
      </c>
      <c r="Z834" s="1" t="b">
        <f t="shared" si="78"/>
        <v>1</v>
      </c>
    </row>
    <row r="835" spans="1:26" ht="15" customHeight="1" x14ac:dyDescent="0.25">
      <c r="A835" s="1">
        <v>489291</v>
      </c>
      <c r="C835" s="1" t="str">
        <f>$J$6</f>
        <v>oliva</v>
      </c>
      <c r="D835" s="1">
        <v>489291</v>
      </c>
      <c r="E835" s="554" t="str">
        <f>+VLOOKUP(A835,cennik!$A:$G,2,FALSE)</f>
        <v>SEVROLL 05791 Prosper GM 18 úch lišta 2 7m oliva</v>
      </c>
      <c r="F835" s="554" t="str">
        <f>+VLOOKUP(A835,cennik!A:B,2,FALSE)</f>
        <v>SEVROLL 05791 Prosper GM 18 úch lišta 2 7m oliva</v>
      </c>
      <c r="I835" s="1" t="str">
        <f>$J$6</f>
        <v>oliva</v>
      </c>
    </row>
    <row r="836" spans="1:26" ht="15" customHeight="1" x14ac:dyDescent="0.25">
      <c r="A836" s="1">
        <v>489290</v>
      </c>
      <c r="C836" s="1" t="str">
        <f>$J$4</f>
        <v xml:space="preserve">strieborná </v>
      </c>
      <c r="D836" s="1">
        <v>489290</v>
      </c>
      <c r="E836" s="554" t="str">
        <f>+VLOOKUP(A836,cennik!$A:$G,2,FALSE)</f>
        <v>SEVROLL 05790 Prosper GM 18 úch.lišta 2,7m strieborná</v>
      </c>
      <c r="F836" s="554" t="str">
        <f>+VLOOKUP(A836,cennik!A:B,2,FALSE)</f>
        <v>SEVROLL 05790 Prosper GM 18 úch.lišta 2,7m strieborná</v>
      </c>
      <c r="I836" s="1" t="str">
        <f>$J$4</f>
        <v xml:space="preserve">strieborná </v>
      </c>
    </row>
    <row r="837" spans="1:26" ht="15" customHeight="1" x14ac:dyDescent="0.25">
      <c r="A837" s="1">
        <v>496942</v>
      </c>
      <c r="C837" s="1" t="str">
        <f>$J$4</f>
        <v xml:space="preserve">strieborná </v>
      </c>
      <c r="D837" s="1">
        <v>496942</v>
      </c>
      <c r="E837" s="554" t="str">
        <f>+VLOOKUP(A837,cennik!$A:$G,2,FALSE)</f>
        <v>SEVROLL 05804 GM 18 SPOJ.LIŠTA H18 3m str.</v>
      </c>
      <c r="F837" s="554" t="str">
        <f>+VLOOKUP(A837,cennik!A:B,2,FALSE)</f>
        <v>SEVROLL 05804 GM 18 SPOJ.LIŠTA H18 3m str.</v>
      </c>
      <c r="I837" s="1" t="str">
        <f>$J$4</f>
        <v xml:space="preserve">strieborná </v>
      </c>
    </row>
    <row r="838" spans="1:26" ht="15" customHeight="1" x14ac:dyDescent="0.25">
      <c r="A838" s="1">
        <v>496987</v>
      </c>
      <c r="C838" s="1" t="str">
        <f>$J$17</f>
        <v>čierna mat</v>
      </c>
      <c r="D838" s="1">
        <v>496987</v>
      </c>
      <c r="E838" s="554" t="str">
        <f>+VLOOKUP(A838,cennik!$A:$G,2,FALSE)</f>
        <v>SEVROLL 05924 GM 18 spojovacia lišta H18 3m čierna mat</v>
      </c>
      <c r="F838" s="554" t="str">
        <f>+VLOOKUP(A838,cennik!A:B,2,FALSE)</f>
        <v>SEVROLL 05924 GM 18 spojovacia lišta H18 3m čierna mat</v>
      </c>
      <c r="I838" s="1" t="str">
        <f>$J$17</f>
        <v>čierna mat</v>
      </c>
    </row>
    <row r="839" spans="1:26" ht="15" customHeight="1" x14ac:dyDescent="0.25">
      <c r="A839" s="1">
        <v>496986</v>
      </c>
      <c r="C839" s="1" t="str">
        <f>$J$6</f>
        <v>oliva</v>
      </c>
      <c r="D839" s="1">
        <v>496986</v>
      </c>
      <c r="E839" s="554" t="str">
        <f>+VLOOKUP(A839,cennik!$A:$G,2,FALSE)</f>
        <v>SEVROLL 05805 GM 18 spojovacia lišta H18 3m oliva</v>
      </c>
      <c r="F839" s="554" t="str">
        <f>+VLOOKUP(A839,cennik!A:B,2,FALSE)</f>
        <v>SEVROLL 05805 GM 18 spojovacia lišta H18 3m oliva</v>
      </c>
      <c r="I839" s="1" t="str">
        <f>$J$6</f>
        <v>oliva</v>
      </c>
    </row>
    <row r="840" spans="1:26" ht="15" customHeight="1" x14ac:dyDescent="0.25">
      <c r="A840" s="1">
        <v>496924</v>
      </c>
      <c r="C840" s="1" t="str">
        <f>$J$4</f>
        <v xml:space="preserve">strieborná </v>
      </c>
      <c r="D840" s="1">
        <v>496924</v>
      </c>
      <c r="E840" s="554" t="str">
        <f>+VLOOKUP(A840,cennik!$A:$G,2,FALSE)</f>
        <v>SEVROLL 05806 GM 18 SPOJ.LIŠTA H25 3m str.</v>
      </c>
      <c r="F840" s="554" t="str">
        <f>+VLOOKUP(A840,cennik!A:B,2,FALSE)</f>
        <v>SEVROLL 05806 GM 18 SPOJ.LIŠTA H25 3m str.</v>
      </c>
      <c r="I840" s="1" t="str">
        <f>$J$4</f>
        <v xml:space="preserve">strieborná </v>
      </c>
    </row>
    <row r="841" spans="1:26" ht="15" customHeight="1" x14ac:dyDescent="0.25">
      <c r="A841" s="1">
        <v>496996</v>
      </c>
      <c r="C841" s="1" t="str">
        <f>$J$17</f>
        <v>čierna mat</v>
      </c>
      <c r="D841" s="1">
        <v>496996</v>
      </c>
      <c r="E841" s="554" t="str">
        <f>+VLOOKUP(A841,cennik!$A:$G,2,FALSE)</f>
        <v>SEVROLL 05926 GM 18 spojovacia lišta H25 3m čierna mat</v>
      </c>
      <c r="F841" s="554" t="str">
        <f>+VLOOKUP(A841,cennik!A:B,2,FALSE)</f>
        <v>SEVROLL 05926 GM 18 spojovacia lišta H25 3m čierna mat</v>
      </c>
      <c r="I841" s="1" t="str">
        <f>$J$17</f>
        <v>čierna mat</v>
      </c>
    </row>
    <row r="842" spans="1:26" ht="15" customHeight="1" x14ac:dyDescent="0.25">
      <c r="A842" s="1">
        <v>496990</v>
      </c>
      <c r="C842" s="1" t="str">
        <f>$J$6</f>
        <v>oliva</v>
      </c>
      <c r="D842" s="1">
        <v>496990</v>
      </c>
      <c r="E842" s="554" t="str">
        <f>+VLOOKUP(A842,cennik!$A:$G,2,FALSE)</f>
        <v>SEVROLL 05807 GM 18 spojovacia lišta H25 3m oliva</v>
      </c>
      <c r="F842" s="554" t="str">
        <f>+VLOOKUP(A842,cennik!A:B,2,FALSE)</f>
        <v>SEVROLL 05807 GM 18 spojovacia lišta H25 3m oliva</v>
      </c>
      <c r="I842" s="1" t="str">
        <f>$J$6</f>
        <v>oliva</v>
      </c>
    </row>
    <row r="843" spans="1:26" ht="15" customHeight="1" x14ac:dyDescent="0.25">
      <c r="A843" s="2">
        <v>489293</v>
      </c>
      <c r="C843" s="1" t="str">
        <f>$J$6</f>
        <v>oliva</v>
      </c>
      <c r="D843" s="2">
        <v>489293</v>
      </c>
      <c r="E843" s="554" t="str">
        <f>+VLOOKUP(A843,cennik!$A:$G,2,FALSE)</f>
        <v>SEVROLL 05789 Arte GM 18 úch.lišta 2,7m oliva</v>
      </c>
      <c r="F843" s="554" t="str">
        <f>+VLOOKUP(A843,cennik!A:B,2,FALSE)</f>
        <v>SEVROLL 05789 Arte GM 18 úch.lišta 2,7m oliva</v>
      </c>
      <c r="H843" s="1">
        <v>2700</v>
      </c>
      <c r="I843" s="1" t="str">
        <f>$J$6</f>
        <v>oliva</v>
      </c>
    </row>
    <row r="844" spans="1:26" ht="15" customHeight="1" x14ac:dyDescent="0.25">
      <c r="A844" s="2">
        <v>489292</v>
      </c>
      <c r="C844" s="1" t="str">
        <f>$J$4</f>
        <v xml:space="preserve">strieborná </v>
      </c>
      <c r="D844" s="2">
        <v>489292</v>
      </c>
      <c r="E844" s="554" t="str">
        <f>+VLOOKUP(A844,cennik!$A:$G,2,FALSE)</f>
        <v>SEVROLL 05788 Arte GM 18 úch.lišta 2,7m strieborná</v>
      </c>
      <c r="F844" s="554" t="str">
        <f>+VLOOKUP(A844,cennik!A:B,2,FALSE)</f>
        <v>SEVROLL 05788 Arte GM 18 úch.lišta 2,7m strieborná</v>
      </c>
      <c r="H844" s="1">
        <v>2700</v>
      </c>
      <c r="I844" s="1" t="str">
        <f>$J$4</f>
        <v xml:space="preserve">strieborná </v>
      </c>
    </row>
    <row r="845" spans="1:26" ht="15" customHeight="1" x14ac:dyDescent="0.25">
      <c r="A845" s="1">
        <v>489294</v>
      </c>
      <c r="C845" s="1" t="str">
        <f>$J$17</f>
        <v>čierna mat</v>
      </c>
      <c r="D845" s="1">
        <v>489294</v>
      </c>
      <c r="E845" s="554" t="str">
        <f>+VLOOKUP(A845,cennik!$A:$G,2,FALSE)</f>
        <v>SEVROLL 05910 Arte GM 18 úchytová lišta 2,7m čierna mat</v>
      </c>
      <c r="F845" s="554" t="str">
        <f>+VLOOKUP(A845,cennik!A:B,2,FALSE)</f>
        <v>SEVROLL 05910 Arte GM 18 úchytová lišta 2,7m čierna mat</v>
      </c>
      <c r="H845" s="1">
        <v>2700</v>
      </c>
      <c r="I845" s="1" t="str">
        <f>$J$17</f>
        <v>čierna mat</v>
      </c>
    </row>
  </sheetData>
  <autoFilter ref="A2:F782" xr:uid="{00000000-0009-0000-0000-000003000000}"/>
  <sortState xmlns:xlrd2="http://schemas.microsoft.com/office/spreadsheetml/2017/richdata2" ref="A813:I823">
    <sortCondition ref="E813:E823"/>
  </sortState>
  <phoneticPr fontId="0" type="noConversion"/>
  <conditionalFormatting sqref="A89:A93">
    <cfRule type="duplicateValues" dxfId="300" priority="52"/>
  </conditionalFormatting>
  <conditionalFormatting sqref="A175:A184">
    <cfRule type="duplicateValues" dxfId="299" priority="51"/>
  </conditionalFormatting>
  <conditionalFormatting sqref="A230">
    <cfRule type="duplicateValues" dxfId="298" priority="23"/>
    <cfRule type="duplicateValues" dxfId="297" priority="24"/>
  </conditionalFormatting>
  <conditionalFormatting sqref="A236:A240">
    <cfRule type="duplicateValues" dxfId="296" priority="53"/>
  </conditionalFormatting>
  <conditionalFormatting sqref="A241:A250">
    <cfRule type="duplicateValues" dxfId="295" priority="15"/>
    <cfRule type="duplicateValues" dxfId="294" priority="16"/>
  </conditionalFormatting>
  <conditionalFormatting sqref="A273">
    <cfRule type="duplicateValues" dxfId="293" priority="40"/>
    <cfRule type="duplicateValues" dxfId="292" priority="41"/>
  </conditionalFormatting>
  <conditionalFormatting sqref="A274:A276">
    <cfRule type="duplicateValues" dxfId="291" priority="42"/>
    <cfRule type="duplicateValues" dxfId="290" priority="43"/>
  </conditionalFormatting>
  <conditionalFormatting sqref="A290:A292">
    <cfRule type="duplicateValues" dxfId="289" priority="39"/>
    <cfRule type="duplicateValues" dxfId="288" priority="38"/>
  </conditionalFormatting>
  <conditionalFormatting sqref="A293">
    <cfRule type="duplicateValues" dxfId="287" priority="37"/>
    <cfRule type="duplicateValues" dxfId="286" priority="36"/>
  </conditionalFormatting>
  <conditionalFormatting sqref="A334:A335">
    <cfRule type="duplicateValues" dxfId="285" priority="49"/>
  </conditionalFormatting>
  <conditionalFormatting sqref="A345">
    <cfRule type="duplicateValues" dxfId="284" priority="48"/>
  </conditionalFormatting>
  <conditionalFormatting sqref="A361">
    <cfRule type="duplicateValues" dxfId="283" priority="31"/>
  </conditionalFormatting>
  <conditionalFormatting sqref="A362:A363">
    <cfRule type="duplicateValues" dxfId="282" priority="32"/>
  </conditionalFormatting>
  <conditionalFormatting sqref="A399:A402">
    <cfRule type="duplicateValues" dxfId="281" priority="47"/>
  </conditionalFormatting>
  <conditionalFormatting sqref="A447:A449">
    <cfRule type="duplicateValues" dxfId="280" priority="17"/>
    <cfRule type="duplicateValues" dxfId="279" priority="18"/>
  </conditionalFormatting>
  <conditionalFormatting sqref="A450">
    <cfRule type="duplicateValues" dxfId="278" priority="29"/>
  </conditionalFormatting>
  <conditionalFormatting sqref="A451:A452">
    <cfRule type="duplicateValues" dxfId="277" priority="30"/>
  </conditionalFormatting>
  <conditionalFormatting sqref="A475">
    <cfRule type="duplicateValues" dxfId="276" priority="46"/>
  </conditionalFormatting>
  <conditionalFormatting sqref="A479">
    <cfRule type="duplicateValues" dxfId="275" priority="34"/>
  </conditionalFormatting>
  <conditionalFormatting sqref="A482">
    <cfRule type="duplicateValues" dxfId="274" priority="33"/>
  </conditionalFormatting>
  <conditionalFormatting sqref="A488:A489">
    <cfRule type="duplicateValues" dxfId="273" priority="27"/>
    <cfRule type="duplicateValues" dxfId="272" priority="28"/>
  </conditionalFormatting>
  <conditionalFormatting sqref="A521">
    <cfRule type="duplicateValues" dxfId="271" priority="35"/>
  </conditionalFormatting>
  <conditionalFormatting sqref="A604:A605">
    <cfRule type="duplicateValues" dxfId="270" priority="45"/>
  </conditionalFormatting>
  <conditionalFormatting sqref="A614:A615">
    <cfRule type="duplicateValues" dxfId="269" priority="44"/>
  </conditionalFormatting>
  <conditionalFormatting sqref="A675:A676">
    <cfRule type="duplicateValues" dxfId="268" priority="50"/>
  </conditionalFormatting>
  <conditionalFormatting sqref="A678:A679 A681">
    <cfRule type="duplicateValues" dxfId="267" priority="25"/>
  </conditionalFormatting>
  <conditionalFormatting sqref="A678:A679">
    <cfRule type="duplicateValues" dxfId="266" priority="26"/>
  </conditionalFormatting>
  <conditionalFormatting sqref="A680">
    <cfRule type="duplicateValues" dxfId="265" priority="22"/>
    <cfRule type="duplicateValues" dxfId="264" priority="21"/>
  </conditionalFormatting>
  <conditionalFormatting sqref="A813:A815 A594:A595 A532:A533">
    <cfRule type="duplicateValues" dxfId="263" priority="54"/>
  </conditionalFormatting>
  <conditionalFormatting sqref="A828:A834">
    <cfRule type="duplicateValues" dxfId="262" priority="55"/>
  </conditionalFormatting>
  <conditionalFormatting sqref="A835:A842">
    <cfRule type="duplicateValues" dxfId="261" priority="111"/>
  </conditionalFormatting>
  <conditionalFormatting sqref="A845:A1048576 A835:A842 A1:A3">
    <cfRule type="duplicateValues" dxfId="260" priority="324"/>
  </conditionalFormatting>
  <conditionalFormatting sqref="D89:D93">
    <cfRule type="duplicateValues" dxfId="259" priority="164"/>
  </conditionalFormatting>
  <conditionalFormatting sqref="D175:D184">
    <cfRule type="duplicateValues" dxfId="258" priority="161"/>
  </conditionalFormatting>
  <conditionalFormatting sqref="D230">
    <cfRule type="duplicateValues" dxfId="257" priority="65"/>
    <cfRule type="duplicateValues" dxfId="256" priority="64"/>
  </conditionalFormatting>
  <conditionalFormatting sqref="D236:D240">
    <cfRule type="duplicateValues" dxfId="255" priority="166"/>
  </conditionalFormatting>
  <conditionalFormatting sqref="D241:D245">
    <cfRule type="duplicateValues" dxfId="254" priority="56"/>
    <cfRule type="duplicateValues" dxfId="253" priority="57"/>
  </conditionalFormatting>
  <conditionalFormatting sqref="D246:D250">
    <cfRule type="duplicateValues" dxfId="252" priority="2"/>
    <cfRule type="duplicateValues" dxfId="251" priority="1"/>
  </conditionalFormatting>
  <conditionalFormatting sqref="D273">
    <cfRule type="duplicateValues" dxfId="250" priority="101"/>
    <cfRule type="duplicateValues" dxfId="249" priority="102"/>
  </conditionalFormatting>
  <conditionalFormatting sqref="D274:D276">
    <cfRule type="duplicateValues" dxfId="248" priority="105"/>
    <cfRule type="duplicateValues" dxfId="247" priority="106"/>
  </conditionalFormatting>
  <conditionalFormatting sqref="D290:D292">
    <cfRule type="duplicateValues" dxfId="246" priority="98"/>
    <cfRule type="duplicateValues" dxfId="245" priority="97"/>
  </conditionalFormatting>
  <conditionalFormatting sqref="D293">
    <cfRule type="duplicateValues" dxfId="244" priority="93"/>
    <cfRule type="duplicateValues" dxfId="243" priority="94"/>
  </conditionalFormatting>
  <conditionalFormatting sqref="D334:D335">
    <cfRule type="duplicateValues" dxfId="242" priority="154"/>
  </conditionalFormatting>
  <conditionalFormatting sqref="D345">
    <cfRule type="duplicateValues" dxfId="241" priority="150"/>
  </conditionalFormatting>
  <conditionalFormatting sqref="D361">
    <cfRule type="duplicateValues" dxfId="240" priority="80"/>
  </conditionalFormatting>
  <conditionalFormatting sqref="D362:D363">
    <cfRule type="duplicateValues" dxfId="239" priority="83"/>
  </conditionalFormatting>
  <conditionalFormatting sqref="D399:D402">
    <cfRule type="duplicateValues" dxfId="238" priority="148"/>
  </conditionalFormatting>
  <conditionalFormatting sqref="D447:D449">
    <cfRule type="duplicateValues" dxfId="237" priority="58"/>
    <cfRule type="duplicateValues" dxfId="236" priority="59"/>
  </conditionalFormatting>
  <conditionalFormatting sqref="D450">
    <cfRule type="duplicateValues" dxfId="235" priority="74"/>
  </conditionalFormatting>
  <conditionalFormatting sqref="D451:D452">
    <cfRule type="duplicateValues" dxfId="234" priority="77"/>
  </conditionalFormatting>
  <conditionalFormatting sqref="D475">
    <cfRule type="duplicateValues" dxfId="233" priority="145"/>
  </conditionalFormatting>
  <conditionalFormatting sqref="D479">
    <cfRule type="duplicateValues" dxfId="232" priority="89"/>
  </conditionalFormatting>
  <conditionalFormatting sqref="D482">
    <cfRule type="duplicateValues" dxfId="231" priority="86"/>
  </conditionalFormatting>
  <conditionalFormatting sqref="D488:D489">
    <cfRule type="duplicateValues" dxfId="230" priority="68"/>
    <cfRule type="duplicateValues" dxfId="229" priority="69"/>
  </conditionalFormatting>
  <conditionalFormatting sqref="D521">
    <cfRule type="duplicateValues" dxfId="228" priority="92"/>
  </conditionalFormatting>
  <conditionalFormatting sqref="D604:D605">
    <cfRule type="duplicateValues" dxfId="227" priority="119"/>
  </conditionalFormatting>
  <conditionalFormatting sqref="D614:D615">
    <cfRule type="duplicateValues" dxfId="226" priority="117"/>
  </conditionalFormatting>
  <conditionalFormatting sqref="D675:D676">
    <cfRule type="duplicateValues" dxfId="225" priority="157"/>
  </conditionalFormatting>
  <conditionalFormatting sqref="D678:D679 D681">
    <cfRule type="duplicateValues" dxfId="224" priority="66"/>
  </conditionalFormatting>
  <conditionalFormatting sqref="D678:D679">
    <cfRule type="duplicateValues" dxfId="223" priority="67"/>
  </conditionalFormatting>
  <conditionalFormatting sqref="D680">
    <cfRule type="duplicateValues" dxfId="222" priority="62"/>
    <cfRule type="duplicateValues" dxfId="221" priority="63"/>
  </conditionalFormatting>
  <conditionalFormatting sqref="D813:D815 D594:D595 D532:D533">
    <cfRule type="duplicateValues" dxfId="220" priority="358"/>
  </conditionalFormatting>
  <conditionalFormatting sqref="D828:D834">
    <cfRule type="duplicateValues" dxfId="219" priority="402"/>
  </conditionalFormatting>
  <conditionalFormatting sqref="D835:D836">
    <cfRule type="duplicateValues" dxfId="218" priority="13"/>
    <cfRule type="duplicateValues" dxfId="217" priority="14"/>
  </conditionalFormatting>
  <conditionalFormatting sqref="D837 D839">
    <cfRule type="duplicateValues" dxfId="216" priority="12"/>
  </conditionalFormatting>
  <conditionalFormatting sqref="D837">
    <cfRule type="duplicateValues" dxfId="215" priority="11"/>
  </conditionalFormatting>
  <conditionalFormatting sqref="D838">
    <cfRule type="duplicateValues" dxfId="214" priority="6"/>
    <cfRule type="duplicateValues" dxfId="213" priority="5"/>
  </conditionalFormatting>
  <conditionalFormatting sqref="D840 D842">
    <cfRule type="duplicateValues" dxfId="212" priority="10"/>
  </conditionalFormatting>
  <conditionalFormatting sqref="D840">
    <cfRule type="duplicateValues" dxfId="211" priority="9"/>
  </conditionalFormatting>
  <conditionalFormatting sqref="D841">
    <cfRule type="duplicateValues" dxfId="210" priority="3"/>
    <cfRule type="duplicateValues" dxfId="209" priority="4"/>
  </conditionalFormatting>
  <conditionalFormatting sqref="D845">
    <cfRule type="duplicateValues" dxfId="208" priority="8"/>
    <cfRule type="duplicateValues" dxfId="207" priority="7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Props1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41</vt:i4>
      </vt:variant>
    </vt:vector>
  </HeadingPairs>
  <TitlesOfParts>
    <vt:vector size="90" baseType="lpstr">
      <vt:lpstr>texty</vt:lpstr>
      <vt:lpstr>profil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Prosper</vt:lpstr>
      <vt:lpstr>Arte GM</vt:lpstr>
      <vt:lpstr>Prosper_GM</vt:lpstr>
      <vt:lpstr>Rex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Orient</vt:lpstr>
      <vt:lpstr>Elegant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GM'!barva</vt:lpstr>
      <vt:lpstr>Fox!barva</vt:lpstr>
      <vt:lpstr>Lux!barva</vt:lpstr>
      <vt:lpstr>Pax!barva</vt:lpstr>
      <vt:lpstr>Prosper_GM!barva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Orient!barva_8</vt:lpstr>
      <vt:lpstr>Prosper!barva_8</vt:lpstr>
      <vt:lpstr>Rex!barva_8</vt:lpstr>
      <vt:lpstr>Tytan!barva_8</vt:lpstr>
      <vt:lpstr>Universal!barva_8</vt:lpstr>
      <vt:lpstr>Victoria!barva_8</vt:lpstr>
      <vt:lpstr>barva_8</vt:lpstr>
      <vt:lpstr>'Fiona II'!Oblast_tisku</vt:lpstr>
      <vt:lpstr>profil!Oblast_tisku</vt:lpstr>
      <vt:lpstr>System10!Oblast_tisku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2020-02-10T14:29:29Z</cp:lastPrinted>
  <dcterms:created xsi:type="dcterms:W3CDTF">2009-03-23T13:24:16Z</dcterms:created>
  <dcterms:modified xsi:type="dcterms:W3CDTF">2024-10-15T08:59:52Z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